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SEMESTER 4\Datmin\PraktikumKlasifikasi\"/>
    </mc:Choice>
  </mc:AlternateContent>
  <xr:revisionPtr revIDLastSave="0" documentId="8_{9F1179DF-E118-4D94-B5AE-337D0F688BEB}" xr6:coauthVersionLast="47" xr6:coauthVersionMax="47" xr10:uidLastSave="{00000000-0000-0000-0000-000000000000}"/>
  <bookViews>
    <workbookView xWindow="-120" yWindow="-120" windowWidth="20730" windowHeight="11760" xr2:uid="{72E6EACE-8C2D-4562-A2D5-A61A507708E0}"/>
  </bookViews>
  <sheets>
    <sheet name="carEvaluation" sheetId="1" r:id="rId1"/>
  </sheets>
  <calcPr calcId="0"/>
</workbook>
</file>

<file path=xl/calcChain.xml><?xml version="1.0" encoding="utf-8"?>
<calcChain xmlns="http://schemas.openxmlformats.org/spreadsheetml/2006/main">
  <c r="Q22" i="1" l="1"/>
  <c r="N2" i="1"/>
  <c r="Z27" i="1" s="1"/>
  <c r="M2" i="1"/>
  <c r="Z21" i="1" s="1"/>
  <c r="L2" i="1"/>
  <c r="Z16" i="1" s="1"/>
  <c r="K2" i="1"/>
  <c r="W10" i="1" s="1"/>
  <c r="K16" i="1" l="1"/>
  <c r="N16" i="1"/>
  <c r="N21" i="1"/>
  <c r="K22" i="1"/>
  <c r="T15" i="1"/>
  <c r="W26" i="1"/>
  <c r="K26" i="1"/>
  <c r="N28" i="1"/>
  <c r="Q26" i="1"/>
  <c r="T21" i="1"/>
  <c r="W17" i="1"/>
  <c r="Z17" i="1"/>
  <c r="T27" i="1"/>
  <c r="K11" i="1"/>
  <c r="K27" i="1"/>
  <c r="N22" i="1"/>
  <c r="Q16" i="1"/>
  <c r="Q27" i="1"/>
  <c r="T25" i="1"/>
  <c r="W21" i="1"/>
  <c r="Z22" i="1"/>
  <c r="N27" i="1"/>
  <c r="K21" i="1"/>
  <c r="K28" i="1"/>
  <c r="N26" i="1"/>
  <c r="Q21" i="1"/>
  <c r="Q28" i="1"/>
  <c r="T26" i="1"/>
  <c r="W25" i="1"/>
  <c r="Z25" i="1"/>
  <c r="Q11" i="1"/>
  <c r="T12" i="1"/>
  <c r="W11" i="1"/>
  <c r="Z11" i="1"/>
  <c r="K12" i="1"/>
  <c r="N11" i="1"/>
  <c r="K17" i="1"/>
  <c r="N12" i="1"/>
  <c r="Q12" i="1"/>
  <c r="T11" i="1"/>
  <c r="W12" i="1"/>
  <c r="W14" i="1" s="1"/>
  <c r="Z12" i="1"/>
  <c r="Z15" i="1"/>
  <c r="K13" i="1"/>
  <c r="K18" i="1"/>
  <c r="K23" i="1"/>
  <c r="N13" i="1"/>
  <c r="N18" i="1"/>
  <c r="N23" i="1"/>
  <c r="T16" i="1"/>
  <c r="W15" i="1"/>
  <c r="W22" i="1"/>
  <c r="W24" i="1" s="1"/>
  <c r="W27" i="1"/>
  <c r="Z10" i="1"/>
  <c r="Z20" i="1"/>
  <c r="Z26" i="1"/>
  <c r="N17" i="1"/>
  <c r="Q17" i="1"/>
  <c r="Q13" i="1"/>
  <c r="Q18" i="1"/>
  <c r="Q23" i="1"/>
  <c r="T22" i="1"/>
  <c r="K15" i="1"/>
  <c r="K20" i="1"/>
  <c r="K25" i="1"/>
  <c r="K10" i="1"/>
  <c r="N15" i="1"/>
  <c r="N20" i="1"/>
  <c r="N25" i="1"/>
  <c r="N10" i="1"/>
  <c r="Q15" i="1"/>
  <c r="Q20" i="1"/>
  <c r="Q25" i="1"/>
  <c r="Q29" i="1" s="1"/>
  <c r="Q10" i="1"/>
  <c r="Q14" i="1" s="1"/>
  <c r="T17" i="1"/>
  <c r="T20" i="1"/>
  <c r="T10" i="1"/>
  <c r="T14" i="1" s="1"/>
  <c r="W16" i="1"/>
  <c r="W19" i="1" s="1"/>
  <c r="W20" i="1"/>
  <c r="Z29" i="1"/>
  <c r="Z19" i="1"/>
  <c r="K3" i="1"/>
  <c r="N14" i="1" l="1"/>
  <c r="K14" i="1"/>
  <c r="N29" i="1"/>
  <c r="K29" i="1"/>
  <c r="N19" i="1"/>
  <c r="Z24" i="1"/>
  <c r="Q19" i="1"/>
  <c r="W29" i="1"/>
  <c r="T19" i="1"/>
  <c r="T24" i="1"/>
  <c r="Q24" i="1"/>
  <c r="N24" i="1"/>
  <c r="K24" i="1"/>
  <c r="T29" i="1"/>
  <c r="Z14" i="1"/>
  <c r="K19" i="1"/>
  <c r="K6" i="1"/>
  <c r="K33" i="1" s="1"/>
  <c r="N6" i="1"/>
  <c r="L6" i="1"/>
  <c r="M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41" authorId="0" shapeId="0" xr:uid="{2005E1E6-6188-4D05-B9DA-DB80872CE344}">
      <text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<sst xmlns="http://schemas.openxmlformats.org/spreadsheetml/2006/main" count="9759" uniqueCount="108">
  <si>
    <t>price</t>
  </si>
  <si>
    <t>buying</t>
  </si>
  <si>
    <t>maint</t>
  </si>
  <si>
    <t>doors</t>
  </si>
  <si>
    <t>persons</t>
  </si>
  <si>
    <t>lug_boot</t>
  </si>
  <si>
    <t>safety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</si>
  <si>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</si>
  <si>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</si>
  <si>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</si>
  <si>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</si>
  <si>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</si>
  <si>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</si>
  <si>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</si>
  <si>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</si>
  <si>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</si>
  <si>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</si>
  <si>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</si>
  <si>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</si>
  <si>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Total</t>
  </si>
  <si>
    <t>p(price=vhigh|unacc)</t>
  </si>
  <si>
    <t>p(buying=vhigh|unacc)</t>
  </si>
  <si>
    <t>p(maint=2|unacc)</t>
  </si>
  <si>
    <t>p(doors=2|unacc)</t>
  </si>
  <si>
    <t>p(persons=small|unacc)</t>
  </si>
  <si>
    <t>p(price=high|unacc)</t>
  </si>
  <si>
    <t>p(buying=high|unacc)</t>
  </si>
  <si>
    <t>p(maint=3|unacc)</t>
  </si>
  <si>
    <t>p(doors=4|unacc)</t>
  </si>
  <si>
    <t>p(persons=med|unacc)</t>
  </si>
  <si>
    <t>p(price=med|unacc)</t>
  </si>
  <si>
    <t>p(buying=med|unacc)</t>
  </si>
  <si>
    <t>p(maint=4|unacc)</t>
  </si>
  <si>
    <t>p(doors=more|unacc)</t>
  </si>
  <si>
    <t>p(persons=big|unacc)</t>
  </si>
  <si>
    <t>p(price=low|unacc)</t>
  </si>
  <si>
    <t>p(buying=low|unacc)</t>
  </si>
  <si>
    <t>p(maint=5more|unacc)</t>
  </si>
  <si>
    <t>p(price=vhigh|acc)</t>
  </si>
  <si>
    <t>p(buying=vhigh|acc)</t>
  </si>
  <si>
    <t>p(maint=2|acc)</t>
  </si>
  <si>
    <t>p(doors=2|acc)</t>
  </si>
  <si>
    <t>p(persons=small|acc)</t>
  </si>
  <si>
    <t>p(price=high|acc)</t>
  </si>
  <si>
    <t>p(buying=high|acc)</t>
  </si>
  <si>
    <t>p(maint=3|acc)</t>
  </si>
  <si>
    <t>p(doors=4|acc)</t>
  </si>
  <si>
    <t>p(persons=med|acc)</t>
  </si>
  <si>
    <t>p(price=med|acc)</t>
  </si>
  <si>
    <t>p(buying=med|acc)</t>
  </si>
  <si>
    <t>p(maint=4|\acc)</t>
  </si>
  <si>
    <t>p(doors=more|acc)</t>
  </si>
  <si>
    <t>p(persons=big|acc)</t>
  </si>
  <si>
    <t>p(price=low|acc)</t>
  </si>
  <si>
    <t>p(buying=low|acc)</t>
  </si>
  <si>
    <t>p(maint=5more|acc)</t>
  </si>
  <si>
    <t>p(price=vhigh|good)</t>
  </si>
  <si>
    <t>p(buying=vhigh|good)</t>
  </si>
  <si>
    <t>p(maint=2|good)</t>
  </si>
  <si>
    <t>p(doors=2|good)</t>
  </si>
  <si>
    <t>p(persons=small|good)</t>
  </si>
  <si>
    <t>p(price=high|good)</t>
  </si>
  <si>
    <t>p(buying=high|good)</t>
  </si>
  <si>
    <t>p(maint=3|good)</t>
  </si>
  <si>
    <t>p(doors=4|good)</t>
  </si>
  <si>
    <t>p(persons=med|good)</t>
  </si>
  <si>
    <t>p(price=med|good)</t>
  </si>
  <si>
    <t>p(buying=med|good)</t>
  </si>
  <si>
    <t>p(maint=4|good)</t>
  </si>
  <si>
    <t>p(doors=more|good)</t>
  </si>
  <si>
    <t>p(persons=big|good)</t>
  </si>
  <si>
    <t>p(price=low|good)</t>
  </si>
  <si>
    <t>p(buying=low|good)</t>
  </si>
  <si>
    <t>p(maint=5more|good)</t>
  </si>
  <si>
    <t>p(price=vhigh|vgood)</t>
  </si>
  <si>
    <t>p(buying=vhigh|vgood)</t>
  </si>
  <si>
    <t>p(maint=2|vgood)</t>
  </si>
  <si>
    <t>p(doors=2|vgood)</t>
  </si>
  <si>
    <t>p(persons=small|vgood)</t>
  </si>
  <si>
    <t>p(price=high|vgood)</t>
  </si>
  <si>
    <t>p(buying=high|vgood)</t>
  </si>
  <si>
    <t>p(maint=3|vgood)</t>
  </si>
  <si>
    <t>p(doors=4|vgood)</t>
  </si>
  <si>
    <t>p(persons=med|vgood)</t>
  </si>
  <si>
    <t>p(price=med|vgood)</t>
  </si>
  <si>
    <t>p(buying=med|vgood)</t>
  </si>
  <si>
    <t>p(maint=4|vgood)</t>
  </si>
  <si>
    <t>p(doors=more|vgood)</t>
  </si>
  <si>
    <t>p(persons=big|vgood)</t>
  </si>
  <si>
    <t>p(price=low|vgood)</t>
  </si>
  <si>
    <t>p(buying=low|vgood)</t>
  </si>
  <si>
    <t>p(maint=5more|vgood)</t>
  </si>
  <si>
    <t>total P Prior</t>
  </si>
  <si>
    <t>Grand total</t>
  </si>
  <si>
    <t>sum</t>
  </si>
  <si>
    <t>p(lug_boot=low|unacc)</t>
  </si>
  <si>
    <t>p(lug_boot=med|unacc)</t>
  </si>
  <si>
    <t>p(lug_boot=high|unacc)</t>
  </si>
  <si>
    <t>p(lug_boot=low|acc)</t>
  </si>
  <si>
    <t>p(lug_boot=med|acc)</t>
  </si>
  <si>
    <t>p(lug_boot=high|acc)</t>
  </si>
  <si>
    <t>p(lug_boot=low|good)</t>
  </si>
  <si>
    <t>p(lug_boot=med|good)</t>
  </si>
  <si>
    <t>p(lug_boot=high|good)</t>
  </si>
  <si>
    <t>p(lug_boot=low|vgood)</t>
  </si>
  <si>
    <t>p(lug_boot=med|vgood))</t>
  </si>
  <si>
    <t>p(lug_boot=high|vgood))</t>
  </si>
  <si>
    <t>Posterior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</si>
</sst>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73E96EE-4B89-4EFF-9181-0015BBFABA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300C-1D1A-4418-BF5F-080397A99128}">
  <dimension ref="A1:Z1729"/>
  <sheetViews>
    <sheetView tabSelected="1" zoomScale="70" zoomScaleNormal="70" workbookViewId="0">
      <selection activeCell="F8" sqref="F8"/>
    </sheetView>
  </sheetViews>
  <sheetFormatPr defaultRowHeight="15" x14ac:dyDescent="0.25"/>
  <cols>
    <col min="9" max="9" width="4.7109375" bestFit="1" customWidth="1"/>
    <col min="10" max="10" width="20.5703125" bestFit="1" customWidth="1"/>
    <col min="11" max="12" width="12" bestFit="1" customWidth="1"/>
    <col min="13" max="13" width="22.28515625" bestFit="1" customWidth="1"/>
    <col min="14" max="14" width="12" bestFit="1" customWidth="1"/>
    <col min="15" max="16" width="22.28515625" bestFit="1" customWidth="1"/>
    <col min="17" max="17" width="12" bestFit="1" customWidth="1"/>
    <col min="18" max="19" width="21" bestFit="1" customWidth="1"/>
    <col min="20" max="20" width="12" bestFit="1" customWidth="1"/>
    <col min="21" max="22" width="23.140625" bestFit="1" customWidth="1"/>
    <col min="23" max="23" width="12" bestFit="1" customWidth="1"/>
    <col min="24" max="24" width="23.140625" bestFit="1" customWidth="1"/>
    <col min="25" max="25" width="24" bestFit="1" customWidth="1"/>
    <col min="26" max="26" width="12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/>
      <c r="K1" s="3" t="s">
        <v>10</v>
      </c>
      <c r="L1" s="3" t="s">
        <v>16</v>
      </c>
      <c r="M1" s="3" t="s">
        <v>18</v>
      </c>
      <c r="N1" s="4" t="s">
        <v>17</v>
      </c>
    </row>
    <row r="2" spans="1:26" x14ac:dyDescent="0.25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  <c r="J2" s="5" t="s">
        <v>19</v>
      </c>
      <c r="K2" s="1">
        <f>COUNTIF(G:G, "=" &amp; "unacc")</f>
        <v>1210</v>
      </c>
      <c r="L2" s="1">
        <f>COUNTIF(G:G, "=" &amp; "acc")</f>
        <v>384</v>
      </c>
      <c r="M2" s="1">
        <f>COUNTIF(G:G, "=" &amp; "good")</f>
        <v>69</v>
      </c>
      <c r="N2" s="6">
        <f>COUNTIF(G:G,"="&amp;"vgood")</f>
        <v>65</v>
      </c>
    </row>
    <row r="3" spans="1:26" ht="15.75" thickBot="1" x14ac:dyDescent="0.3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  <c r="J3" s="7" t="s">
        <v>93</v>
      </c>
      <c r="K3" s="8">
        <f>SUM(K2:N2)</f>
        <v>1728</v>
      </c>
      <c r="L3" s="8"/>
      <c r="M3" s="8"/>
      <c r="N3" s="9"/>
    </row>
    <row r="4" spans="1:26" ht="15.75" thickBot="1" x14ac:dyDescent="0.3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26" x14ac:dyDescent="0.25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  <c r="J5" s="2"/>
      <c r="K5" s="3" t="s">
        <v>10</v>
      </c>
      <c r="L5" s="3" t="s">
        <v>16</v>
      </c>
      <c r="M5" s="3" t="s">
        <v>18</v>
      </c>
      <c r="N5" s="4" t="s">
        <v>17</v>
      </c>
    </row>
    <row r="6" spans="1:26" ht="15.75" thickBot="1" x14ac:dyDescent="0.3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  <c r="J6" s="7" t="s">
        <v>92</v>
      </c>
      <c r="K6" s="8">
        <f>K2/$K$3</f>
        <v>0.70023148148148151</v>
      </c>
      <c r="L6" s="8">
        <f>L2/$K$3</f>
        <v>0.22222222222222221</v>
      </c>
      <c r="M6" s="8">
        <f>M2/$K$3</f>
        <v>3.9930555555555552E-2</v>
      </c>
      <c r="N6" s="9">
        <f>N2/$K$3</f>
        <v>3.7615740740740741E-2</v>
      </c>
    </row>
    <row r="7" spans="1:26" x14ac:dyDescent="0.25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26" x14ac:dyDescent="0.25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26" x14ac:dyDescent="0.25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26" x14ac:dyDescent="0.25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  <c r="J10" t="s">
        <v>20</v>
      </c>
      <c r="K10">
        <f>COUNTIFS(A2:A1729, "vhigh", G2:G1729, "unacc")/K2</f>
        <v>0.2975206611570248</v>
      </c>
      <c r="M10" t="s">
        <v>21</v>
      </c>
      <c r="N10">
        <f>COUNTIFS($B$2:$B$1729, "vhigh", $G$2:$G$1729, "unacc")/$K$2</f>
        <v>0.2975206611570248</v>
      </c>
      <c r="P10" t="s">
        <v>22</v>
      </c>
      <c r="Q10">
        <f>COUNTIFS($C$2:C$1729, 2, $G$2:$G$1729, "unacc")/$K$2</f>
        <v>0.26942148760330581</v>
      </c>
      <c r="S10" t="s">
        <v>23</v>
      </c>
      <c r="T10">
        <f>COUNTIFS($D$2:D$1729,2, $G$2:$G$1729, "unacc")/$K$2</f>
        <v>0.47603305785123967</v>
      </c>
      <c r="V10" t="s">
        <v>24</v>
      </c>
      <c r="W10">
        <f>COUNTIFS($E$2:E$1729,"small", $G$2:$G$1729, "unacc")/$K$2</f>
        <v>0.37190082644628097</v>
      </c>
      <c r="Y10" t="s">
        <v>95</v>
      </c>
      <c r="Z10">
        <f>COUNTIFS($F$2:F$1729,"low", $G$2:$G$1729, "unacc")/$K$2</f>
        <v>0.47603305785123967</v>
      </c>
    </row>
    <row r="11" spans="1:26" x14ac:dyDescent="0.25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  <c r="J11" t="s">
        <v>25</v>
      </c>
      <c r="K11">
        <f>COUNTIFS(A2:A1729, "high", G2:G1729, "unacc")/K2</f>
        <v>0.26776859504132233</v>
      </c>
      <c r="M11" t="s">
        <v>26</v>
      </c>
      <c r="N11">
        <f>COUNTIFS($B$2:$B$1729, "high", $G$2:$G$1729, "unacc")/$K$2</f>
        <v>0.25950413223140495</v>
      </c>
      <c r="P11" t="s">
        <v>27</v>
      </c>
      <c r="Q11">
        <f>COUNTIFS($C$2:C$1729, 3, $G$2:$G$1729, "unacc")/$K$2</f>
        <v>0.24793388429752067</v>
      </c>
      <c r="S11" t="s">
        <v>28</v>
      </c>
      <c r="T11">
        <f>COUNTIFS($D$2:D$1729,4, $G$2:$G$1729, "unacc")/$K$2</f>
        <v>0.25785123966942147</v>
      </c>
      <c r="V11" t="s">
        <v>29</v>
      </c>
      <c r="W11">
        <f>COUNTIFS($E$2:E$1729,"med", $G$2:$G$1729, "unacc")/$K$2</f>
        <v>0.32396694214876032</v>
      </c>
      <c r="Y11" t="s">
        <v>96</v>
      </c>
      <c r="Z11">
        <f>COUNTIFS($F$2:F$1729,"med", $G$2:$G$1729, "unacc")/$K$2</f>
        <v>0.29504132231404961</v>
      </c>
    </row>
    <row r="12" spans="1:26" x14ac:dyDescent="0.25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  <c r="J12" t="s">
        <v>30</v>
      </c>
      <c r="K12">
        <f>COUNTIFS(A2:A1729, "med", G2:G1729, "unacc")/K2</f>
        <v>0.22148760330578512</v>
      </c>
      <c r="M12" t="s">
        <v>31</v>
      </c>
      <c r="N12">
        <f>COUNTIFS($B$2:$B$1729, "med", $G$2:$G$1729, "unacc")/$K$2</f>
        <v>0.22148760330578512</v>
      </c>
      <c r="P12" t="s">
        <v>32</v>
      </c>
      <c r="Q12">
        <f>COUNTIFS($C$2:C$1729, 4, $G$2:$G$1729, "unacc")/$K$2</f>
        <v>0.24132231404958679</v>
      </c>
      <c r="S12" t="s">
        <v>33</v>
      </c>
      <c r="T12">
        <f>COUNTIFS($D$2:D$1729,"more", $G$2:$G$1729, "unacc")/$K$2</f>
        <v>0.26611570247933886</v>
      </c>
      <c r="V12" t="s">
        <v>34</v>
      </c>
      <c r="W12">
        <f>COUNTIFS($E$2:E$1729,"big", $G$2:$G$1729, "unacc")/$K$2</f>
        <v>0.30413223140495865</v>
      </c>
      <c r="Y12" t="s">
        <v>97</v>
      </c>
      <c r="Z12">
        <f>COUNTIFS($F$2:F$1729,"high", $G$2:$G$1729, "unacc")/$K$2</f>
        <v>0.22892561983471074</v>
      </c>
    </row>
    <row r="13" spans="1:26" x14ac:dyDescent="0.25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  <c r="J13" t="s">
        <v>35</v>
      </c>
      <c r="K13">
        <f>COUNTIFS(A2:A1729, "low", G2:G1729, "unacc")/K2</f>
        <v>0.21322314049586777</v>
      </c>
      <c r="M13" t="s">
        <v>36</v>
      </c>
      <c r="N13">
        <f>COUNTIFS($B$2:$B$1729, "low", $G$2:$G$1729, "unacc")/$K$2</f>
        <v>0.22148760330578512</v>
      </c>
      <c r="P13" t="s">
        <v>37</v>
      </c>
      <c r="Q13">
        <f>COUNTIFS($C$2:C$1729, "5more", $G$2:$G$1729, "unacc")/$K$2</f>
        <v>0.24132231404958679</v>
      </c>
    </row>
    <row r="14" spans="1:26" x14ac:dyDescent="0.25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  <c r="I14" t="s">
        <v>94</v>
      </c>
      <c r="K14">
        <f>SUM(K10:K13)</f>
        <v>1</v>
      </c>
      <c r="N14">
        <f>SUM(N10:N13)</f>
        <v>1</v>
      </c>
      <c r="Q14">
        <f>SUM(Q10:Q13)</f>
        <v>1</v>
      </c>
      <c r="T14">
        <f>SUM(T10:T13)</f>
        <v>1</v>
      </c>
      <c r="W14">
        <f>SUM(W10:W13)</f>
        <v>1</v>
      </c>
      <c r="Z14">
        <f>SUM(Z10:Z13)</f>
        <v>1</v>
      </c>
    </row>
    <row r="15" spans="1:26" x14ac:dyDescent="0.25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  <c r="J15" t="s">
        <v>38</v>
      </c>
      <c r="K15">
        <f>COUNTIFS($A$2:$A$1729, "vhigh", $G$2:$G$1729, "acc")/$L$2</f>
        <v>0.1875</v>
      </c>
      <c r="M15" t="s">
        <v>39</v>
      </c>
      <c r="N15">
        <f>COUNTIFS($B$2:$B$1729, "vhigh", $G$2:$G$1729, "acc")/$L$2</f>
        <v>0.1875</v>
      </c>
      <c r="P15" t="s">
        <v>40</v>
      </c>
      <c r="Q15">
        <f>COUNTIFS($C$2:$C$1729, 2, $G$2:$G$1729, "acc")/$L$2</f>
        <v>0.2109375</v>
      </c>
      <c r="S15" t="s">
        <v>41</v>
      </c>
      <c r="T15">
        <f>COUNTIFS($D$2:D$1729,2, $G$2:$G$1729, "acc")/$L$2</f>
        <v>0</v>
      </c>
      <c r="V15" t="s">
        <v>42</v>
      </c>
      <c r="W15">
        <f>COUNTIFS($E$2:E$1729,"small", $G$2:$G$1729, "acc")/$L$2</f>
        <v>0.2734375</v>
      </c>
      <c r="Y15" t="s">
        <v>98</v>
      </c>
      <c r="Z15">
        <f>COUNTIFS($F$2:F$1729,"low", $G$2:$G$1729, "acc")/$L$2</f>
        <v>0</v>
      </c>
    </row>
    <row r="16" spans="1:26" x14ac:dyDescent="0.25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  <c r="J16" t="s">
        <v>43</v>
      </c>
      <c r="K16">
        <f>COUNTIFS($A$2:$A$1729, "high", $G$2:$G$1729, "acc")/$L$2</f>
        <v>0.28125</v>
      </c>
      <c r="M16" t="s">
        <v>44</v>
      </c>
      <c r="N16">
        <f>COUNTIFS($B$2:$B$1729, "high", $G$2:$G$1729, "acc")/$L$2</f>
        <v>0.2734375</v>
      </c>
      <c r="P16" t="s">
        <v>45</v>
      </c>
      <c r="Q16">
        <f>COUNTIFS($C$2:$C$1729, 3, $G$2:$G$1729, "acc")/$L$2</f>
        <v>0.2578125</v>
      </c>
      <c r="S16" t="s">
        <v>46</v>
      </c>
      <c r="T16">
        <f>COUNTIFS($D$2:D$1729,4, $G$2:$G$1729, "acc")/$L$2</f>
        <v>0.515625</v>
      </c>
      <c r="V16" t="s">
        <v>47</v>
      </c>
      <c r="W16">
        <f>COUNTIFS($E$2:E$1729,"med", $G$2:$G$1729, "acc")/$L$2</f>
        <v>0.3515625</v>
      </c>
      <c r="Y16" t="s">
        <v>99</v>
      </c>
      <c r="Z16">
        <f>COUNTIFS($F$2:F$1729,"med", $G$2:$G$1729, "acc")/$L$2</f>
        <v>0.46875</v>
      </c>
    </row>
    <row r="17" spans="1:26" x14ac:dyDescent="0.25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  <c r="J17" t="s">
        <v>48</v>
      </c>
      <c r="K17">
        <f>COUNTIFS($A$2:$A$1729, "med", $G$2:$G$1729, "acc")/$L$2</f>
        <v>0.29947916666666669</v>
      </c>
      <c r="M17" t="s">
        <v>49</v>
      </c>
      <c r="N17">
        <f>COUNTIFS($B$2:$B$1729, "med", $G$2:$G$1729, "acc")/$L$2</f>
        <v>0.29947916666666669</v>
      </c>
      <c r="P17" t="s">
        <v>50</v>
      </c>
      <c r="Q17">
        <f>COUNTIFS($C$2:$C$1729, 4, $G$2:$G$1729, "acc")/$L$2</f>
        <v>0.265625</v>
      </c>
      <c r="S17" t="s">
        <v>51</v>
      </c>
      <c r="T17">
        <f>COUNTIFS($D$2:D$1729,"more", $G$2:$G$1729, "acc")/$L$2</f>
        <v>0.484375</v>
      </c>
      <c r="V17" t="s">
        <v>52</v>
      </c>
      <c r="W17">
        <f>COUNTIFS($E$2:E$1729,"big", $G$2:$G$1729, "acc")/$L$2</f>
        <v>0.375</v>
      </c>
      <c r="Y17" t="s">
        <v>100</v>
      </c>
      <c r="Z17">
        <f>COUNTIFS($F$2:F$1729,"high", $G$2:$G$1729, "acc")/$L$2</f>
        <v>0.53125</v>
      </c>
    </row>
    <row r="18" spans="1:26" x14ac:dyDescent="0.25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  <c r="J18" t="s">
        <v>53</v>
      </c>
      <c r="K18">
        <f>COUNTIFS($A$2:$A$1729, "low", $G$2:$G$1729, "acc")/$L$2</f>
        <v>0.23177083333333334</v>
      </c>
      <c r="M18" t="s">
        <v>54</v>
      </c>
      <c r="N18">
        <f>COUNTIFS($B$2:$B$1729, "low", $G$2:$G$1729, "acc")/$L$2</f>
        <v>0.23958333333333334</v>
      </c>
      <c r="P18" t="s">
        <v>55</v>
      </c>
      <c r="Q18">
        <f>COUNTIFS($C$2:$C$1729, "5more", $G$2:$G$1729, "acc")/$L$2</f>
        <v>0.265625</v>
      </c>
    </row>
    <row r="19" spans="1:26" x14ac:dyDescent="0.25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  <c r="I19" t="s">
        <v>94</v>
      </c>
      <c r="K19">
        <f>SUM(K15:K18)</f>
        <v>1</v>
      </c>
      <c r="N19">
        <f>SUM(N15:N18)</f>
        <v>1</v>
      </c>
      <c r="Q19">
        <f>SUM(Q15:Q18)</f>
        <v>1</v>
      </c>
      <c r="T19">
        <f>SUM(T15:T18)</f>
        <v>1</v>
      </c>
      <c r="W19">
        <f>SUM(W15:W18)</f>
        <v>1</v>
      </c>
      <c r="Z19">
        <f>SUM(Z15:Z18)</f>
        <v>1</v>
      </c>
    </row>
    <row r="20" spans="1:26" x14ac:dyDescent="0.25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  <c r="J20" t="s">
        <v>56</v>
      </c>
      <c r="K20">
        <f>COUNTIFS($A$2:$A$1729, "vhigh", $G$2:$G$1729, "good")/$M$2</f>
        <v>0</v>
      </c>
      <c r="M20" t="s">
        <v>57</v>
      </c>
      <c r="N20">
        <f>COUNTIFS($B$2:$B$1729, "vhigh", $G$2:$G$1729, "good")/$M$2</f>
        <v>0</v>
      </c>
      <c r="P20" t="s">
        <v>58</v>
      </c>
      <c r="Q20">
        <f>COUNTIFS($C$2:$C$1729, 2, $G$2:$G$1729, "good")/$M$2</f>
        <v>0.21739130434782608</v>
      </c>
      <c r="S20" t="s">
        <v>59</v>
      </c>
      <c r="T20">
        <f>COUNTIFS($D$2:D$1729,2, $G$2:$G$1729, "good")/$M$2</f>
        <v>0</v>
      </c>
      <c r="V20" t="s">
        <v>60</v>
      </c>
      <c r="W20">
        <f>COUNTIFS($E$2:E$1729,"small", $G$2:$G$1729, "good")/$M$2</f>
        <v>0.30434782608695654</v>
      </c>
      <c r="Y20" t="s">
        <v>101</v>
      </c>
      <c r="Z20">
        <f>COUNTIFS($F$2:F$1729,"low", $G$2:$G$1729, "good")/$M$2</f>
        <v>0</v>
      </c>
    </row>
    <row r="21" spans="1:26" x14ac:dyDescent="0.25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  <c r="J21" t="s">
        <v>61</v>
      </c>
      <c r="K21">
        <f>COUNTIFS($A$2:$A$1729, "high", $G$2:$G$1729, "good")/$M$2</f>
        <v>0</v>
      </c>
      <c r="M21" t="s">
        <v>62</v>
      </c>
      <c r="N21">
        <f>COUNTIFS($B$2:$B$1729, "high", $G$2:$G$1729, "good")/$M$2</f>
        <v>0</v>
      </c>
      <c r="P21" t="s">
        <v>63</v>
      </c>
      <c r="Q21">
        <f>COUNTIFS($C$2:$C$1729, 3, $G$2:$G$1729, "good")/$M$2</f>
        <v>0.2608695652173913</v>
      </c>
      <c r="S21" t="s">
        <v>64</v>
      </c>
      <c r="T21">
        <f>COUNTIFS($D$2:D$1729,4, $G$2:$G$1729, "good")/$M$2</f>
        <v>0.52173913043478259</v>
      </c>
      <c r="V21" t="s">
        <v>65</v>
      </c>
      <c r="W21">
        <f>COUNTIFS($E$2:E$1729,"med", $G$2:$G$1729, "good")/$M$2</f>
        <v>0.34782608695652173</v>
      </c>
      <c r="Y21" t="s">
        <v>102</v>
      </c>
      <c r="Z21">
        <f>COUNTIFS($F$2:F$1729,"med", $G$2:$G$1729, "good")/$M$2</f>
        <v>0.56521739130434778</v>
      </c>
    </row>
    <row r="22" spans="1:26" x14ac:dyDescent="0.25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  <c r="J22" t="s">
        <v>66</v>
      </c>
      <c r="K22">
        <f>COUNTIFS($A$2:$A$1729, "med", $G$2:$G$1729, "good")/$M$2</f>
        <v>0.33333333333333331</v>
      </c>
      <c r="M22" t="s">
        <v>67</v>
      </c>
      <c r="N22">
        <f>COUNTIFS($B$2:$B$1729, "med", $G$2:$G$1729, "good")/$M$2</f>
        <v>0.33333333333333331</v>
      </c>
      <c r="P22" t="s">
        <v>68</v>
      </c>
      <c r="Q22">
        <f>COUNTIFS($C$2:$C$1729, 4, $G$2:$G$1729, "good")/$M$2</f>
        <v>0.2608695652173913</v>
      </c>
      <c r="S22" t="s">
        <v>69</v>
      </c>
      <c r="T22">
        <f>COUNTIFS($D$2:D$1729,"more", $G$2:$G$1729, "good")/$M$2</f>
        <v>0.47826086956521741</v>
      </c>
      <c r="V22" t="s">
        <v>70</v>
      </c>
      <c r="W22">
        <f>COUNTIFS($E$2:E$1729,"med", $G$2:$G$1729, "good")/$M$2</f>
        <v>0.34782608695652173</v>
      </c>
      <c r="Y22" t="s">
        <v>103</v>
      </c>
      <c r="Z22">
        <f>COUNTIFS($F$2:F$1729,"high", $G$2:$G$1729, "good")/$M$2</f>
        <v>0.43478260869565216</v>
      </c>
    </row>
    <row r="23" spans="1:26" x14ac:dyDescent="0.25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  <c r="J23" t="s">
        <v>71</v>
      </c>
      <c r="K23">
        <f>COUNTIFS($A$2:$A$1729, "low", $G$2:$G$1729, "good")/$M$2</f>
        <v>0.66666666666666663</v>
      </c>
      <c r="M23" t="s">
        <v>72</v>
      </c>
      <c r="N23">
        <f>COUNTIFS($B$2:$B$1729, "low", $G$2:$G$1729, "good")/$M$2</f>
        <v>0.66666666666666663</v>
      </c>
      <c r="P23" t="s">
        <v>73</v>
      </c>
      <c r="Q23">
        <f>COUNTIFS($C$2:$C$1729, "5more", $G$2:$G$1729, "good")/$M$2</f>
        <v>0.2608695652173913</v>
      </c>
    </row>
    <row r="24" spans="1:26" x14ac:dyDescent="0.25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  <c r="I24" t="s">
        <v>94</v>
      </c>
      <c r="K24">
        <f>SUM(K20:K23)</f>
        <v>1</v>
      </c>
      <c r="N24">
        <f>SUM(N20:N23)</f>
        <v>1</v>
      </c>
      <c r="Q24">
        <f>SUM(Q20:Q23)</f>
        <v>1</v>
      </c>
      <c r="T24">
        <f>SUM(T20:T23)</f>
        <v>1</v>
      </c>
      <c r="W24">
        <f>SUM(W20:W23)</f>
        <v>1</v>
      </c>
      <c r="Z24">
        <f>SUM(Z20:Z23)</f>
        <v>1</v>
      </c>
    </row>
    <row r="25" spans="1:26" x14ac:dyDescent="0.25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  <c r="J25" t="s">
        <v>74</v>
      </c>
      <c r="K25">
        <f>COUNTIFS($A$2:$A$1729, "vhigh", $G$2:$G$1729, "vgood")/$N$2</f>
        <v>0</v>
      </c>
      <c r="M25" t="s">
        <v>75</v>
      </c>
      <c r="N25">
        <f>COUNTIFS($B$2:$B$1729, "vhigh", $G$2:$G$1729, "vgood")/$N$2</f>
        <v>0</v>
      </c>
      <c r="P25" t="s">
        <v>76</v>
      </c>
      <c r="Q25">
        <f>COUNTIFS($C$2:$C$1729,2,$G$2:$G$1729,"vgood")/$N$2</f>
        <v>0.15384615384615385</v>
      </c>
      <c r="S25" t="s">
        <v>77</v>
      </c>
      <c r="T25">
        <f>COUNTIFS($D$2:D$1729,2, $G$2:$G$1729, "vgood")/$N$2</f>
        <v>0</v>
      </c>
      <c r="V25" t="s">
        <v>78</v>
      </c>
      <c r="W25">
        <f>COUNTIFS($E$2:E$1729,"small", $G$2:$G$1729, "vgood")/$N$2</f>
        <v>0</v>
      </c>
      <c r="Y25" t="s">
        <v>104</v>
      </c>
      <c r="Z25">
        <f>COUNTIFS($F$2:F$1729,"low", $G$2:$G$1729, "vgood")/$N$2</f>
        <v>0</v>
      </c>
    </row>
    <row r="26" spans="1:26" x14ac:dyDescent="0.25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  <c r="J26" t="s">
        <v>79</v>
      </c>
      <c r="K26">
        <f>COUNTIFS($A$2:$A$1729, "high", $G$2:$G$1729, "vgood")/$N$2</f>
        <v>0</v>
      </c>
      <c r="M26" t="s">
        <v>80</v>
      </c>
      <c r="N26">
        <f>COUNTIFS($B$2:$B$1729, "high", $G$2:$G$1729, "vgood")/$N$2</f>
        <v>0.2</v>
      </c>
      <c r="P26" t="s">
        <v>81</v>
      </c>
      <c r="Q26">
        <f>COUNTIFS($C$2:$C$1729,3,$G$2:$G$1729,"vgood")/$N$2</f>
        <v>0.23076923076923078</v>
      </c>
      <c r="S26" t="s">
        <v>82</v>
      </c>
      <c r="T26">
        <f>COUNTIFS($D$2:D$1729,4, $G$2:$G$1729, "vgood")/$N$2</f>
        <v>0.46153846153846156</v>
      </c>
      <c r="V26" t="s">
        <v>83</v>
      </c>
      <c r="W26">
        <f>COUNTIFS($E$2:E$1729,"med", $G$2:$G$1729, "vgood")/$N$2</f>
        <v>0.38461538461538464</v>
      </c>
      <c r="Y26" t="s">
        <v>105</v>
      </c>
      <c r="Z26">
        <f>COUNTIFS($F$2:F$1729,"med", $G$2:$G$1729, "vgood")/$N$2</f>
        <v>0</v>
      </c>
    </row>
    <row r="27" spans="1:26" x14ac:dyDescent="0.25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  <c r="J27" t="s">
        <v>84</v>
      </c>
      <c r="K27">
        <f>COUNTIFS($A$2:$A$1729, "med", $G$2:$G$1729, "vgood")/$N$2</f>
        <v>0.4</v>
      </c>
      <c r="M27" t="s">
        <v>85</v>
      </c>
      <c r="N27">
        <f>COUNTIFS($B$2:$B$1729, "med", $G$2:$G$1729, "vgood")/$N$2</f>
        <v>0.4</v>
      </c>
      <c r="P27" t="s">
        <v>86</v>
      </c>
      <c r="Q27">
        <f>COUNTIFS($C$2:$C$1729,4,$G$2:$G$1729,"vgood")/$N$2</f>
        <v>0.30769230769230771</v>
      </c>
      <c r="S27" t="s">
        <v>87</v>
      </c>
      <c r="T27">
        <f>COUNTIFS($D$2:D$1729,"more", $G$2:$G$1729, "vgood")/$N$2</f>
        <v>0.53846153846153844</v>
      </c>
      <c r="V27" t="s">
        <v>88</v>
      </c>
      <c r="W27">
        <f>COUNTIFS($E$2:E$1729,"big", $G$2:$G$1729, "vgood")/$N$2</f>
        <v>0.61538461538461542</v>
      </c>
      <c r="Y27" t="s">
        <v>106</v>
      </c>
      <c r="Z27">
        <f>COUNTIFS($F$2:F$1729,"high", $G$2:$G$1729, "vgood")/$N$2</f>
        <v>1</v>
      </c>
    </row>
    <row r="28" spans="1:26" x14ac:dyDescent="0.25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  <c r="J28" t="s">
        <v>89</v>
      </c>
      <c r="K28">
        <f>COUNTIFS($A$2:$A$1729, "low", $G$2:$G$1729, "vgood")/$N$2</f>
        <v>0.6</v>
      </c>
      <c r="M28" t="s">
        <v>90</v>
      </c>
      <c r="N28">
        <f>COUNTIFS($B$2:$B$1729, "low", $G$2:$G$1729, "vgood")/$N$2</f>
        <v>0.4</v>
      </c>
      <c r="P28" t="s">
        <v>91</v>
      </c>
      <c r="Q28">
        <f>COUNTIFS($C$2:$C$1729,"5more",$G$2:$G$1729,"vgood")/$N$2</f>
        <v>0.30769230769230771</v>
      </c>
    </row>
    <row r="29" spans="1:26" x14ac:dyDescent="0.25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  <c r="I29" t="s">
        <v>94</v>
      </c>
      <c r="K29">
        <f>SUM(K25:K28)</f>
        <v>1</v>
      </c>
      <c r="N29">
        <f>SUM(N25:N28)</f>
        <v>1</v>
      </c>
      <c r="Q29">
        <f>SUM(Q25:Q28)</f>
        <v>1</v>
      </c>
      <c r="T29">
        <f>SUM(T25:T28)</f>
        <v>1</v>
      </c>
      <c r="W29">
        <f>SUM(W25:W28)</f>
        <v>1</v>
      </c>
      <c r="Z29">
        <f>SUM(Z25:Z28)</f>
        <v>1</v>
      </c>
    </row>
    <row r="30" spans="1:26" x14ac:dyDescent="0.25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26" ht="15.75" thickBot="1" x14ac:dyDescent="0.3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26" x14ac:dyDescent="0.25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  <c r="J32" s="2"/>
      <c r="K32" s="3" t="s">
        <v>10</v>
      </c>
      <c r="L32" s="3" t="s">
        <v>16</v>
      </c>
      <c r="M32" s="3" t="s">
        <v>18</v>
      </c>
      <c r="N32" s="4" t="s">
        <v>17</v>
      </c>
    </row>
    <row r="33" spans="1:14" ht="15.75" thickBot="1" x14ac:dyDescent="0.3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  <c r="J33" s="7" t="s">
        <v>107</v>
      </c>
      <c r="K33" s="8">
        <f>K6*K10*K11*K12*K13*N10*N11*N12*N13*Q10*Q11*Q12*Q13*T10*T11*T12*W10*W11*W12*Z10*Z11*Z12</f>
        <v>1.4938499547903545E-12</v>
      </c>
      <c r="L33" s="8">
        <v>0</v>
      </c>
      <c r="M33" s="8">
        <v>0</v>
      </c>
      <c r="N33" s="9">
        <v>0</v>
      </c>
    </row>
    <row r="34" spans="1:14" x14ac:dyDescent="0.25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14" x14ac:dyDescent="0.25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14" x14ac:dyDescent="0.25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14" x14ac:dyDescent="0.25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14" x14ac:dyDescent="0.25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14" x14ac:dyDescent="0.25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14" x14ac:dyDescent="0.25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14" x14ac:dyDescent="0.25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14" x14ac:dyDescent="0.25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14" x14ac:dyDescent="0.25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14" x14ac:dyDescent="0.25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14" x14ac:dyDescent="0.25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14" x14ac:dyDescent="0.25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14" x14ac:dyDescent="0.25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14" x14ac:dyDescent="0.25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25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25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25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25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25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25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25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25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25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25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25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25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25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25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25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25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25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25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25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25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25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25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25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25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25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25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25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25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25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25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25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25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25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25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25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25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25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25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25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25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25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25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25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25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25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25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25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25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25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25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25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25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25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25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25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25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25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25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25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25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25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25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25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25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25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25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25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25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25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25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25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25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25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25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25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25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25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25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25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25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25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25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25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25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25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25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25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25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25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25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25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25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25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25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25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25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25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25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25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25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25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25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25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25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25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25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25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25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25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25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25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25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25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25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25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25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25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25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25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25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25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25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25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25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25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25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25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25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25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25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25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25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25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25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25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25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25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25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25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25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25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25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25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25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25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25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25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25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25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25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25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25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25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25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25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25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25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25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25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25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25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25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25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25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25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25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25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25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25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25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25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25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25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25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25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25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25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25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25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25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25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25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25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25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25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25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25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25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25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25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25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25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25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25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25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25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25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25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25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25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25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25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25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25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25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25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25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25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25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25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25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25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25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25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25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25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25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25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25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25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25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25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25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25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25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25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25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25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25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25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25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25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25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25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25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25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25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25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25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25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25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25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25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25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25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25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25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25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25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25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25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25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25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25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25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25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25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25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25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25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25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25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25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25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25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25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25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25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25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25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25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25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25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25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25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25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25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25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25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25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25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25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25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25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25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25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25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25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25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25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25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25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25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25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25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25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25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25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25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25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25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25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25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25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25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25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25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25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25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25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25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25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25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25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25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25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25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25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25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25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25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25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25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25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25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25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25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25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25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25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25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25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25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25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25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25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25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25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25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25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25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25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25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25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25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25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25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25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25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25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25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25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25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25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25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25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25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25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25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25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25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25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25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25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25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25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25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25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25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25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25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25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25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25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25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25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25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25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25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25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25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25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25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25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25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25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25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25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25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25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25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25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25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25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25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25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25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25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25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25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25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25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25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25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25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25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25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25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25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25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25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25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25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25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25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25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25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25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25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25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25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25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25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25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25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25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25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25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25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25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25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25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25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25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25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25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25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25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25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25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25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25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25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25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25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25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25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25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25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25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25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25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25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25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25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25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25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25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25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25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25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25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25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25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25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25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25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25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25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25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25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25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25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25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25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25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25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25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25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25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25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25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25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25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25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25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25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25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25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25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25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25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25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25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25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25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25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25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25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25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25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25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25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25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25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25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25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25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25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25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25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25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25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25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25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25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25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25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25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25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25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25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25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25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25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25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25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25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25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25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25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25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25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25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25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25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25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25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25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25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25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25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25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25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25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25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25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25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25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25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25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25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25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25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25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25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25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25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25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25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25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25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25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25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25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25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25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25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25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25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25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25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25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25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25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25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25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25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25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25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25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25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25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25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25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25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25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25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25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25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25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25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25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25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25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25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25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25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25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25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25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25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25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25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25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25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25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25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25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25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25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25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25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25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25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25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25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25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25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25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25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25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25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25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25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25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25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25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25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25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25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25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25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25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25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25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25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25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25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25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25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25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25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25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25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25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25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25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25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25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25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25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25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25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25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25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25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25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25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25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25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25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25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25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25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25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25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25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25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25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25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25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25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25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25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25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25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25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25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25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25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25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25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25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25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25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25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25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25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25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25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25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25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25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25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25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25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25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25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25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25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25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25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25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25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25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25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25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25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25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25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25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25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25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25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25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25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25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25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25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25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25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25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25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25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25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25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25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25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25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25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25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25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25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25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25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25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25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25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25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25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25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25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25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25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25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25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25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25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25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25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25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25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25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25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25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25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25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25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25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25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25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25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25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25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25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25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25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25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25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25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25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25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25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25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25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25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25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25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25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25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25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25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25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25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25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25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25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25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25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25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25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25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25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25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25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25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25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25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25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25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25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25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25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25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25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25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25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25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25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25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25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25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25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25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25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25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25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25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25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25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25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25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25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25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25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25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25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25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25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25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25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25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25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25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25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25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25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25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25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25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25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25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25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25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25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25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25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25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25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25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25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25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25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25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25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25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25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25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25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25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25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25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25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25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25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25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25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25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25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25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25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25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25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25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25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25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25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25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25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25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25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25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25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25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25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25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25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25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25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25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25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25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25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25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25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25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25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25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25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25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25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25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25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25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25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25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25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25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25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25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25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25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25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25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25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25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25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25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25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25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25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25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25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25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25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25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25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25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25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25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25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25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25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25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25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25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25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25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25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25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25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25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25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25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25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25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25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25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25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25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25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25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25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25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25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25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25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25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25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25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25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25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25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25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25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25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25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25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25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25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25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25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25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25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25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25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25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25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25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25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25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25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25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25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25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25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25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25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25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25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25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25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25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25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25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25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25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25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25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25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25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25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25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25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25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25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25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25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25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25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25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25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25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25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25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25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25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25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25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25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25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25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25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25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25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25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25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25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25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25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25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25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25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25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25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25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25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25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25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25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25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25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25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25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25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25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25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25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25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25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17</v>
      </c>
    </row>
    <row r="1100" spans="1:7" x14ac:dyDescent="0.25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 x14ac:dyDescent="0.25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 x14ac:dyDescent="0.25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 x14ac:dyDescent="0.25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 x14ac:dyDescent="0.25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 x14ac:dyDescent="0.25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 x14ac:dyDescent="0.25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 x14ac:dyDescent="0.25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 x14ac:dyDescent="0.25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17</v>
      </c>
    </row>
    <row r="1109" spans="1:7" x14ac:dyDescent="0.25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25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25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25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25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25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25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25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25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25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25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 x14ac:dyDescent="0.25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 x14ac:dyDescent="0.25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25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 x14ac:dyDescent="0.25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 x14ac:dyDescent="0.25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25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 x14ac:dyDescent="0.25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17</v>
      </c>
    </row>
    <row r="1127" spans="1:7" x14ac:dyDescent="0.25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 x14ac:dyDescent="0.25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 x14ac:dyDescent="0.25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 x14ac:dyDescent="0.25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 x14ac:dyDescent="0.25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 x14ac:dyDescent="0.25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17</v>
      </c>
    </row>
    <row r="1133" spans="1:7" x14ac:dyDescent="0.25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 x14ac:dyDescent="0.25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 x14ac:dyDescent="0.25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17</v>
      </c>
    </row>
    <row r="1136" spans="1:7" x14ac:dyDescent="0.25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25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25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25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25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25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25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25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25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25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25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 x14ac:dyDescent="0.25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 x14ac:dyDescent="0.25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25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 x14ac:dyDescent="0.25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17</v>
      </c>
    </row>
    <row r="1151" spans="1:7" x14ac:dyDescent="0.25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25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 x14ac:dyDescent="0.25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17</v>
      </c>
    </row>
    <row r="1154" spans="1:7" x14ac:dyDescent="0.25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 x14ac:dyDescent="0.25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 x14ac:dyDescent="0.25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 x14ac:dyDescent="0.25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 x14ac:dyDescent="0.25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17</v>
      </c>
    </row>
    <row r="1160" spans="1:7" x14ac:dyDescent="0.25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 x14ac:dyDescent="0.25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 x14ac:dyDescent="0.25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17</v>
      </c>
    </row>
    <row r="1163" spans="1:7" x14ac:dyDescent="0.25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25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25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25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25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25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25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25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25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25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25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 x14ac:dyDescent="0.25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 x14ac:dyDescent="0.25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25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 x14ac:dyDescent="0.25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17</v>
      </c>
    </row>
    <row r="1178" spans="1:7" x14ac:dyDescent="0.25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25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 x14ac:dyDescent="0.25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17</v>
      </c>
    </row>
    <row r="1181" spans="1:7" x14ac:dyDescent="0.25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 x14ac:dyDescent="0.25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 x14ac:dyDescent="0.25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 x14ac:dyDescent="0.25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 x14ac:dyDescent="0.25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 x14ac:dyDescent="0.25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17</v>
      </c>
    </row>
    <row r="1187" spans="1:7" x14ac:dyDescent="0.25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 x14ac:dyDescent="0.25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 x14ac:dyDescent="0.25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17</v>
      </c>
    </row>
    <row r="1190" spans="1:7" x14ac:dyDescent="0.25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25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25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25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25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25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25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25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25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25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25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 x14ac:dyDescent="0.25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18</v>
      </c>
    </row>
    <row r="1202" spans="1:7" x14ac:dyDescent="0.25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25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 x14ac:dyDescent="0.25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18</v>
      </c>
    </row>
    <row r="1205" spans="1:7" x14ac:dyDescent="0.25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25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18</v>
      </c>
    </row>
    <row r="1207" spans="1:7" x14ac:dyDescent="0.25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17</v>
      </c>
    </row>
    <row r="1208" spans="1:7" x14ac:dyDescent="0.25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 x14ac:dyDescent="0.25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 x14ac:dyDescent="0.25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 x14ac:dyDescent="0.25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 x14ac:dyDescent="0.25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 x14ac:dyDescent="0.25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18</v>
      </c>
    </row>
    <row r="1214" spans="1:7" x14ac:dyDescent="0.25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25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18</v>
      </c>
    </row>
    <row r="1216" spans="1:7" x14ac:dyDescent="0.25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17</v>
      </c>
    </row>
    <row r="1217" spans="1:7" x14ac:dyDescent="0.25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25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25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25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25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25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25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25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25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25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25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 x14ac:dyDescent="0.25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18</v>
      </c>
    </row>
    <row r="1229" spans="1:7" x14ac:dyDescent="0.25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25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 x14ac:dyDescent="0.25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18</v>
      </c>
    </row>
    <row r="1232" spans="1:7" x14ac:dyDescent="0.25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25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18</v>
      </c>
    </row>
    <row r="1234" spans="1:7" x14ac:dyDescent="0.25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17</v>
      </c>
    </row>
    <row r="1235" spans="1:7" x14ac:dyDescent="0.25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 x14ac:dyDescent="0.25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 x14ac:dyDescent="0.25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18</v>
      </c>
    </row>
    <row r="1238" spans="1:7" x14ac:dyDescent="0.25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 x14ac:dyDescent="0.25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18</v>
      </c>
    </row>
    <row r="1240" spans="1:7" x14ac:dyDescent="0.25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17</v>
      </c>
    </row>
    <row r="1241" spans="1:7" x14ac:dyDescent="0.25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 x14ac:dyDescent="0.25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18</v>
      </c>
    </row>
    <row r="1243" spans="1:7" x14ac:dyDescent="0.25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17</v>
      </c>
    </row>
    <row r="1244" spans="1:7" x14ac:dyDescent="0.25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25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25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25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25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25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25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25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25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25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25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 x14ac:dyDescent="0.25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18</v>
      </c>
    </row>
    <row r="1256" spans="1:7" x14ac:dyDescent="0.25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25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18</v>
      </c>
    </row>
    <row r="1258" spans="1:7" x14ac:dyDescent="0.25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17</v>
      </c>
    </row>
    <row r="1259" spans="1:7" x14ac:dyDescent="0.25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25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18</v>
      </c>
    </row>
    <row r="1261" spans="1:7" x14ac:dyDescent="0.25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17</v>
      </c>
    </row>
    <row r="1262" spans="1:7" x14ac:dyDescent="0.25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 x14ac:dyDescent="0.25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 x14ac:dyDescent="0.25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18</v>
      </c>
    </row>
    <row r="1265" spans="1:7" x14ac:dyDescent="0.25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 x14ac:dyDescent="0.25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18</v>
      </c>
    </row>
    <row r="1267" spans="1:7" x14ac:dyDescent="0.25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17</v>
      </c>
    </row>
    <row r="1268" spans="1:7" x14ac:dyDescent="0.25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 x14ac:dyDescent="0.25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18</v>
      </c>
    </row>
    <row r="1270" spans="1:7" x14ac:dyDescent="0.25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17</v>
      </c>
    </row>
    <row r="1271" spans="1:7" x14ac:dyDescent="0.25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25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25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25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25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25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25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25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25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25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25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 x14ac:dyDescent="0.25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18</v>
      </c>
    </row>
    <row r="1283" spans="1:7" x14ac:dyDescent="0.25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25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18</v>
      </c>
    </row>
    <row r="1285" spans="1:7" x14ac:dyDescent="0.25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17</v>
      </c>
    </row>
    <row r="1286" spans="1:7" x14ac:dyDescent="0.25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25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18</v>
      </c>
    </row>
    <row r="1288" spans="1:7" x14ac:dyDescent="0.25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17</v>
      </c>
    </row>
    <row r="1289" spans="1:7" x14ac:dyDescent="0.25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 x14ac:dyDescent="0.25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 x14ac:dyDescent="0.25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18</v>
      </c>
    </row>
    <row r="1292" spans="1:7" x14ac:dyDescent="0.25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 x14ac:dyDescent="0.25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18</v>
      </c>
    </row>
    <row r="1294" spans="1:7" x14ac:dyDescent="0.25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17</v>
      </c>
    </row>
    <row r="1295" spans="1:7" x14ac:dyDescent="0.25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 x14ac:dyDescent="0.25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18</v>
      </c>
    </row>
    <row r="1297" spans="1:7" x14ac:dyDescent="0.25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17</v>
      </c>
    </row>
    <row r="1298" spans="1:7" x14ac:dyDescent="0.25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25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25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25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25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25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25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25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25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25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25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25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 x14ac:dyDescent="0.25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25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25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 x14ac:dyDescent="0.25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25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 x14ac:dyDescent="0.25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 x14ac:dyDescent="0.25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 x14ac:dyDescent="0.25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 x14ac:dyDescent="0.25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 x14ac:dyDescent="0.25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 x14ac:dyDescent="0.25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 x14ac:dyDescent="0.25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 x14ac:dyDescent="0.25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 x14ac:dyDescent="0.25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 x14ac:dyDescent="0.25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 x14ac:dyDescent="0.25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25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25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25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25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25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25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25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25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25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25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25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 x14ac:dyDescent="0.25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25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25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 x14ac:dyDescent="0.25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25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 x14ac:dyDescent="0.25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 x14ac:dyDescent="0.25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 x14ac:dyDescent="0.25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 x14ac:dyDescent="0.25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 x14ac:dyDescent="0.25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 x14ac:dyDescent="0.25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 x14ac:dyDescent="0.25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 x14ac:dyDescent="0.25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 x14ac:dyDescent="0.25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 x14ac:dyDescent="0.25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 x14ac:dyDescent="0.25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25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25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25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25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25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25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25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25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25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25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25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 x14ac:dyDescent="0.25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25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 x14ac:dyDescent="0.25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 x14ac:dyDescent="0.25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25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 x14ac:dyDescent="0.25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 x14ac:dyDescent="0.25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 x14ac:dyDescent="0.25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 x14ac:dyDescent="0.25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 x14ac:dyDescent="0.25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 x14ac:dyDescent="0.25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 x14ac:dyDescent="0.25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 x14ac:dyDescent="0.25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 x14ac:dyDescent="0.25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 x14ac:dyDescent="0.25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 x14ac:dyDescent="0.25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25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25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25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25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25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25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25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25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25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25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25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 x14ac:dyDescent="0.25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25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 x14ac:dyDescent="0.25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 x14ac:dyDescent="0.25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25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 x14ac:dyDescent="0.25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 x14ac:dyDescent="0.25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 x14ac:dyDescent="0.25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 x14ac:dyDescent="0.25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 x14ac:dyDescent="0.25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 x14ac:dyDescent="0.25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 x14ac:dyDescent="0.25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 x14ac:dyDescent="0.25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 x14ac:dyDescent="0.25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 x14ac:dyDescent="0.25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 x14ac:dyDescent="0.25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25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25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25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25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25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25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25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25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25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25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25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25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25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25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 x14ac:dyDescent="0.25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25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 x14ac:dyDescent="0.25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17</v>
      </c>
    </row>
    <row r="1424" spans="1:7" x14ac:dyDescent="0.25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 x14ac:dyDescent="0.25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 x14ac:dyDescent="0.25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 x14ac:dyDescent="0.25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 x14ac:dyDescent="0.25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 x14ac:dyDescent="0.25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 x14ac:dyDescent="0.25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 x14ac:dyDescent="0.25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 x14ac:dyDescent="0.25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17</v>
      </c>
    </row>
    <row r="1433" spans="1:7" x14ac:dyDescent="0.25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25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25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25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25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25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25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25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25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25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25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 x14ac:dyDescent="0.25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 x14ac:dyDescent="0.25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25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 x14ac:dyDescent="0.25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 x14ac:dyDescent="0.25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25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 x14ac:dyDescent="0.25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17</v>
      </c>
    </row>
    <row r="1451" spans="1:7" x14ac:dyDescent="0.25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 x14ac:dyDescent="0.25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 x14ac:dyDescent="0.25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 x14ac:dyDescent="0.25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 x14ac:dyDescent="0.25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 x14ac:dyDescent="0.25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17</v>
      </c>
    </row>
    <row r="1457" spans="1:7" x14ac:dyDescent="0.25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 x14ac:dyDescent="0.25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 x14ac:dyDescent="0.25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17</v>
      </c>
    </row>
    <row r="1460" spans="1:7" x14ac:dyDescent="0.25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25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25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25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25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25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25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25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25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25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25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 x14ac:dyDescent="0.25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 x14ac:dyDescent="0.25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25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 x14ac:dyDescent="0.25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17</v>
      </c>
    </row>
    <row r="1475" spans="1:7" x14ac:dyDescent="0.25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25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 x14ac:dyDescent="0.25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17</v>
      </c>
    </row>
    <row r="1478" spans="1:7" x14ac:dyDescent="0.25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 x14ac:dyDescent="0.25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 x14ac:dyDescent="0.25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 x14ac:dyDescent="0.25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 x14ac:dyDescent="0.25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 x14ac:dyDescent="0.25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17</v>
      </c>
    </row>
    <row r="1484" spans="1:7" x14ac:dyDescent="0.25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 x14ac:dyDescent="0.25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 x14ac:dyDescent="0.25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17</v>
      </c>
    </row>
    <row r="1487" spans="1:7" x14ac:dyDescent="0.25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25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25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25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25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25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25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25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25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25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25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 x14ac:dyDescent="0.25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 x14ac:dyDescent="0.25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25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 x14ac:dyDescent="0.25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17</v>
      </c>
    </row>
    <row r="1502" spans="1:7" x14ac:dyDescent="0.25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25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 x14ac:dyDescent="0.25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17</v>
      </c>
    </row>
    <row r="1505" spans="1:7" x14ac:dyDescent="0.25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 x14ac:dyDescent="0.25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 x14ac:dyDescent="0.25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 x14ac:dyDescent="0.25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 x14ac:dyDescent="0.25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 x14ac:dyDescent="0.25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17</v>
      </c>
    </row>
    <row r="1511" spans="1:7" x14ac:dyDescent="0.25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 x14ac:dyDescent="0.25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 x14ac:dyDescent="0.25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17</v>
      </c>
    </row>
    <row r="1514" spans="1:7" x14ac:dyDescent="0.25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25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25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25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25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25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25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25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25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25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25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 x14ac:dyDescent="0.25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18</v>
      </c>
    </row>
    <row r="1526" spans="1:7" x14ac:dyDescent="0.25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25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 x14ac:dyDescent="0.25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18</v>
      </c>
    </row>
    <row r="1529" spans="1:7" x14ac:dyDescent="0.25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25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18</v>
      </c>
    </row>
    <row r="1531" spans="1:7" x14ac:dyDescent="0.25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17</v>
      </c>
    </row>
    <row r="1532" spans="1:7" x14ac:dyDescent="0.25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 x14ac:dyDescent="0.25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 x14ac:dyDescent="0.25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 x14ac:dyDescent="0.25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 x14ac:dyDescent="0.25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 x14ac:dyDescent="0.25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18</v>
      </c>
    </row>
    <row r="1538" spans="1:7" x14ac:dyDescent="0.25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 x14ac:dyDescent="0.25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18</v>
      </c>
    </row>
    <row r="1540" spans="1:7" x14ac:dyDescent="0.25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17</v>
      </c>
    </row>
    <row r="1541" spans="1:7" x14ac:dyDescent="0.25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25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25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25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25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25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25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25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25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25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25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 x14ac:dyDescent="0.25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18</v>
      </c>
    </row>
    <row r="1553" spans="1:7" x14ac:dyDescent="0.25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25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 x14ac:dyDescent="0.25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18</v>
      </c>
    </row>
    <row r="1556" spans="1:7" x14ac:dyDescent="0.25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25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18</v>
      </c>
    </row>
    <row r="1558" spans="1:7" x14ac:dyDescent="0.25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17</v>
      </c>
    </row>
    <row r="1559" spans="1:7" x14ac:dyDescent="0.25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 x14ac:dyDescent="0.25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 x14ac:dyDescent="0.25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18</v>
      </c>
    </row>
    <row r="1562" spans="1:7" x14ac:dyDescent="0.25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 x14ac:dyDescent="0.25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18</v>
      </c>
    </row>
    <row r="1564" spans="1:7" x14ac:dyDescent="0.25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17</v>
      </c>
    </row>
    <row r="1565" spans="1:7" x14ac:dyDescent="0.25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 x14ac:dyDescent="0.25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18</v>
      </c>
    </row>
    <row r="1567" spans="1:7" x14ac:dyDescent="0.25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17</v>
      </c>
    </row>
    <row r="1568" spans="1:7" x14ac:dyDescent="0.25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25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25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25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25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25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25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25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25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25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25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 x14ac:dyDescent="0.25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18</v>
      </c>
    </row>
    <row r="1580" spans="1:7" x14ac:dyDescent="0.25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25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18</v>
      </c>
    </row>
    <row r="1582" spans="1:7" x14ac:dyDescent="0.25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17</v>
      </c>
    </row>
    <row r="1583" spans="1:7" x14ac:dyDescent="0.25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25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18</v>
      </c>
    </row>
    <row r="1585" spans="1:7" x14ac:dyDescent="0.25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17</v>
      </c>
    </row>
    <row r="1586" spans="1:7" x14ac:dyDescent="0.25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 x14ac:dyDescent="0.25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 x14ac:dyDescent="0.25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18</v>
      </c>
    </row>
    <row r="1589" spans="1:7" x14ac:dyDescent="0.25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 x14ac:dyDescent="0.25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18</v>
      </c>
    </row>
    <row r="1591" spans="1:7" x14ac:dyDescent="0.25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17</v>
      </c>
    </row>
    <row r="1592" spans="1:7" x14ac:dyDescent="0.25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 x14ac:dyDescent="0.25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18</v>
      </c>
    </row>
    <row r="1594" spans="1:7" x14ac:dyDescent="0.25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17</v>
      </c>
    </row>
    <row r="1595" spans="1:7" x14ac:dyDescent="0.25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25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25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25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25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25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25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25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25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25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25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 x14ac:dyDescent="0.25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18</v>
      </c>
    </row>
    <row r="1607" spans="1:7" x14ac:dyDescent="0.25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25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18</v>
      </c>
    </row>
    <row r="1609" spans="1:7" x14ac:dyDescent="0.25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17</v>
      </c>
    </row>
    <row r="1610" spans="1:7" x14ac:dyDescent="0.25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25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18</v>
      </c>
    </row>
    <row r="1612" spans="1:7" x14ac:dyDescent="0.25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17</v>
      </c>
    </row>
    <row r="1613" spans="1:7" x14ac:dyDescent="0.25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 x14ac:dyDescent="0.25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 x14ac:dyDescent="0.25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18</v>
      </c>
    </row>
    <row r="1616" spans="1:7" x14ac:dyDescent="0.25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 x14ac:dyDescent="0.25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18</v>
      </c>
    </row>
    <row r="1618" spans="1:7" x14ac:dyDescent="0.25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17</v>
      </c>
    </row>
    <row r="1619" spans="1:7" x14ac:dyDescent="0.25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 x14ac:dyDescent="0.25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18</v>
      </c>
    </row>
    <row r="1621" spans="1:7" x14ac:dyDescent="0.25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17</v>
      </c>
    </row>
    <row r="1622" spans="1:7" x14ac:dyDescent="0.25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25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25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25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25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25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25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25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25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25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25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 x14ac:dyDescent="0.25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18</v>
      </c>
    </row>
    <row r="1634" spans="1:7" x14ac:dyDescent="0.25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25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 x14ac:dyDescent="0.25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18</v>
      </c>
    </row>
    <row r="1637" spans="1:7" x14ac:dyDescent="0.25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25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18</v>
      </c>
    </row>
    <row r="1639" spans="1:7" x14ac:dyDescent="0.25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17</v>
      </c>
    </row>
    <row r="1640" spans="1:7" x14ac:dyDescent="0.25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 x14ac:dyDescent="0.25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 x14ac:dyDescent="0.25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 x14ac:dyDescent="0.25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 x14ac:dyDescent="0.25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 x14ac:dyDescent="0.25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18</v>
      </c>
    </row>
    <row r="1646" spans="1:7" x14ac:dyDescent="0.25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 x14ac:dyDescent="0.25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18</v>
      </c>
    </row>
    <row r="1648" spans="1:7" x14ac:dyDescent="0.25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17</v>
      </c>
    </row>
    <row r="1649" spans="1:7" x14ac:dyDescent="0.25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25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25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25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25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25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25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25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25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25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25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 x14ac:dyDescent="0.25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18</v>
      </c>
    </row>
    <row r="1661" spans="1:7" x14ac:dyDescent="0.25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25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 x14ac:dyDescent="0.25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18</v>
      </c>
    </row>
    <row r="1664" spans="1:7" x14ac:dyDescent="0.25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25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18</v>
      </c>
    </row>
    <row r="1666" spans="1:7" x14ac:dyDescent="0.25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17</v>
      </c>
    </row>
    <row r="1667" spans="1:7" x14ac:dyDescent="0.25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 x14ac:dyDescent="0.25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 x14ac:dyDescent="0.25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18</v>
      </c>
    </row>
    <row r="1670" spans="1:7" x14ac:dyDescent="0.25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 x14ac:dyDescent="0.25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18</v>
      </c>
    </row>
    <row r="1672" spans="1:7" x14ac:dyDescent="0.25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17</v>
      </c>
    </row>
    <row r="1673" spans="1:7" x14ac:dyDescent="0.25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 x14ac:dyDescent="0.25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18</v>
      </c>
    </row>
    <row r="1675" spans="1:7" x14ac:dyDescent="0.25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17</v>
      </c>
    </row>
    <row r="1676" spans="1:7" x14ac:dyDescent="0.25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25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25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25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25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25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25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25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25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25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25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 x14ac:dyDescent="0.25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18</v>
      </c>
    </row>
    <row r="1688" spans="1:7" x14ac:dyDescent="0.25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25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18</v>
      </c>
    </row>
    <row r="1690" spans="1:7" x14ac:dyDescent="0.25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17</v>
      </c>
    </row>
    <row r="1691" spans="1:7" x14ac:dyDescent="0.25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25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18</v>
      </c>
    </row>
    <row r="1693" spans="1:7" x14ac:dyDescent="0.25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17</v>
      </c>
    </row>
    <row r="1694" spans="1:7" x14ac:dyDescent="0.25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 x14ac:dyDescent="0.25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 x14ac:dyDescent="0.25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18</v>
      </c>
    </row>
    <row r="1697" spans="1:7" x14ac:dyDescent="0.25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 x14ac:dyDescent="0.25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18</v>
      </c>
    </row>
    <row r="1699" spans="1:7" x14ac:dyDescent="0.25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17</v>
      </c>
    </row>
    <row r="1700" spans="1:7" x14ac:dyDescent="0.25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 x14ac:dyDescent="0.25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18</v>
      </c>
    </row>
    <row r="1702" spans="1:7" x14ac:dyDescent="0.25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17</v>
      </c>
    </row>
    <row r="1703" spans="1:7" x14ac:dyDescent="0.25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25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25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25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25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25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25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25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25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25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25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 x14ac:dyDescent="0.25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18</v>
      </c>
    </row>
    <row r="1715" spans="1:7" x14ac:dyDescent="0.25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25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18</v>
      </c>
    </row>
    <row r="1717" spans="1:7" x14ac:dyDescent="0.25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17</v>
      </c>
    </row>
    <row r="1718" spans="1:7" x14ac:dyDescent="0.25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25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18</v>
      </c>
    </row>
    <row r="1720" spans="1:7" x14ac:dyDescent="0.25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17</v>
      </c>
    </row>
    <row r="1721" spans="1:7" x14ac:dyDescent="0.25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 x14ac:dyDescent="0.25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 x14ac:dyDescent="0.25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18</v>
      </c>
    </row>
    <row r="1724" spans="1:7" x14ac:dyDescent="0.25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 x14ac:dyDescent="0.25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18</v>
      </c>
    </row>
    <row r="1726" spans="1:7" x14ac:dyDescent="0.25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17</v>
      </c>
    </row>
    <row r="1727" spans="1:7" x14ac:dyDescent="0.25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 x14ac:dyDescent="0.25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18</v>
      </c>
    </row>
    <row r="1729" spans="1:7" x14ac:dyDescent="0.25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Harvest Walukow</cp:lastModifiedBy>
  <dcterms:created xsi:type="dcterms:W3CDTF">2025-03-25T18:02:00Z</dcterms:created>
  <dcterms:modified xsi:type="dcterms:W3CDTF">2025-03-25T18:02:00Z</dcterms:modified>
</cp:coreProperties>
</file>