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60" windowWidth="18195" windowHeight="11565"/>
  </bookViews>
  <sheets>
    <sheet name="Pricing" sheetId="2" r:id="rId1"/>
    <sheet name="VolMarking" sheetId="3" r:id="rId2"/>
    <sheet name="Market" sheetId="4" r:id="rId3"/>
    <sheet name="Reference" sheetId="1" r:id="rId4"/>
    <sheet name="Samuelson demo" sheetId="5" r:id="rId5"/>
  </sheets>
  <definedNames>
    <definedName name="FormulaString">Reference!$I$2:$K$11</definedName>
    <definedName name="SB_Holidays">Reference!$E$2:$E$46</definedName>
    <definedName name="SB_OptExpiry">Reference!$B$2:$C$27</definedName>
  </definedNames>
  <calcPr calcId="125725" calcMode="manual"/>
</workbook>
</file>

<file path=xl/calcChain.xml><?xml version="1.0" encoding="utf-8"?>
<calcChain xmlns="http://schemas.openxmlformats.org/spreadsheetml/2006/main">
  <c r="G83" i="2"/>
  <c r="G75"/>
  <c r="G74"/>
  <c r="G73"/>
  <c r="AF82" l="1" a="1"/>
  <c r="AL82" s="1"/>
  <c r="X82" a="1"/>
  <c r="AD82" s="1"/>
  <c r="X72" a="1"/>
  <c r="X72" s="1"/>
  <c r="AF72" a="1"/>
  <c r="AF72" s="1"/>
  <c r="N5" i="4"/>
  <c r="N6"/>
  <c r="N7"/>
  <c r="N8"/>
  <c r="N9"/>
  <c r="N10"/>
  <c r="N4"/>
  <c r="D3" i="2"/>
  <c r="D66"/>
  <c r="D65"/>
  <c r="D64"/>
  <c r="D63"/>
  <c r="F62"/>
  <c r="G62"/>
  <c r="H62"/>
  <c r="I62"/>
  <c r="F63"/>
  <c r="G63"/>
  <c r="H63"/>
  <c r="I63"/>
  <c r="F64"/>
  <c r="G64"/>
  <c r="H64"/>
  <c r="I64"/>
  <c r="F65"/>
  <c r="G65"/>
  <c r="H65"/>
  <c r="I65"/>
  <c r="F66"/>
  <c r="G66"/>
  <c r="H66"/>
  <c r="I66"/>
  <c r="N66"/>
  <c r="E66"/>
  <c r="N65"/>
  <c r="E65"/>
  <c r="N64"/>
  <c r="E64"/>
  <c r="N63"/>
  <c r="E63"/>
  <c r="N62"/>
  <c r="E62"/>
  <c r="D62"/>
  <c r="K51"/>
  <c r="J51"/>
  <c r="E51"/>
  <c r="D51"/>
  <c r="E42"/>
  <c r="E43"/>
  <c r="E44"/>
  <c r="E45"/>
  <c r="E41"/>
  <c r="L34"/>
  <c r="K34"/>
  <c r="E34"/>
  <c r="E27"/>
  <c r="E18"/>
  <c r="E9"/>
  <c r="F9"/>
  <c r="G9"/>
  <c r="H9"/>
  <c r="I9"/>
  <c r="I34"/>
  <c r="H34"/>
  <c r="G34"/>
  <c r="F34"/>
  <c r="D34"/>
  <c r="B44" i="3"/>
  <c r="B45" s="1"/>
  <c r="B46" s="1"/>
  <c r="B47" s="1"/>
  <c r="B48" s="1"/>
  <c r="B43"/>
  <c r="C34"/>
  <c r="G18" i="5"/>
  <c r="H18" s="1"/>
  <c r="G19"/>
  <c r="H19" s="1"/>
  <c r="G20"/>
  <c r="H20" s="1"/>
  <c r="G21"/>
  <c r="H21" s="1"/>
  <c r="G22"/>
  <c r="H22" s="1"/>
  <c r="G23"/>
  <c r="H23" s="1"/>
  <c r="G24"/>
  <c r="H24" s="1"/>
  <c r="G25"/>
  <c r="H25" s="1"/>
  <c r="G26"/>
  <c r="H26" s="1"/>
  <c r="G27"/>
  <c r="H27" s="1"/>
  <c r="G28"/>
  <c r="H28" s="1"/>
  <c r="G29"/>
  <c r="H29" s="1"/>
  <c r="E18"/>
  <c r="E19"/>
  <c r="E20"/>
  <c r="E21"/>
  <c r="E22"/>
  <c r="E23"/>
  <c r="E24"/>
  <c r="E25"/>
  <c r="E26"/>
  <c r="E27"/>
  <c r="E28"/>
  <c r="E29"/>
  <c r="G6"/>
  <c r="H6" s="1"/>
  <c r="G7"/>
  <c r="H7" s="1"/>
  <c r="G8"/>
  <c r="H8" s="1"/>
  <c r="G9"/>
  <c r="H9" s="1"/>
  <c r="G10"/>
  <c r="H10" s="1"/>
  <c r="G11"/>
  <c r="H11" s="1"/>
  <c r="G12"/>
  <c r="H12" s="1"/>
  <c r="G13"/>
  <c r="H13" s="1"/>
  <c r="G14"/>
  <c r="H14" s="1"/>
  <c r="G15"/>
  <c r="H15" s="1"/>
  <c r="G16"/>
  <c r="H16" s="1"/>
  <c r="G17"/>
  <c r="H17" s="1"/>
  <c r="G5"/>
  <c r="H5" s="1"/>
  <c r="E6"/>
  <c r="E7"/>
  <c r="E8"/>
  <c r="E9"/>
  <c r="E10"/>
  <c r="E11"/>
  <c r="E12"/>
  <c r="E13"/>
  <c r="E14"/>
  <c r="E15"/>
  <c r="E16"/>
  <c r="E17"/>
  <c r="E5"/>
  <c r="F57" i="2"/>
  <c r="C57"/>
  <c r="K9"/>
  <c r="K45"/>
  <c r="D45"/>
  <c r="K44"/>
  <c r="D44"/>
  <c r="K43"/>
  <c r="D43"/>
  <c r="K42"/>
  <c r="D42"/>
  <c r="K41"/>
  <c r="D41"/>
  <c r="K20"/>
  <c r="I20"/>
  <c r="H20"/>
  <c r="G20"/>
  <c r="F20"/>
  <c r="E20"/>
  <c r="D20"/>
  <c r="K19"/>
  <c r="I19"/>
  <c r="H19"/>
  <c r="G19"/>
  <c r="F19"/>
  <c r="E19"/>
  <c r="D19"/>
  <c r="D18"/>
  <c r="K10"/>
  <c r="I10"/>
  <c r="H10"/>
  <c r="G10"/>
  <c r="F10"/>
  <c r="E10"/>
  <c r="D10"/>
  <c r="L27"/>
  <c r="K27"/>
  <c r="I27"/>
  <c r="H27"/>
  <c r="G27"/>
  <c r="F27"/>
  <c r="D27"/>
  <c r="K18"/>
  <c r="I18"/>
  <c r="H18"/>
  <c r="G18"/>
  <c r="F18"/>
  <c r="D9"/>
  <c r="T83"/>
  <c r="P83"/>
  <c r="AF73" a="1"/>
  <c r="S75"/>
  <c r="Q73"/>
  <c r="T75"/>
  <c r="S74"/>
  <c r="T73"/>
  <c r="AF74" a="1"/>
  <c r="V83"/>
  <c r="P73"/>
  <c r="V75"/>
  <c r="U73"/>
  <c r="U83"/>
  <c r="AF83" a="1"/>
  <c r="R83"/>
  <c r="R75"/>
  <c r="X73" a="1"/>
  <c r="Q74"/>
  <c r="U74"/>
  <c r="R73"/>
  <c r="X74" a="1"/>
  <c r="V74"/>
  <c r="Q83"/>
  <c r="U75"/>
  <c r="R74"/>
  <c r="X83" a="1"/>
  <c r="S83"/>
  <c r="V73"/>
  <c r="P75"/>
  <c r="P74"/>
  <c r="T74"/>
  <c r="AF75" a="1"/>
  <c r="S73"/>
  <c r="X75" a="1"/>
  <c r="Q75"/>
  <c r="AI74" l="1"/>
  <c r="AL74"/>
  <c r="AK74"/>
  <c r="AJ74"/>
  <c r="AF74"/>
  <c r="AH74"/>
  <c r="AG74"/>
  <c r="Z74"/>
  <c r="Y74"/>
  <c r="AB74"/>
  <c r="X74"/>
  <c r="AA74"/>
  <c r="AD74"/>
  <c r="AC74"/>
  <c r="AD72"/>
  <c r="Y72"/>
  <c r="AA72"/>
  <c r="AC72"/>
  <c r="AF83"/>
  <c r="AJ83"/>
  <c r="AI83"/>
  <c r="AG83"/>
  <c r="AK83"/>
  <c r="AH83"/>
  <c r="AL83"/>
  <c r="AF75"/>
  <c r="AJ75"/>
  <c r="AG75"/>
  <c r="AK75"/>
  <c r="AI75"/>
  <c r="AH75"/>
  <c r="AL75"/>
  <c r="X75"/>
  <c r="AB75"/>
  <c r="Y75"/>
  <c r="AC75"/>
  <c r="AA75"/>
  <c r="Z75"/>
  <c r="AD75"/>
  <c r="AH72"/>
  <c r="AK72"/>
  <c r="AL72"/>
  <c r="AG72"/>
  <c r="AI72"/>
  <c r="Z72"/>
  <c r="X82"/>
  <c r="Z83"/>
  <c r="AD83"/>
  <c r="X83"/>
  <c r="AB83"/>
  <c r="Y83"/>
  <c r="AC83"/>
  <c r="AA83"/>
  <c r="AK82"/>
  <c r="AB82"/>
  <c r="AG82"/>
  <c r="AC82"/>
  <c r="AJ82"/>
  <c r="AJ72"/>
  <c r="AB72"/>
  <c r="Y82"/>
  <c r="AF82"/>
  <c r="AA82"/>
  <c r="AI82"/>
  <c r="Z82"/>
  <c r="AH82"/>
  <c r="Z73"/>
  <c r="AD73"/>
  <c r="Y73"/>
  <c r="AC73"/>
  <c r="AA73"/>
  <c r="X73"/>
  <c r="AB73"/>
  <c r="AH73"/>
  <c r="AL73"/>
  <c r="AJ73"/>
  <c r="AG73"/>
  <c r="AK73"/>
  <c r="AF73"/>
  <c r="AI73"/>
  <c r="G57"/>
  <c r="B15" i="3"/>
  <c r="B16" s="1"/>
  <c r="B17" s="1"/>
  <c r="B18" s="1"/>
  <c r="B19" s="1"/>
  <c r="B14"/>
  <c r="C8"/>
  <c r="C5"/>
  <c r="C5" i="4"/>
  <c r="C6"/>
  <c r="C7"/>
  <c r="C8"/>
  <c r="C9"/>
  <c r="E57" i="2" s="1"/>
  <c r="C10" i="4"/>
  <c r="C11"/>
  <c r="C12"/>
  <c r="B12"/>
  <c r="B11"/>
  <c r="B10"/>
  <c r="B9"/>
  <c r="B8"/>
  <c r="B7"/>
  <c r="B6"/>
  <c r="B5"/>
  <c r="C73" i="2" l="1"/>
  <c r="C74"/>
  <c r="C75"/>
  <c r="C83"/>
  <c r="B73"/>
  <c r="B74"/>
  <c r="B75"/>
  <c r="B83"/>
  <c r="C62"/>
  <c r="C66"/>
  <c r="C65"/>
  <c r="C64"/>
  <c r="C63"/>
  <c r="B66"/>
  <c r="B65"/>
  <c r="B64"/>
  <c r="B63"/>
  <c r="B62"/>
  <c r="C34"/>
  <c r="C51"/>
  <c r="B34"/>
  <c r="B51"/>
  <c r="B45"/>
  <c r="B44"/>
  <c r="B43"/>
  <c r="B42"/>
  <c r="B41"/>
  <c r="C45"/>
  <c r="C44"/>
  <c r="C43"/>
  <c r="C42"/>
  <c r="C41"/>
  <c r="C38" i="3"/>
  <c r="B57" i="2"/>
  <c r="K57" s="1"/>
  <c r="C20"/>
  <c r="C19"/>
  <c r="C10"/>
  <c r="C27"/>
  <c r="C18"/>
  <c r="C9"/>
  <c r="C9" i="3"/>
  <c r="B19" i="2"/>
  <c r="B10"/>
  <c r="B27"/>
  <c r="B18"/>
  <c r="B20"/>
  <c r="B9"/>
  <c r="E43" i="3"/>
  <c r="E14"/>
  <c r="E17"/>
  <c r="E15"/>
  <c r="U45" i="2"/>
  <c r="Y34"/>
  <c r="T45"/>
  <c r="W62"/>
  <c r="T42"/>
  <c r="T63"/>
  <c r="W27"/>
  <c r="T66"/>
  <c r="V10"/>
  <c r="W10"/>
  <c r="W64"/>
  <c r="T9"/>
  <c r="Y64"/>
  <c r="X45"/>
  <c r="W45"/>
  <c r="U10"/>
  <c r="Y44"/>
  <c r="X9"/>
  <c r="W34"/>
  <c r="V34"/>
  <c r="U44"/>
  <c r="Y41"/>
  <c r="X57"/>
  <c r="Y66"/>
  <c r="W20"/>
  <c r="X44"/>
  <c r="V18"/>
  <c r="U20"/>
  <c r="W63"/>
  <c r="U51"/>
  <c r="E42" i="3"/>
  <c r="X41" i="2"/>
  <c r="W57"/>
  <c r="T62"/>
  <c r="V9"/>
  <c r="U19"/>
  <c r="W18"/>
  <c r="V51"/>
  <c r="U65"/>
  <c r="U57"/>
  <c r="T43"/>
  <c r="X19"/>
  <c r="E19" i="3"/>
  <c r="E47"/>
  <c r="E44"/>
  <c r="W9" i="2"/>
  <c r="U62"/>
  <c r="T10"/>
  <c r="X20"/>
  <c r="T51"/>
  <c r="W41"/>
  <c r="T20"/>
  <c r="V66"/>
  <c r="X51"/>
  <c r="W51"/>
  <c r="X66"/>
  <c r="X42"/>
  <c r="Y57"/>
  <c r="X27"/>
  <c r="T64"/>
  <c r="Y51"/>
  <c r="V57"/>
  <c r="Y62"/>
  <c r="Y43"/>
  <c r="Y18"/>
  <c r="T41"/>
  <c r="X63"/>
  <c r="V65"/>
  <c r="V63"/>
  <c r="X34"/>
  <c r="T65"/>
  <c r="V62"/>
  <c r="U64"/>
  <c r="X18"/>
  <c r="T27"/>
  <c r="W43"/>
  <c r="W66"/>
  <c r="Y20"/>
  <c r="V27"/>
  <c r="U18"/>
  <c r="E18" i="3"/>
  <c r="E46"/>
  <c r="E16"/>
  <c r="E13"/>
  <c r="U34" i="2"/>
  <c r="X64"/>
  <c r="T57"/>
  <c r="T44"/>
  <c r="U66"/>
  <c r="V43"/>
  <c r="Y63"/>
  <c r="U41"/>
  <c r="V44"/>
  <c r="U9"/>
  <c r="W19"/>
  <c r="X62"/>
  <c r="T18"/>
  <c r="Y27"/>
  <c r="X65"/>
  <c r="V19"/>
  <c r="V45"/>
  <c r="Y65"/>
  <c r="Y10"/>
  <c r="T19"/>
  <c r="U43"/>
  <c r="Y42"/>
  <c r="U42"/>
  <c r="Y45"/>
  <c r="V41"/>
  <c r="U63"/>
  <c r="W44"/>
  <c r="W42"/>
  <c r="E45" i="3"/>
  <c r="E48"/>
  <c r="Y9" i="2"/>
  <c r="Y19"/>
  <c r="V20"/>
  <c r="T34"/>
  <c r="W65"/>
  <c r="U27"/>
  <c r="V42"/>
  <c r="X43"/>
  <c r="V64"/>
  <c r="X10"/>
  <c r="AE63" l="1"/>
  <c r="AE65"/>
  <c r="AE62"/>
  <c r="Z62"/>
  <c r="AE64"/>
  <c r="AE66"/>
  <c r="AC65"/>
  <c r="AC63"/>
  <c r="AC66"/>
  <c r="AC64"/>
  <c r="AC62"/>
  <c r="AB66"/>
  <c r="AB64"/>
  <c r="AB62"/>
  <c r="AB65"/>
  <c r="AB63"/>
  <c r="AD51"/>
  <c r="AE51"/>
  <c r="Z51"/>
  <c r="AF51"/>
  <c r="AB51"/>
  <c r="AC51"/>
  <c r="Z34"/>
  <c r="AF34"/>
  <c r="AD34"/>
  <c r="AC34"/>
  <c r="AB34"/>
  <c r="AE34"/>
  <c r="Z41"/>
  <c r="Z10"/>
  <c r="Z20"/>
  <c r="Z42"/>
  <c r="Z44"/>
  <c r="Z9"/>
  <c r="Z27"/>
  <c r="Z19"/>
  <c r="Z57"/>
  <c r="Z43"/>
  <c r="Z45"/>
  <c r="Z18"/>
  <c r="AF57"/>
  <c r="AB57"/>
  <c r="AC57"/>
  <c r="AD57"/>
  <c r="AE57"/>
  <c r="AB42"/>
  <c r="AC42"/>
  <c r="AD42"/>
  <c r="AE42"/>
  <c r="AF42"/>
  <c r="AB44"/>
  <c r="AC44"/>
  <c r="AD44"/>
  <c r="AE44"/>
  <c r="AF44"/>
  <c r="AF41"/>
  <c r="AE41"/>
  <c r="AD41"/>
  <c r="AC41"/>
  <c r="AB41"/>
  <c r="AB43"/>
  <c r="AC43"/>
  <c r="AD43"/>
  <c r="AE43"/>
  <c r="AF43"/>
  <c r="AB45"/>
  <c r="AC45"/>
  <c r="AE45"/>
  <c r="AF45"/>
  <c r="AD45"/>
  <c r="AB18"/>
  <c r="AD18"/>
  <c r="AC18"/>
  <c r="AF18"/>
  <c r="AE18"/>
  <c r="AF10"/>
  <c r="AC10"/>
  <c r="AE10"/>
  <c r="AB10"/>
  <c r="AD10"/>
  <c r="AB20"/>
  <c r="AD20"/>
  <c r="AF20"/>
  <c r="AC20"/>
  <c r="AE20"/>
  <c r="AE9"/>
  <c r="AC9"/>
  <c r="AF9"/>
  <c r="AD9"/>
  <c r="AB9"/>
  <c r="AE27"/>
  <c r="AB27"/>
  <c r="AD27"/>
  <c r="AF27"/>
  <c r="AC27"/>
  <c r="AC19"/>
  <c r="AE19"/>
  <c r="AB19"/>
  <c r="AD19"/>
  <c r="AF19"/>
  <c r="C24" i="3" a="1"/>
  <c r="AF66" i="2" l="1"/>
  <c r="AF64"/>
  <c r="AF62"/>
  <c r="AF65"/>
  <c r="AF63"/>
  <c r="Z65"/>
  <c r="Z63"/>
  <c r="Z66"/>
  <c r="Z64"/>
  <c r="AD66"/>
  <c r="AD64"/>
  <c r="AD62"/>
  <c r="AD65"/>
  <c r="AD63"/>
  <c r="E24" i="3"/>
  <c r="F24"/>
  <c r="D24"/>
  <c r="C24"/>
  <c r="G24"/>
  <c r="F14"/>
  <c r="F17"/>
  <c r="F15"/>
  <c r="F19"/>
  <c r="F13"/>
  <c r="F18"/>
  <c r="F16"/>
</calcChain>
</file>

<file path=xl/comments1.xml><?xml version="1.0" encoding="utf-8"?>
<comments xmlns="http://schemas.openxmlformats.org/spreadsheetml/2006/main">
  <authors>
    <author>Harvey</author>
  </authors>
  <commentList>
    <comment ref="H40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di = down and knock-in
do = down and knock out
ui = up and in
uo = up and out</t>
        </r>
      </text>
    </comment>
    <comment ref="I40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c = continuous monitored
d = daily monitored</t>
        </r>
      </text>
    </comment>
    <comment ref="H50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di = down and knock-in
do = down and knock out
ui = up and in
uo = up and out</t>
        </r>
      </text>
    </comment>
    <comment ref="I50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c = continuous monitored
d = daily monitored</t>
        </r>
      </text>
    </comment>
    <comment ref="L61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di = down and knock-in
do = down and knock out
ui = up and in
uo = up and out</t>
        </r>
      </text>
    </comment>
    <comment ref="M61" authorId="0">
      <text>
        <r>
          <rPr>
            <b/>
            <sz val="8"/>
            <color indexed="81"/>
            <rFont val="Tahoma"/>
            <family val="2"/>
          </rPr>
          <t>Harvey:</t>
        </r>
        <r>
          <rPr>
            <sz val="8"/>
            <color indexed="81"/>
            <rFont val="Tahoma"/>
            <family val="2"/>
          </rPr>
          <t xml:space="preserve">
c = continuous monitored
d = daily monitored</t>
        </r>
      </text>
    </comment>
  </commentList>
</comments>
</file>

<file path=xl/sharedStrings.xml><?xml version="1.0" encoding="utf-8"?>
<sst xmlns="http://schemas.openxmlformats.org/spreadsheetml/2006/main" count="532" uniqueCount="171">
  <si>
    <t>Prompt</t>
  </si>
  <si>
    <t>Expiration</t>
  </si>
  <si>
    <t>Date</t>
  </si>
  <si>
    <t>Holiday Name</t>
  </si>
  <si>
    <t>New Year's Day</t>
  </si>
  <si>
    <t>Martin L. King Day</t>
  </si>
  <si>
    <t>Presidents' Day</t>
  </si>
  <si>
    <t>Good Friday (not Fed Hol)</t>
  </si>
  <si>
    <t>Memorial Day</t>
  </si>
  <si>
    <t>Independence Day</t>
  </si>
  <si>
    <t>Labor Day</t>
  </si>
  <si>
    <t>Columbus Day (exch Open)</t>
  </si>
  <si>
    <t>Thanksgiving</t>
  </si>
  <si>
    <t>Christmas Day</t>
  </si>
  <si>
    <t>Fwd</t>
    <phoneticPr fontId="2" type="noConversion"/>
  </si>
  <si>
    <t>Fwd</t>
    <phoneticPr fontId="2" type="noConversion"/>
  </si>
  <si>
    <t>Vol</t>
    <phoneticPr fontId="2" type="noConversion"/>
  </si>
  <si>
    <t>ATM</t>
    <phoneticPr fontId="2" type="noConversion"/>
  </si>
  <si>
    <t>d90Vol</t>
    <phoneticPr fontId="2" type="noConversion"/>
  </si>
  <si>
    <t>d75vol</t>
    <phoneticPr fontId="2" type="noConversion"/>
  </si>
  <si>
    <t>d25vol</t>
    <phoneticPr fontId="2" type="noConversion"/>
  </si>
  <si>
    <t>d10vol</t>
    <phoneticPr fontId="2" type="noConversion"/>
  </si>
  <si>
    <t>Cont code</t>
    <phoneticPr fontId="2" type="noConversion"/>
  </si>
  <si>
    <t>Contract</t>
    <phoneticPr fontId="2" type="noConversion"/>
  </si>
  <si>
    <t>Expiry</t>
    <phoneticPr fontId="2" type="noConversion"/>
  </si>
  <si>
    <t>Option</t>
    <phoneticPr fontId="2" type="noConversion"/>
  </si>
  <si>
    <t>h14</t>
    <phoneticPr fontId="2" type="noConversion"/>
  </si>
  <si>
    <t>k14</t>
    <phoneticPr fontId="2" type="noConversion"/>
  </si>
  <si>
    <t>n14</t>
    <phoneticPr fontId="2" type="noConversion"/>
  </si>
  <si>
    <t>v14</t>
    <phoneticPr fontId="2" type="noConversion"/>
  </si>
  <si>
    <t>h15</t>
    <phoneticPr fontId="2" type="noConversion"/>
  </si>
  <si>
    <t>k15</t>
    <phoneticPr fontId="2" type="noConversion"/>
  </si>
  <si>
    <t>n15</t>
    <phoneticPr fontId="2" type="noConversion"/>
  </si>
  <si>
    <t>v15</t>
    <phoneticPr fontId="2" type="noConversion"/>
  </si>
  <si>
    <t>k12</t>
    <phoneticPr fontId="2" type="noConversion"/>
  </si>
  <si>
    <t>n12</t>
    <phoneticPr fontId="2" type="noConversion"/>
  </si>
  <si>
    <t>v12</t>
    <phoneticPr fontId="2" type="noConversion"/>
  </si>
  <si>
    <t>k13</t>
    <phoneticPr fontId="2" type="noConversion"/>
  </si>
  <si>
    <t>n13</t>
    <phoneticPr fontId="2" type="noConversion"/>
  </si>
  <si>
    <t>h13</t>
    <phoneticPr fontId="2" type="noConversion"/>
  </si>
  <si>
    <t>v13</t>
    <phoneticPr fontId="2" type="noConversion"/>
  </si>
  <si>
    <t>h14</t>
    <phoneticPr fontId="2" type="noConversion"/>
  </si>
  <si>
    <t>k14</t>
    <phoneticPr fontId="2" type="noConversion"/>
  </si>
  <si>
    <t>n14</t>
    <phoneticPr fontId="2" type="noConversion"/>
  </si>
  <si>
    <t>v14</t>
    <phoneticPr fontId="2" type="noConversion"/>
  </si>
  <si>
    <t>h15</t>
    <phoneticPr fontId="2" type="noConversion"/>
  </si>
  <si>
    <t>k15</t>
    <phoneticPr fontId="2" type="noConversion"/>
  </si>
  <si>
    <t>n15</t>
    <phoneticPr fontId="2" type="noConversion"/>
  </si>
  <si>
    <t>v15</t>
    <phoneticPr fontId="2" type="noConversion"/>
  </si>
  <si>
    <t>h16</t>
    <phoneticPr fontId="2" type="noConversion"/>
  </si>
  <si>
    <t>k16</t>
    <phoneticPr fontId="2" type="noConversion"/>
  </si>
  <si>
    <t>Today</t>
    <phoneticPr fontId="2" type="noConversion"/>
  </si>
  <si>
    <t>Expiry</t>
    <phoneticPr fontId="2" type="noConversion"/>
  </si>
  <si>
    <t>Contract</t>
    <phoneticPr fontId="2" type="noConversion"/>
  </si>
  <si>
    <t>Strike</t>
    <phoneticPr fontId="2" type="noConversion"/>
  </si>
  <si>
    <t>Mkt Prem</t>
    <phoneticPr fontId="2" type="noConversion"/>
  </si>
  <si>
    <t>Otype</t>
    <phoneticPr fontId="2" type="noConversion"/>
  </si>
  <si>
    <t>p</t>
    <phoneticPr fontId="2" type="noConversion"/>
  </si>
  <si>
    <t>p</t>
    <phoneticPr fontId="2" type="noConversion"/>
  </si>
  <si>
    <t>c</t>
    <phoneticPr fontId="2" type="noConversion"/>
  </si>
  <si>
    <t>ImlVol</t>
    <phoneticPr fontId="2" type="noConversion"/>
  </si>
  <si>
    <t>Fitted Parameters</t>
    <phoneticPr fontId="2" type="noConversion"/>
  </si>
  <si>
    <t>ATMVol</t>
    <phoneticPr fontId="2" type="noConversion"/>
  </si>
  <si>
    <t>d90vol</t>
    <phoneticPr fontId="2" type="noConversion"/>
  </si>
  <si>
    <t>d75vol</t>
    <phoneticPr fontId="2" type="noConversion"/>
  </si>
  <si>
    <t>d25vol</t>
    <phoneticPr fontId="2" type="noConversion"/>
  </si>
  <si>
    <t>d10vol</t>
    <phoneticPr fontId="2" type="noConversion"/>
  </si>
  <si>
    <t>Fitted Vol</t>
    <phoneticPr fontId="2" type="noConversion"/>
  </si>
  <si>
    <t>European Option</t>
    <phoneticPr fontId="2" type="noConversion"/>
  </si>
  <si>
    <t>cont code</t>
    <phoneticPr fontId="2" type="noConversion"/>
  </si>
  <si>
    <t>contract</t>
    <phoneticPr fontId="2" type="noConversion"/>
  </si>
  <si>
    <t>ValueDate</t>
    <phoneticPr fontId="2" type="noConversion"/>
  </si>
  <si>
    <t>fwd</t>
    <phoneticPr fontId="2" type="noConversion"/>
  </si>
  <si>
    <t>atm</t>
    <phoneticPr fontId="2" type="noConversion"/>
  </si>
  <si>
    <t>strike</t>
    <phoneticPr fontId="2" type="noConversion"/>
  </si>
  <si>
    <t>price</t>
    <phoneticPr fontId="2" type="noConversion"/>
  </si>
  <si>
    <t>delta</t>
    <phoneticPr fontId="2" type="noConversion"/>
  </si>
  <si>
    <t>gamma</t>
    <phoneticPr fontId="2" type="noConversion"/>
  </si>
  <si>
    <t>otype</t>
    <phoneticPr fontId="2" type="noConversion"/>
  </si>
  <si>
    <t>IR</t>
    <phoneticPr fontId="2" type="noConversion"/>
  </si>
  <si>
    <t>vega</t>
    <phoneticPr fontId="2" type="noConversion"/>
  </si>
  <si>
    <t>theta</t>
    <phoneticPr fontId="2" type="noConversion"/>
  </si>
  <si>
    <t>t</t>
    <phoneticPr fontId="2" type="noConversion"/>
  </si>
  <si>
    <t>v</t>
    <phoneticPr fontId="2" type="noConversion"/>
  </si>
  <si>
    <t>g</t>
    <phoneticPr fontId="2" type="noConversion"/>
  </si>
  <si>
    <t>d</t>
    <phoneticPr fontId="2" type="noConversion"/>
  </si>
  <si>
    <t>OptExpiry</t>
    <phoneticPr fontId="2" type="noConversion"/>
  </si>
  <si>
    <t>ContExpiry</t>
    <phoneticPr fontId="2" type="noConversion"/>
  </si>
  <si>
    <t>Digital option</t>
    <phoneticPr fontId="2" type="noConversion"/>
  </si>
  <si>
    <t>StripEuroPricer</t>
    <phoneticPr fontId="2" type="noConversion"/>
  </si>
  <si>
    <t>start</t>
    <phoneticPr fontId="2" type="noConversion"/>
  </si>
  <si>
    <t>end</t>
    <phoneticPr fontId="2" type="noConversion"/>
  </si>
  <si>
    <t>c</t>
    <phoneticPr fontId="2" type="noConversion"/>
  </si>
  <si>
    <t>Unit Pricer</t>
  </si>
  <si>
    <t>notional</t>
  </si>
  <si>
    <t>MTM</t>
  </si>
  <si>
    <t>Delta</t>
  </si>
  <si>
    <t>Gamma</t>
  </si>
  <si>
    <t>Vega</t>
  </si>
  <si>
    <t>Theta</t>
  </si>
  <si>
    <t>think notional is # of cents</t>
  </si>
  <si>
    <t>alpha</t>
  </si>
  <si>
    <t>beta</t>
  </si>
  <si>
    <t>Barrier Flat vol</t>
  </si>
  <si>
    <t>barrier</t>
  </si>
  <si>
    <t>barrierType</t>
  </si>
  <si>
    <t>monitorType</t>
  </si>
  <si>
    <t>d</t>
  </si>
  <si>
    <t>do</t>
  </si>
  <si>
    <t>di</t>
  </si>
  <si>
    <t>ui</t>
  </si>
  <si>
    <t>uo</t>
  </si>
  <si>
    <t>p</t>
  </si>
  <si>
    <t>h15</t>
  </si>
  <si>
    <t>fwd2</t>
  </si>
  <si>
    <t>fwd1</t>
  </si>
  <si>
    <t>sprd</t>
  </si>
  <si>
    <t>spreadVol</t>
  </si>
  <si>
    <t>Samuelson parameters</t>
  </si>
  <si>
    <t>weight for mean reverting factor</t>
  </si>
  <si>
    <t>mean reverting speed</t>
  </si>
  <si>
    <t>time</t>
  </si>
  <si>
    <t>time to expiry</t>
  </si>
  <si>
    <t>spot vol</t>
  </si>
  <si>
    <t>vol at expiry</t>
  </si>
  <si>
    <t>Spread vol</t>
  </si>
  <si>
    <t>FormulaString</t>
  </si>
  <si>
    <t>Return value</t>
  </si>
  <si>
    <t>CLSmileEuroOptPricer</t>
  </si>
  <si>
    <t>z</t>
  </si>
  <si>
    <t>CLSmileBinOptPricer</t>
  </si>
  <si>
    <t>CLEuroOptStripPricer</t>
  </si>
  <si>
    <t>CLBarrierOptFlatVolPricer</t>
  </si>
  <si>
    <t>CLSprdOptPricer</t>
  </si>
  <si>
    <t>European</t>
  </si>
  <si>
    <t>Digital</t>
  </si>
  <si>
    <t>EuroStrip</t>
  </si>
  <si>
    <t>BarrierFlatIV</t>
  </si>
  <si>
    <t>CSO</t>
  </si>
  <si>
    <t>Description</t>
  </si>
  <si>
    <t>CLDigitalStripPricer</t>
  </si>
  <si>
    <t>DigitalStrip</t>
  </si>
  <si>
    <t>option type</t>
  </si>
  <si>
    <t>CLBarrierStripPricer</t>
  </si>
  <si>
    <t>BarrierStrip</t>
  </si>
  <si>
    <t>Barrier Strip</t>
  </si>
  <si>
    <t>c</t>
  </si>
  <si>
    <t>Barrier Smile</t>
  </si>
  <si>
    <t>CLBarrierOptSmilePricer</t>
  </si>
  <si>
    <t>BarrierSmile</t>
  </si>
  <si>
    <t>1d</t>
    <phoneticPr fontId="2" type="noConversion"/>
  </si>
  <si>
    <t>1m</t>
    <phoneticPr fontId="2" type="noConversion"/>
  </si>
  <si>
    <t>3m</t>
    <phoneticPr fontId="2" type="noConversion"/>
  </si>
  <si>
    <t>2m</t>
    <phoneticPr fontId="2" type="noConversion"/>
  </si>
  <si>
    <t>6m</t>
    <phoneticPr fontId="2" type="noConversion"/>
  </si>
  <si>
    <t>1y</t>
    <phoneticPr fontId="2" type="noConversion"/>
  </si>
  <si>
    <t>2y</t>
    <phoneticPr fontId="2" type="noConversion"/>
  </si>
  <si>
    <t>corr</t>
    <phoneticPr fontId="2" type="noConversion"/>
  </si>
  <si>
    <t>c</t>
    <phoneticPr fontId="2" type="noConversion"/>
  </si>
  <si>
    <t>fd</t>
    <phoneticPr fontId="2" type="noConversion"/>
  </si>
  <si>
    <t>fv</t>
    <phoneticPr fontId="2" type="noConversion"/>
  </si>
  <si>
    <t>FX spot delta</t>
    <phoneticPr fontId="2" type="noConversion"/>
  </si>
  <si>
    <t>FX vega</t>
    <phoneticPr fontId="2" type="noConversion"/>
  </si>
  <si>
    <t>v</t>
    <phoneticPr fontId="2" type="noConversion"/>
  </si>
  <si>
    <t>d</t>
    <phoneticPr fontId="2" type="noConversion"/>
  </si>
  <si>
    <t>FX deltas</t>
    <phoneticPr fontId="2" type="noConversion"/>
  </si>
  <si>
    <t>FX vegas</t>
    <phoneticPr fontId="2" type="noConversion"/>
  </si>
  <si>
    <t>v14</t>
    <phoneticPr fontId="2" type="noConversion"/>
  </si>
  <si>
    <t>shift</t>
    <phoneticPr fontId="2" type="noConversion"/>
  </si>
  <si>
    <t>FX forward</t>
    <phoneticPr fontId="2" type="noConversion"/>
  </si>
  <si>
    <t>FX vol</t>
    <phoneticPr fontId="2" type="noConversion"/>
  </si>
</sst>
</file>

<file path=xl/styles.xml><?xml version="1.0" encoding="utf-8"?>
<styleSheet xmlns="http://schemas.openxmlformats.org/spreadsheetml/2006/main">
  <numFmts count="5">
    <numFmt numFmtId="176" formatCode="[$-409]dd\-mmm\-yy;@"/>
    <numFmt numFmtId="177" formatCode="[$-2C09]dddd\,\ dd\ mmmm\ yyyy;@"/>
    <numFmt numFmtId="178" formatCode="[$-409]mmm\-yy;@"/>
    <numFmt numFmtId="179" formatCode="[$-409]mmmm\-yy;@"/>
    <numFmt numFmtId="180" formatCode="mm/dd/yy;@"/>
  </numFmts>
  <fonts count="6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1" fillId="0" borderId="0" xfId="0" applyFont="1"/>
    <xf numFmtId="176" fontId="1" fillId="0" borderId="0" xfId="0" applyNumberFormat="1" applyFont="1"/>
    <xf numFmtId="17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179" fontId="0" fillId="0" borderId="0" xfId="0" applyNumberFormat="1"/>
    <xf numFmtId="180" fontId="0" fillId="0" borderId="0" xfId="0" applyNumberFormat="1"/>
    <xf numFmtId="176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cat>
            <c:numRef>
              <c:f>VolMarking!$B$13:$B$19</c:f>
              <c:numCache>
                <c:formatCode>General</c:formatCode>
                <c:ptCount val="7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</c:numCache>
            </c:numRef>
          </c:cat>
          <c:val>
            <c:numRef>
              <c:f>VolMarking!$E$13:$E$19</c:f>
              <c:numCache>
                <c:formatCode>General</c:formatCode>
                <c:ptCount val="7"/>
                <c:pt idx="0">
                  <c:v>0.26357171440124505</c:v>
                </c:pt>
                <c:pt idx="1">
                  <c:v>0.2569707894325256</c:v>
                </c:pt>
                <c:pt idx="2">
                  <c:v>0.25178656005859368</c:v>
                </c:pt>
                <c:pt idx="3">
                  <c:v>0.19481815290451052</c:v>
                </c:pt>
                <c:pt idx="4">
                  <c:v>0.20894104552268983</c:v>
                </c:pt>
                <c:pt idx="5">
                  <c:v>0.21621721124649043</c:v>
                </c:pt>
                <c:pt idx="6">
                  <c:v>0.22365462493896485</c:v>
                </c:pt>
              </c:numCache>
            </c:numRef>
          </c:val>
        </c:ser>
        <c:ser>
          <c:idx val="1"/>
          <c:order val="1"/>
          <c:cat>
            <c:numRef>
              <c:f>VolMarking!$B$13:$B$19</c:f>
              <c:numCache>
                <c:formatCode>General</c:formatCode>
                <c:ptCount val="7"/>
                <c:pt idx="0">
                  <c:v>11</c:v>
                </c:pt>
                <c:pt idx="1">
                  <c:v>13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</c:numCache>
            </c:numRef>
          </c:cat>
          <c:val>
            <c:numRef>
              <c:f>VolMarking!$F$13:$F$19</c:f>
              <c:numCache>
                <c:formatCode>General</c:formatCode>
                <c:ptCount val="7"/>
                <c:pt idx="0">
                  <c:v>0.26701819145083699</c:v>
                </c:pt>
                <c:pt idx="1">
                  <c:v>0.26635080280688944</c:v>
                </c:pt>
                <c:pt idx="2">
                  <c:v>0.2477655696843154</c:v>
                </c:pt>
                <c:pt idx="3">
                  <c:v>0.19793532915791678</c:v>
                </c:pt>
                <c:pt idx="4">
                  <c:v>0.20134797870693427</c:v>
                </c:pt>
                <c:pt idx="5">
                  <c:v>0.22117376675812137</c:v>
                </c:pt>
                <c:pt idx="6">
                  <c:v>0.2201570087506349</c:v>
                </c:pt>
              </c:numCache>
            </c:numRef>
          </c:val>
        </c:ser>
        <c:marker val="1"/>
        <c:axId val="125405824"/>
        <c:axId val="125543552"/>
      </c:lineChart>
      <c:catAx>
        <c:axId val="125405824"/>
        <c:scaling>
          <c:orientation val="minMax"/>
        </c:scaling>
        <c:axPos val="b"/>
        <c:numFmt formatCode="General" sourceLinked="1"/>
        <c:tickLblPos val="nextTo"/>
        <c:crossAx val="125543552"/>
        <c:crosses val="autoZero"/>
        <c:auto val="1"/>
        <c:lblAlgn val="ctr"/>
        <c:lblOffset val="100"/>
      </c:catAx>
      <c:valAx>
        <c:axId val="125543552"/>
        <c:scaling>
          <c:orientation val="minMax"/>
        </c:scaling>
        <c:axPos val="l"/>
        <c:majorGridlines/>
        <c:numFmt formatCode="General" sourceLinked="1"/>
        <c:tickLblPos val="nextTo"/>
        <c:crossAx val="1254058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859711286089265"/>
          <c:y val="0.32369021580635782"/>
          <c:w val="0.16473622047244263"/>
          <c:h val="0.26002697579469708"/>
        </c:manualLayout>
      </c:layout>
    </c:legend>
    <c:plotVisOnly val="1"/>
  </c:chart>
  <c:printSettings>
    <c:headerFooter/>
    <c:pageMargins b="0.75000000000000433" l="0.70000000000000062" r="0.70000000000000062" t="0.750000000000004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val>
            <c:numRef>
              <c:f>'Samuelson demo'!$H$5:$H$29</c:f>
              <c:numCache>
                <c:formatCode>0.00%</c:formatCode>
                <c:ptCount val="25"/>
                <c:pt idx="0">
                  <c:v>0.3</c:v>
                </c:pt>
                <c:pt idx="1">
                  <c:v>0.29888698519388557</c:v>
                </c:pt>
                <c:pt idx="2">
                  <c:v>0.29781939312625427</c:v>
                </c:pt>
                <c:pt idx="3">
                  <c:v>0.29679537007048895</c:v>
                </c:pt>
                <c:pt idx="4">
                  <c:v>0.29581313795156217</c:v>
                </c:pt>
                <c:pt idx="5">
                  <c:v>0.29487099125865363</c:v>
                </c:pt>
                <c:pt idx="6">
                  <c:v>0.2939672940837656</c:v>
                </c:pt>
                <c:pt idx="7">
                  <c:v>0.29310047728119359</c:v>
                </c:pt>
                <c:pt idx="8">
                  <c:v>0.29226903574292151</c:v>
                </c:pt>
                <c:pt idx="9">
                  <c:v>0.2914715257852083</c:v>
                </c:pt>
                <c:pt idx="10">
                  <c:v>0.29070656264183026</c:v>
                </c:pt>
                <c:pt idx="11">
                  <c:v>0.28997281805962499</c:v>
                </c:pt>
                <c:pt idx="12">
                  <c:v>0.2892690179921627</c:v>
                </c:pt>
                <c:pt idx="13">
                  <c:v>0.28859394038754016</c:v>
                </c:pt>
                <c:pt idx="14">
                  <c:v>0.2879464130664558</c:v>
                </c:pt>
                <c:pt idx="15">
                  <c:v>0.28732531168688152</c:v>
                </c:pt>
                <c:pt idx="16">
                  <c:v>0.28672955779179798</c:v>
                </c:pt>
                <c:pt idx="17">
                  <c:v>0.28615811693660204</c:v>
                </c:pt>
                <c:pt idx="18">
                  <c:v>0.28560999689293676</c:v>
                </c:pt>
                <c:pt idx="19">
                  <c:v>0.28508424592582277</c:v>
                </c:pt>
                <c:pt idx="20">
                  <c:v>0.28457995114110207</c:v>
                </c:pt>
                <c:pt idx="21">
                  <c:v>0.28409623690032293</c:v>
                </c:pt>
                <c:pt idx="22">
                  <c:v>0.28363226330031405</c:v>
                </c:pt>
                <c:pt idx="23">
                  <c:v>0.28318722471480845</c:v>
                </c:pt>
                <c:pt idx="24">
                  <c:v>0.28276034839558473</c:v>
                </c:pt>
              </c:numCache>
            </c:numRef>
          </c:val>
        </c:ser>
        <c:marker val="1"/>
        <c:axId val="179769344"/>
        <c:axId val="179770880"/>
      </c:lineChart>
      <c:catAx>
        <c:axId val="179769344"/>
        <c:scaling>
          <c:orientation val="minMax"/>
        </c:scaling>
        <c:axPos val="b"/>
        <c:tickLblPos val="nextTo"/>
        <c:crossAx val="179770880"/>
        <c:crosses val="autoZero"/>
        <c:auto val="1"/>
        <c:lblAlgn val="ctr"/>
        <c:lblOffset val="100"/>
      </c:catAx>
      <c:valAx>
        <c:axId val="179770880"/>
        <c:scaling>
          <c:orientation val="minMax"/>
        </c:scaling>
        <c:axPos val="l"/>
        <c:majorGridlines/>
        <c:numFmt formatCode="0.00%" sourceLinked="1"/>
        <c:tickLblPos val="nextTo"/>
        <c:crossAx val="1797693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3" l="0.70000000000000062" r="0.70000000000000062" t="0.75000000000000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4</xdr:row>
      <xdr:rowOff>28575</xdr:rowOff>
    </xdr:from>
    <xdr:to>
      <xdr:col>13</xdr:col>
      <xdr:colOff>419100</xdr:colOff>
      <xdr:row>20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14</xdr:row>
      <xdr:rowOff>76200</xdr:rowOff>
    </xdr:from>
    <xdr:to>
      <xdr:col>16</xdr:col>
      <xdr:colOff>28575</xdr:colOff>
      <xdr:row>28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0"/>
  <sheetViews>
    <sheetView tabSelected="1" workbookViewId="0">
      <selection activeCell="AG73" sqref="AG73:AL73"/>
    </sheetView>
  </sheetViews>
  <sheetFormatPr defaultRowHeight="13.5"/>
  <cols>
    <col min="3" max="3" width="9.375" bestFit="1" customWidth="1"/>
    <col min="4" max="4" width="11.75" bestFit="1" customWidth="1"/>
    <col min="5" max="5" width="9.75" bestFit="1" customWidth="1"/>
    <col min="7" max="7" width="9.5" bestFit="1" customWidth="1"/>
    <col min="9" max="9" width="12.625" customWidth="1"/>
    <col min="11" max="11" width="10.375" bestFit="1" customWidth="1"/>
    <col min="12" max="12" width="9.375" bestFit="1" customWidth="1"/>
    <col min="13" max="13" width="7.375" customWidth="1"/>
    <col min="14" max="14" width="10.75" bestFit="1" customWidth="1"/>
    <col min="15" max="15" width="12.875" customWidth="1"/>
    <col min="21" max="21" width="13.625" customWidth="1"/>
    <col min="22" max="22" width="10.125" customWidth="1"/>
    <col min="24" max="24" width="11" customWidth="1"/>
    <col min="25" max="25" width="14.25" customWidth="1"/>
  </cols>
  <sheetData>
    <row r="1" spans="1:32"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32">
      <c r="M2" t="s">
        <v>118</v>
      </c>
    </row>
    <row r="3" spans="1:32">
      <c r="C3" t="s">
        <v>71</v>
      </c>
      <c r="D3" s="12">
        <f>DATE(2014,1,2)</f>
        <v>41641</v>
      </c>
      <c r="L3" s="15" t="s">
        <v>119</v>
      </c>
      <c r="M3" t="s">
        <v>101</v>
      </c>
      <c r="N3">
        <v>0.3</v>
      </c>
    </row>
    <row r="4" spans="1:32">
      <c r="L4" s="15" t="s">
        <v>120</v>
      </c>
      <c r="M4" t="s">
        <v>102</v>
      </c>
      <c r="N4">
        <v>0.8</v>
      </c>
      <c r="V4" s="20"/>
    </row>
    <row r="5" spans="1:32">
      <c r="V5" s="20"/>
    </row>
    <row r="6" spans="1:32" hidden="1">
      <c r="T6" t="s">
        <v>93</v>
      </c>
      <c r="Z6" s="20"/>
    </row>
    <row r="7" spans="1:32" hidden="1">
      <c r="A7" t="s">
        <v>68</v>
      </c>
      <c r="T7" t="s">
        <v>58</v>
      </c>
      <c r="U7" t="s">
        <v>85</v>
      </c>
      <c r="V7" t="s">
        <v>84</v>
      </c>
      <c r="W7" t="s">
        <v>83</v>
      </c>
      <c r="X7" t="s">
        <v>82</v>
      </c>
      <c r="Y7" t="s">
        <v>129</v>
      </c>
      <c r="Z7" s="20"/>
    </row>
    <row r="8" spans="1:32" hidden="1">
      <c r="A8" t="s">
        <v>69</v>
      </c>
      <c r="B8" t="s">
        <v>70</v>
      </c>
      <c r="C8" t="s">
        <v>87</v>
      </c>
      <c r="D8" t="s">
        <v>72</v>
      </c>
      <c r="E8" t="s">
        <v>73</v>
      </c>
      <c r="F8" t="s">
        <v>63</v>
      </c>
      <c r="G8" t="s">
        <v>64</v>
      </c>
      <c r="H8" t="s">
        <v>65</v>
      </c>
      <c r="I8" t="s">
        <v>66</v>
      </c>
      <c r="J8" t="s">
        <v>74</v>
      </c>
      <c r="K8" t="s">
        <v>86</v>
      </c>
      <c r="L8" t="s">
        <v>79</v>
      </c>
      <c r="M8" t="s">
        <v>78</v>
      </c>
      <c r="R8" t="s">
        <v>94</v>
      </c>
      <c r="T8" t="s">
        <v>75</v>
      </c>
      <c r="U8" t="s">
        <v>76</v>
      </c>
      <c r="V8" t="s">
        <v>77</v>
      </c>
      <c r="W8" t="s">
        <v>80</v>
      </c>
      <c r="X8" t="s">
        <v>81</v>
      </c>
      <c r="Y8" t="s">
        <v>142</v>
      </c>
      <c r="Z8" s="20"/>
      <c r="AB8" t="s">
        <v>95</v>
      </c>
      <c r="AC8" t="s">
        <v>96</v>
      </c>
      <c r="AD8" t="s">
        <v>97</v>
      </c>
      <c r="AE8" t="s">
        <v>98</v>
      </c>
      <c r="AF8" t="s">
        <v>99</v>
      </c>
    </row>
    <row r="9" spans="1:32" hidden="1">
      <c r="A9" t="s">
        <v>44</v>
      </c>
      <c r="B9" s="11">
        <f>VLOOKUP($A9,Market!$A$4:$I$12,C$1,FALSE)</f>
        <v>41913</v>
      </c>
      <c r="C9" s="11">
        <f>VLOOKUP($A9,Market!$A$4:$I$12,D$1,FALSE)</f>
        <v>41897</v>
      </c>
      <c r="D9">
        <f>VLOOKUP($A9,Market!$A$4:$I$12,E$1,FALSE)</f>
        <v>17.399999999999999</v>
      </c>
      <c r="E9">
        <f>VLOOKUP($A9,Market!$A$4:$I$12,F$1,FALSE)</f>
        <v>0.18</v>
      </c>
      <c r="F9">
        <f>VLOOKUP($A9,Market!$A$4:$I$12,G$1,FALSE)</f>
        <v>0.02</v>
      </c>
      <c r="G9">
        <f>VLOOKUP($A9,Market!$A$4:$I$12,H$1,FALSE)</f>
        <v>0.01</v>
      </c>
      <c r="H9">
        <f>VLOOKUP($A9,Market!$A$4:$I$12,I$1,FALSE)</f>
        <v>0.01</v>
      </c>
      <c r="I9">
        <f>VLOOKUP($A9,Market!$A$4:$I$12,J$1,FALSE)</f>
        <v>0.02</v>
      </c>
      <c r="J9">
        <v>19.010000000000002</v>
      </c>
      <c r="K9" s="11">
        <f>DATE(2014,5,15)</f>
        <v>41774</v>
      </c>
      <c r="L9" s="14">
        <v>0</v>
      </c>
      <c r="M9" s="14" t="s">
        <v>112</v>
      </c>
      <c r="R9">
        <v>112000</v>
      </c>
      <c r="T9">
        <f>_xll.CLSmileEuroOptPricer($D$3,$K9,$D9,$J9,$E9,$F9,$G9,$H9,$I9,$C9,$L9,$M9,T$7,$N$3,$N$4)</f>
        <v>1.8468885493666143</v>
      </c>
      <c r="U9">
        <f>_xll.CLSmileEuroOptPricer($D$3,$K9,$D9,$J9,$E9,$F9,$G9,$H9,$I9,$C9,$L9,$M9,U$7,$N$3,$N$4)</f>
        <v>-0.79857422769702036</v>
      </c>
      <c r="V9">
        <f>_xll.CLSmileEuroOptPricer($D$3,$K9,$D9,$J9,$E9,$F9,$G9,$H9,$I9,$C9,$L9,$M9,V$7,$N$3,$N$4)</f>
        <v>0.14246547336679716</v>
      </c>
      <c r="W9">
        <f>_xll.CLSmileEuroOptPricer($D$3,$K9,$D9,$J9,$E9,$F9,$G9,$H9,$I9,$C9,$L9,$M9,W$7,$N$3,$N$4)</f>
        <v>2.8408018622144149</v>
      </c>
      <c r="X9">
        <f>_xll.CLSmileEuroOptPricer($D$3,$K9,$D9,$J9,$E9,$F9,$G9,$H9,$I9,$C9,$L9,$M9,X$7,$N$3,$N$4)</f>
        <v>-2.1598980727617345E-3</v>
      </c>
      <c r="Y9">
        <f>_xll.CLSmileEuroOptPricer($D$3,$K9,$D9,$J9,$E9,$F9,$G9,$H9,$I9,$C9,$L9,$M9,Y$7,$N$3,$N$4)</f>
        <v>1</v>
      </c>
      <c r="Z9" s="20" t="str">
        <f>VLOOKUP(Y9,FormulaString,3,FALSE)</f>
        <v>European</v>
      </c>
      <c r="AB9">
        <f t="shared" ref="AB9:AF10" si="0">T9*$R9</f>
        <v>206851.5175290608</v>
      </c>
      <c r="AC9">
        <f t="shared" si="0"/>
        <v>-89440.313502066274</v>
      </c>
      <c r="AD9">
        <f t="shared" si="0"/>
        <v>15956.133017081282</v>
      </c>
      <c r="AE9">
        <f t="shared" si="0"/>
        <v>318169.80856801447</v>
      </c>
      <c r="AF9">
        <f t="shared" si="0"/>
        <v>-241.90858414931427</v>
      </c>
    </row>
    <row r="10" spans="1:32" hidden="1">
      <c r="A10" t="s">
        <v>29</v>
      </c>
      <c r="B10" s="11">
        <f>VLOOKUP($A10,Market!$A$4:$I$12,C$1,FALSE)</f>
        <v>41913</v>
      </c>
      <c r="C10" s="11">
        <f>VLOOKUP($A10,Market!$A$4:$I$12,D$1,FALSE)</f>
        <v>41897</v>
      </c>
      <c r="D10">
        <f>VLOOKUP($A10,Market!$A$4:$I$12,E$1,FALSE)</f>
        <v>17.399999999999999</v>
      </c>
      <c r="E10">
        <f>VLOOKUP($A10,Market!$A$4:$I$12,F$1,FALSE)</f>
        <v>0.18</v>
      </c>
      <c r="F10">
        <f>VLOOKUP($A10,Market!$A$4:$I$12,G$1,FALSE)</f>
        <v>0.02</v>
      </c>
      <c r="G10">
        <f>VLOOKUP($A10,Market!$A$4:$I$12,H$1,FALSE)</f>
        <v>0.01</v>
      </c>
      <c r="H10">
        <f>VLOOKUP($A10,Market!$A$4:$I$12,I$1,FALSE)</f>
        <v>0.01</v>
      </c>
      <c r="I10">
        <f>VLOOKUP($A10,Market!$A$4:$I$12,J$1,FALSE)</f>
        <v>0.02</v>
      </c>
      <c r="J10">
        <v>20.010000000000002</v>
      </c>
      <c r="K10" s="11">
        <f>DATE(2014,5,15)</f>
        <v>41774</v>
      </c>
      <c r="L10" s="14">
        <v>0</v>
      </c>
      <c r="M10" s="14" t="s">
        <v>59</v>
      </c>
      <c r="R10">
        <v>-112000</v>
      </c>
      <c r="T10">
        <f>_xll.CLSmileEuroOptPricer($D$3,$K10,$D10,$J10,$E10,$F10,$G10,$H10,$I10,$C10,$L10,$M10,T$7,$N$3,$N$4)</f>
        <v>0.11270341488500168</v>
      </c>
      <c r="U10">
        <f>_xll.CLSmileEuroOptPricer($D$3,$K10,$D10,$J10,$E10,$F10,$G10,$H10,$I10,$C10,$L10,$M10,U$7,$N$3,$N$4)</f>
        <v>0.10585346355737189</v>
      </c>
      <c r="V10">
        <f>_xll.CLSmileEuroOptPricer($D$3,$K10,$D10,$J10,$E10,$F10,$G10,$H10,$I10,$C10,$L10,$M10,V$7,$N$3,$N$4)</f>
        <v>7.8415077844051773E-2</v>
      </c>
      <c r="W10">
        <f>_xll.CLSmileEuroOptPricer($D$3,$K10,$D10,$J10,$E10,$F10,$G10,$H10,$I10,$C10,$L10,$M10,W$7,$N$3,$N$4)</f>
        <v>1.8376181456321192</v>
      </c>
      <c r="X10">
        <f>_xll.CLSmileEuroOptPricer($D$3,$K10,$D10,$J10,$E10,$F10,$G10,$H10,$I10,$C10,$L10,$M10,X$7,$N$3,$N$4)</f>
        <v>-1.4981112627379112E-3</v>
      </c>
      <c r="Y10">
        <f>_xll.CLSmileEuroOptPricer($D$3,$K10,$D10,$J10,$E10,$F10,$G10,$H10,$I10,$C10,$L10,$M10,Y$7,$N$3,$N$4)</f>
        <v>1</v>
      </c>
      <c r="Z10" s="20" t="str">
        <f>VLOOKUP(Y10,FormulaString,3,FALSE)</f>
        <v>European</v>
      </c>
      <c r="AB10">
        <f t="shared" si="0"/>
        <v>-12622.782467120189</v>
      </c>
      <c r="AC10">
        <f t="shared" si="0"/>
        <v>-11855.587918425652</v>
      </c>
      <c r="AD10">
        <f t="shared" si="0"/>
        <v>-8782.4887185337993</v>
      </c>
      <c r="AE10">
        <f t="shared" si="0"/>
        <v>-205813.23231079735</v>
      </c>
      <c r="AF10">
        <f t="shared" si="0"/>
        <v>167.78846142664605</v>
      </c>
    </row>
    <row r="11" spans="1:32" hidden="1">
      <c r="Z11" s="20"/>
    </row>
    <row r="12" spans="1:32" hidden="1">
      <c r="Z12" s="20"/>
    </row>
    <row r="13" spans="1:32" hidden="1">
      <c r="Z13" s="20"/>
    </row>
    <row r="14" spans="1:32" hidden="1">
      <c r="Z14" s="20"/>
    </row>
    <row r="15" spans="1:32" hidden="1">
      <c r="R15" t="s">
        <v>100</v>
      </c>
      <c r="Z15" s="20"/>
    </row>
    <row r="16" spans="1:32" hidden="1">
      <c r="A16" t="s">
        <v>88</v>
      </c>
      <c r="Z16" s="20"/>
    </row>
    <row r="17" spans="1:32" hidden="1">
      <c r="A17" t="s">
        <v>69</v>
      </c>
      <c r="B17" t="s">
        <v>70</v>
      </c>
      <c r="C17" t="s">
        <v>87</v>
      </c>
      <c r="D17" t="s">
        <v>72</v>
      </c>
      <c r="E17" t="s">
        <v>73</v>
      </c>
      <c r="F17" t="s">
        <v>63</v>
      </c>
      <c r="G17" t="s">
        <v>64</v>
      </c>
      <c r="H17" t="s">
        <v>65</v>
      </c>
      <c r="I17" t="s">
        <v>66</v>
      </c>
      <c r="J17" t="s">
        <v>74</v>
      </c>
      <c r="K17" t="s">
        <v>86</v>
      </c>
      <c r="L17" t="s">
        <v>79</v>
      </c>
      <c r="M17" t="s">
        <v>78</v>
      </c>
      <c r="R17" t="s">
        <v>94</v>
      </c>
      <c r="T17" t="s">
        <v>75</v>
      </c>
      <c r="U17" t="s">
        <v>76</v>
      </c>
      <c r="V17" t="s">
        <v>77</v>
      </c>
      <c r="W17" t="s">
        <v>80</v>
      </c>
      <c r="X17" t="s">
        <v>81</v>
      </c>
      <c r="Y17" t="s">
        <v>142</v>
      </c>
      <c r="Z17" s="20"/>
      <c r="AB17" t="s">
        <v>95</v>
      </c>
      <c r="AC17" t="s">
        <v>96</v>
      </c>
      <c r="AD17" t="s">
        <v>97</v>
      </c>
      <c r="AE17" t="s">
        <v>98</v>
      </c>
      <c r="AF17" t="s">
        <v>99</v>
      </c>
    </row>
    <row r="18" spans="1:32" hidden="1">
      <c r="A18" t="s">
        <v>44</v>
      </c>
      <c r="B18" s="11">
        <f>VLOOKUP($A18,Market!$A$4:$I$12,C$1,FALSE)</f>
        <v>41913</v>
      </c>
      <c r="C18" s="11">
        <f>VLOOKUP($A18,Market!$A$4:$I$12,D$1,FALSE)</f>
        <v>41897</v>
      </c>
      <c r="D18">
        <f>VLOOKUP($A18,Market!$A$4:$I$12,E$1,FALSE)</f>
        <v>17.399999999999999</v>
      </c>
      <c r="E18">
        <f>VLOOKUP($A18,Market!$A$4:$I$12,F$1,FALSE)</f>
        <v>0.18</v>
      </c>
      <c r="F18">
        <f>VLOOKUP($A18,Market!$A$4:$I$12,G$1,FALSE)</f>
        <v>0.02</v>
      </c>
      <c r="G18">
        <f>VLOOKUP($A18,Market!$A$4:$I$12,H$1,FALSE)</f>
        <v>0.01</v>
      </c>
      <c r="H18">
        <f>VLOOKUP($A18,Market!$A$4:$I$12,I$1,FALSE)</f>
        <v>0.01</v>
      </c>
      <c r="I18">
        <f>VLOOKUP($A18,Market!$A$4:$I$12,J$1,FALSE)</f>
        <v>0.02</v>
      </c>
      <c r="J18">
        <v>19</v>
      </c>
      <c r="K18" s="11">
        <f>DATE(2014,5,15)</f>
        <v>41774</v>
      </c>
      <c r="L18" s="14">
        <v>0</v>
      </c>
      <c r="M18" s="14" t="s">
        <v>92</v>
      </c>
      <c r="R18">
        <v>100000000</v>
      </c>
      <c r="T18">
        <f>_xll.CLSmileBinOptPricer($D$3,$K18,$D18,$J18,$E18,$F18,$G18,$H18,$I18,$C18,$L18,$M18,T$7,$N$3,$N$4)</f>
        <v>0.17309918891591122</v>
      </c>
      <c r="U18">
        <f>_xll.CLSmileBinOptPricer($D$3,$K18,$D18,$J18,$E18,$F18,$G18,$H18,$I18,$C18,$L18,$M18,U$7,$N$3,$N$4)</f>
        <v>0.13125896753866087</v>
      </c>
      <c r="V18">
        <f>_xll.CLSmileBinOptPricer($D$3,$K18,$D18,$J18,$E18,$F18,$G18,$H18,$I18,$C18,$L18,$M18,V$7,$N$3,$N$4)</f>
        <v>8.6408932607457897E-2</v>
      </c>
      <c r="W18">
        <f>_xll.CLSmileBinOptPricer($D$3,$K18,$D18,$J18,$E18,$F18,$G18,$H18,$I18,$C18,$L18,$M18,W$7,$N$3,$N$4)</f>
        <v>1.123819792424406</v>
      </c>
      <c r="X18">
        <f>_xll.CLSmileBinOptPricer($D$3,$K18,$D18,$J18,$E18,$F18,$G18,$H18,$I18,$C18,$L18,$M18,X$7,$N$3,$N$4)</f>
        <v>-6.4006499585900212E-4</v>
      </c>
      <c r="Y18">
        <f>_xll.CLSmileBinOptPricer($D$3,$K18,$D18,$J18,$E18,$F18,$G18,$H18,$I18,$C18,$L18,$M18,Y$7,$N$3,$N$4)</f>
        <v>2</v>
      </c>
      <c r="Z18" s="20" t="str">
        <f>VLOOKUP(Y18,FormulaString,3,FALSE)</f>
        <v>Digital</v>
      </c>
      <c r="AB18">
        <f t="shared" ref="AB18:AF20" si="1">T18*$R18</f>
        <v>17309918.891591121</v>
      </c>
      <c r="AC18">
        <f t="shared" si="1"/>
        <v>13125896.753866088</v>
      </c>
      <c r="AD18">
        <f t="shared" si="1"/>
        <v>8640893.2607457899</v>
      </c>
      <c r="AE18">
        <f t="shared" si="1"/>
        <v>112381979.2424406</v>
      </c>
      <c r="AF18">
        <f t="shared" si="1"/>
        <v>-64006.499585900208</v>
      </c>
    </row>
    <row r="19" spans="1:32" hidden="1">
      <c r="A19" t="s">
        <v>29</v>
      </c>
      <c r="B19" s="11">
        <f>VLOOKUP($A19,Market!$A$4:$I$12,C$1,FALSE)</f>
        <v>41913</v>
      </c>
      <c r="C19" s="11">
        <f>VLOOKUP($A19,Market!$A$4:$I$12,D$1,FALSE)</f>
        <v>41897</v>
      </c>
      <c r="D19">
        <f>VLOOKUP($A19,Market!$A$4:$I$12,E$1,FALSE)</f>
        <v>17.399999999999999</v>
      </c>
      <c r="E19">
        <f>VLOOKUP($A19,Market!$A$4:$I$12,F$1,FALSE)</f>
        <v>0.18</v>
      </c>
      <c r="F19">
        <f>VLOOKUP($A19,Market!$A$4:$I$12,G$1,FALSE)</f>
        <v>0.02</v>
      </c>
      <c r="G19">
        <f>VLOOKUP($A19,Market!$A$4:$I$12,H$1,FALSE)</f>
        <v>0.01</v>
      </c>
      <c r="H19">
        <f>VLOOKUP($A19,Market!$A$4:$I$12,I$1,FALSE)</f>
        <v>0.01</v>
      </c>
      <c r="I19">
        <f>VLOOKUP($A19,Market!$A$4:$I$12,J$1,FALSE)</f>
        <v>0.02</v>
      </c>
      <c r="J19">
        <v>20</v>
      </c>
      <c r="K19" s="11">
        <f t="shared" ref="K19:K20" si="2">DATE(2014,5,15)</f>
        <v>41774</v>
      </c>
      <c r="L19" s="14">
        <v>0</v>
      </c>
      <c r="M19" s="14" t="s">
        <v>59</v>
      </c>
      <c r="R19">
        <v>-100000000</v>
      </c>
      <c r="T19">
        <f>_xll.CLSmileBinOptPricer($D$3,$K19,$D19,$J19,$E19,$F19,$G19,$H19,$I19,$C19,$L19,$M19,T$7,$N$3,$N$4)</f>
        <v>8.7007026960232367E-2</v>
      </c>
      <c r="U19">
        <f>_xll.CLSmileBinOptPricer($D$3,$K19,$D19,$J19,$E19,$F19,$G19,$H19,$I19,$C19,$L19,$M19,U$7,$N$3,$N$4)</f>
        <v>6.8607839239014451E-2</v>
      </c>
      <c r="V19">
        <f>_xll.CLSmileBinOptPricer($D$3,$K19,$D19,$J19,$E19,$F19,$G19,$H19,$I19,$C19,$L19,$M19,V$7,$N$3,$N$4)</f>
        <v>4.4502263730204036E-2</v>
      </c>
      <c r="W19">
        <f>_xll.CLSmileBinOptPricer($D$3,$K19,$D19,$J19,$E19,$F19,$G19,$H19,$I19,$C19,$L19,$M19,W$7,$N$3,$N$4)</f>
        <v>0.86283688894404942</v>
      </c>
      <c r="X19">
        <f>_xll.CLSmileBinOptPricer($D$3,$K19,$D19,$J19,$E19,$F19,$G19,$H19,$I19,$C19,$L19,$M19,X$7,$N$3,$N$4)</f>
        <v>-6.4855063414173686E-4</v>
      </c>
      <c r="Y19">
        <f>_xll.CLSmileBinOptPricer($D$3,$K19,$D19,$J19,$E19,$F19,$G19,$H19,$I19,$C19,$L19,$M19,Y$7,$N$3,$N$4)</f>
        <v>2</v>
      </c>
      <c r="Z19" s="20" t="str">
        <f>VLOOKUP(Y19,FormulaString,3,FALSE)</f>
        <v>Digital</v>
      </c>
      <c r="AB19">
        <f t="shared" si="1"/>
        <v>-8700702.696023237</v>
      </c>
      <c r="AC19">
        <f t="shared" si="1"/>
        <v>-6860783.9239014452</v>
      </c>
      <c r="AD19">
        <f t="shared" si="1"/>
        <v>-4450226.373020404</v>
      </c>
      <c r="AE19">
        <f t="shared" si="1"/>
        <v>-86283688.894404948</v>
      </c>
      <c r="AF19">
        <f t="shared" si="1"/>
        <v>64855.063414173688</v>
      </c>
    </row>
    <row r="20" spans="1:32" hidden="1">
      <c r="A20" t="s">
        <v>29</v>
      </c>
      <c r="B20" s="11">
        <f>VLOOKUP($A20,Market!$A$4:$I$12,C$1,FALSE)</f>
        <v>41913</v>
      </c>
      <c r="C20" s="11">
        <f>VLOOKUP($A20,Market!$A$4:$I$12,D$1,FALSE)</f>
        <v>41897</v>
      </c>
      <c r="D20">
        <f>VLOOKUP($A20,Market!$A$4:$I$12,E$1,FALSE)</f>
        <v>17.399999999999999</v>
      </c>
      <c r="E20">
        <f>VLOOKUP($A20,Market!$A$4:$I$12,F$1,FALSE)</f>
        <v>0.18</v>
      </c>
      <c r="F20">
        <f>VLOOKUP($A20,Market!$A$4:$I$12,G$1,FALSE)</f>
        <v>0.02</v>
      </c>
      <c r="G20">
        <f>VLOOKUP($A20,Market!$A$4:$I$12,H$1,FALSE)</f>
        <v>0.01</v>
      </c>
      <c r="H20">
        <f>VLOOKUP($A20,Market!$A$4:$I$12,I$1,FALSE)</f>
        <v>0.01</v>
      </c>
      <c r="I20">
        <f>VLOOKUP($A20,Market!$A$4:$I$12,J$1,FALSE)</f>
        <v>0.02</v>
      </c>
      <c r="J20">
        <v>21</v>
      </c>
      <c r="K20" s="11">
        <f t="shared" si="2"/>
        <v>41774</v>
      </c>
      <c r="L20" s="14">
        <v>0</v>
      </c>
      <c r="M20" s="14" t="s">
        <v>59</v>
      </c>
      <c r="R20">
        <v>-100000000</v>
      </c>
      <c r="T20">
        <f>_xll.CLSmileBinOptPricer($D$3,$K20,$D20,$J20,$E20,$F20,$G20,$H20,$I20,$C20,$L20,$M20,T$7,$N$3,$N$4)</f>
        <v>4.2964703718515525E-2</v>
      </c>
      <c r="U20">
        <f>_xll.CLSmileBinOptPricer($D$3,$K20,$D20,$J20,$E20,$F20,$G20,$H20,$I20,$C20,$L20,$M20,U$7,$N$3,$N$4)</f>
        <v>3.8197996407222289E-2</v>
      </c>
      <c r="V20">
        <f>_xll.CLSmileBinOptPricer($D$3,$K20,$D20,$J20,$E20,$F20,$G20,$H20,$I20,$C20,$L20,$M20,V$7,$N$3,$N$4)</f>
        <v>2.441763233499207E-2</v>
      </c>
      <c r="W20">
        <f>_xll.CLSmileBinOptPricer($D$3,$K20,$D20,$J20,$E20,$F20,$G20,$H20,$I20,$C20,$L20,$M20,W$7,$N$3,$N$4)</f>
        <v>0.60892489940008143</v>
      </c>
      <c r="X20">
        <f>_xll.CLSmileBinOptPricer($D$3,$K20,$D20,$J20,$E20,$F20,$G20,$H20,$I20,$C20,$L20,$M20,X$7,$N$3,$N$4)</f>
        <v>-5.1509820218732794E-4</v>
      </c>
      <c r="Y20">
        <f>_xll.CLSmileBinOptPricer($D$3,$K20,$D20,$J20,$E20,$F20,$G20,$H20,$I20,$C20,$L20,$M20,Y$7,$N$3,$N$4)</f>
        <v>2</v>
      </c>
      <c r="Z20" s="20" t="str">
        <f>VLOOKUP(Y20,FormulaString,3,FALSE)</f>
        <v>Digital</v>
      </c>
      <c r="AB20">
        <f t="shared" si="1"/>
        <v>-4296470.3718515523</v>
      </c>
      <c r="AC20">
        <f t="shared" si="1"/>
        <v>-3819799.6407222287</v>
      </c>
      <c r="AD20">
        <f t="shared" si="1"/>
        <v>-2441763.2334992071</v>
      </c>
      <c r="AE20">
        <f t="shared" si="1"/>
        <v>-60892489.940008141</v>
      </c>
      <c r="AF20">
        <f t="shared" si="1"/>
        <v>51509.820218732792</v>
      </c>
    </row>
    <row r="21" spans="1:32" hidden="1">
      <c r="Z21" s="20"/>
    </row>
    <row r="22" spans="1:32" hidden="1">
      <c r="Z22" s="20"/>
    </row>
    <row r="23" spans="1:32" hidden="1">
      <c r="Z23" s="20"/>
    </row>
    <row r="24" spans="1:32" hidden="1">
      <c r="Z24" s="20"/>
    </row>
    <row r="25" spans="1:32" hidden="1">
      <c r="A25" t="s">
        <v>89</v>
      </c>
      <c r="Z25" s="20"/>
    </row>
    <row r="26" spans="1:32" hidden="1">
      <c r="A26" t="s">
        <v>69</v>
      </c>
      <c r="B26" t="s">
        <v>70</v>
      </c>
      <c r="C26" t="s">
        <v>87</v>
      </c>
      <c r="D26" t="s">
        <v>72</v>
      </c>
      <c r="E26" t="s">
        <v>73</v>
      </c>
      <c r="F26" t="s">
        <v>63</v>
      </c>
      <c r="G26" t="s">
        <v>64</v>
      </c>
      <c r="H26" t="s">
        <v>65</v>
      </c>
      <c r="I26" t="s">
        <v>66</v>
      </c>
      <c r="J26" t="s">
        <v>74</v>
      </c>
      <c r="K26" t="s">
        <v>90</v>
      </c>
      <c r="L26" t="s">
        <v>91</v>
      </c>
      <c r="M26" t="s">
        <v>79</v>
      </c>
      <c r="N26" t="s">
        <v>78</v>
      </c>
      <c r="R26" t="s">
        <v>94</v>
      </c>
      <c r="T26" t="s">
        <v>75</v>
      </c>
      <c r="U26" t="s">
        <v>76</v>
      </c>
      <c r="V26" t="s">
        <v>77</v>
      </c>
      <c r="W26" t="s">
        <v>80</v>
      </c>
      <c r="X26" t="s">
        <v>81</v>
      </c>
      <c r="Y26" t="s">
        <v>142</v>
      </c>
      <c r="Z26" s="20"/>
      <c r="AB26" t="s">
        <v>95</v>
      </c>
      <c r="AC26" t="s">
        <v>96</v>
      </c>
      <c r="AD26" t="s">
        <v>97</v>
      </c>
      <c r="AE26" t="s">
        <v>98</v>
      </c>
      <c r="AF26" t="s">
        <v>99</v>
      </c>
    </row>
    <row r="27" spans="1:32" hidden="1">
      <c r="A27" t="s">
        <v>44</v>
      </c>
      <c r="B27" s="11">
        <f>VLOOKUP($A27,Market!$A$4:$I$12,C$1,FALSE)</f>
        <v>41913</v>
      </c>
      <c r="C27" s="11">
        <f>VLOOKUP($A27,Market!$A$4:$I$12,D$1,FALSE)</f>
        <v>41897</v>
      </c>
      <c r="D27">
        <f>VLOOKUP($A27,Market!$A$4:$I$12,E$1,FALSE)</f>
        <v>17.399999999999999</v>
      </c>
      <c r="E27">
        <f>VLOOKUP($A27,Market!$A$4:$I$12,F$1,FALSE)</f>
        <v>0.18</v>
      </c>
      <c r="F27">
        <f>VLOOKUP($A27,Market!$A$4:$I$12,G$1,FALSE)</f>
        <v>0.02</v>
      </c>
      <c r="G27">
        <f>VLOOKUP($A27,Market!$A$4:$I$12,H$1,FALSE)</f>
        <v>0.01</v>
      </c>
      <c r="H27">
        <f>VLOOKUP($A27,Market!$A$4:$I$12,I$1,FALSE)</f>
        <v>0.01</v>
      </c>
      <c r="I27">
        <f>VLOOKUP($A27,Market!$A$4:$I$12,J$1,FALSE)</f>
        <v>0.02</v>
      </c>
      <c r="J27">
        <v>20</v>
      </c>
      <c r="K27" s="11">
        <f>DATE(2014,5,15)</f>
        <v>41774</v>
      </c>
      <c r="L27" s="11">
        <f>DATE(2014,6,15)</f>
        <v>41805</v>
      </c>
      <c r="M27" s="14">
        <v>0</v>
      </c>
      <c r="N27" s="14" t="s">
        <v>59</v>
      </c>
      <c r="R27">
        <v>1120</v>
      </c>
      <c r="T27">
        <f>_xll.CLEuroOptStripPricer($D$3,$K27,$L27,$D27,$J27,$E27,$F27,$G27,$H27,$I27,$C27,$M27,$N27,T$7,SB_Holidays,$N$3,$N$4)</f>
        <v>0.13829167091267172</v>
      </c>
      <c r="U27">
        <f>_xll.CLEuroOptStripPricer($D$3,$K27,$L27,$D27,$J27,$E27,$F27,$G27,$H27,$I27,$C27,$M27,$N27,U$7,SB_Holidays,$N$3,$N$4)</f>
        <v>0.11913085796311568</v>
      </c>
      <c r="V27">
        <f>_xll.CLEuroOptStripPricer($D$3,$K27,$L27,$D27,$J27,$E27,$F27,$G27,$H27,$I27,$C27,$M27,$N27,V$7,SB_Holidays,$N$3,$N$4)</f>
        <v>7.9946933655786659E-2</v>
      </c>
      <c r="W27">
        <f>_xll.CLEuroOptStripPricer($D$3,$K27,$L27,$D27,$J27,$E27,$F27,$G27,$H27,$I27,$C27,$M27,$N27,W$7,SB_Holidays,$N$3,$N$4)</f>
        <v>2.117552638706806</v>
      </c>
      <c r="X27">
        <f>_xll.CLEuroOptStripPricer($D$3,$K27,$L27,$D27,$J27,$E27,$F27,$G27,$H27,$I27,$C27,$M27,$N27,X$7,SB_Holidays,$N$3,$N$4)</f>
        <v>-1.5474896554583395E-3</v>
      </c>
      <c r="Y27">
        <f>_xll.CLEuroOptStripPricer($D$3,$K27,$L27,$D27,$J27,$E27,$F27,$G27,$H27,$I27,$C27,$M27,$N27,Y$7,SB_Holidays,$N$3,$N$4)</f>
        <v>3</v>
      </c>
      <c r="Z27" s="20" t="str">
        <f>VLOOKUP(Y27,FormulaString,3,FALSE)</f>
        <v>EuroStrip</v>
      </c>
      <c r="AB27">
        <f>T27*$R27</f>
        <v>154.88667142219234</v>
      </c>
      <c r="AC27">
        <f>U27*$R27</f>
        <v>133.42656091868955</v>
      </c>
      <c r="AD27">
        <f>V27*$R27</f>
        <v>89.54056569448106</v>
      </c>
      <c r="AE27">
        <f>W27*$R27</f>
        <v>2371.6589553516228</v>
      </c>
      <c r="AF27">
        <f>X27*$R27</f>
        <v>-1.7331884141133402</v>
      </c>
    </row>
    <row r="28" spans="1:32" hidden="1">
      <c r="B28" s="11"/>
      <c r="C28" s="11"/>
      <c r="K28" s="11"/>
      <c r="L28" s="11"/>
      <c r="M28" s="14"/>
      <c r="N28" s="14"/>
      <c r="Z28" s="20"/>
    </row>
    <row r="29" spans="1:32" hidden="1">
      <c r="B29" s="11"/>
      <c r="C29" s="11"/>
      <c r="K29" s="11"/>
      <c r="L29" s="11"/>
      <c r="M29" s="14"/>
      <c r="N29" s="14"/>
      <c r="Z29" s="20"/>
    </row>
    <row r="30" spans="1:32" hidden="1">
      <c r="B30" s="11"/>
      <c r="C30" s="11"/>
      <c r="K30" s="11"/>
      <c r="L30" s="11"/>
      <c r="M30" s="14"/>
      <c r="N30" s="14"/>
      <c r="Z30" s="20"/>
    </row>
    <row r="31" spans="1:32" hidden="1">
      <c r="B31" s="11"/>
      <c r="C31" s="11"/>
      <c r="K31" s="11"/>
      <c r="L31" s="11"/>
      <c r="M31" s="14"/>
      <c r="N31" s="14"/>
      <c r="Z31" s="20"/>
    </row>
    <row r="32" spans="1:32" hidden="1">
      <c r="A32" t="s">
        <v>89</v>
      </c>
      <c r="Z32" s="20"/>
    </row>
    <row r="33" spans="1:32" hidden="1">
      <c r="A33" t="s">
        <v>69</v>
      </c>
      <c r="B33" t="s">
        <v>70</v>
      </c>
      <c r="C33" t="s">
        <v>87</v>
      </c>
      <c r="D33" t="s">
        <v>72</v>
      </c>
      <c r="E33" t="s">
        <v>73</v>
      </c>
      <c r="F33" t="s">
        <v>63</v>
      </c>
      <c r="G33" t="s">
        <v>64</v>
      </c>
      <c r="H33" t="s">
        <v>65</v>
      </c>
      <c r="I33" t="s">
        <v>66</v>
      </c>
      <c r="J33" t="s">
        <v>74</v>
      </c>
      <c r="K33" t="s">
        <v>90</v>
      </c>
      <c r="L33" t="s">
        <v>91</v>
      </c>
      <c r="M33" t="s">
        <v>79</v>
      </c>
      <c r="N33" t="s">
        <v>78</v>
      </c>
      <c r="R33" t="s">
        <v>94</v>
      </c>
      <c r="T33" t="s">
        <v>75</v>
      </c>
      <c r="U33" t="s">
        <v>76</v>
      </c>
      <c r="V33" t="s">
        <v>77</v>
      </c>
      <c r="W33" t="s">
        <v>80</v>
      </c>
      <c r="X33" t="s">
        <v>81</v>
      </c>
      <c r="Y33" t="s">
        <v>142</v>
      </c>
      <c r="Z33" s="20"/>
      <c r="AB33" t="s">
        <v>95</v>
      </c>
      <c r="AC33" t="s">
        <v>96</v>
      </c>
      <c r="AD33" t="s">
        <v>97</v>
      </c>
      <c r="AE33" t="s">
        <v>98</v>
      </c>
      <c r="AF33" t="s">
        <v>99</v>
      </c>
    </row>
    <row r="34" spans="1:32" hidden="1">
      <c r="A34" t="s">
        <v>29</v>
      </c>
      <c r="B34" s="11">
        <f>VLOOKUP($A34,Market!$A$4:$I$12,C$1,FALSE)</f>
        <v>41913</v>
      </c>
      <c r="C34" s="11">
        <f>VLOOKUP($A34,Market!$A$4:$I$12,D$1,FALSE)</f>
        <v>41897</v>
      </c>
      <c r="D34">
        <f>VLOOKUP($A34,Market!$A$4:$I$12,E$1,FALSE)</f>
        <v>17.399999999999999</v>
      </c>
      <c r="E34">
        <f>VLOOKUP($A34,Market!$A$4:$I$12,F$1,FALSE)</f>
        <v>0.18</v>
      </c>
      <c r="F34">
        <f>VLOOKUP($A34,Market!$A$4:$I$12,G$1,FALSE)</f>
        <v>0.02</v>
      </c>
      <c r="G34">
        <f>VLOOKUP($A34,Market!$A$4:$I$12,H$1,FALSE)</f>
        <v>0.01</v>
      </c>
      <c r="H34">
        <f>VLOOKUP($A34,Market!$A$4:$I$12,I$1,FALSE)</f>
        <v>0.01</v>
      </c>
      <c r="I34">
        <f>VLOOKUP($A34,Market!$A$4:$I$12,J$1,FALSE)</f>
        <v>0.02</v>
      </c>
      <c r="J34">
        <v>19</v>
      </c>
      <c r="K34" s="11">
        <f>DATE(2014,5,1)</f>
        <v>41760</v>
      </c>
      <c r="L34" s="11">
        <f>DATE(2014,5,31)</f>
        <v>41790</v>
      </c>
      <c r="M34" s="14">
        <v>0</v>
      </c>
      <c r="N34" s="14" t="s">
        <v>59</v>
      </c>
      <c r="R34">
        <v>1120</v>
      </c>
      <c r="T34">
        <f>_xll.CLDigitalStripPricer($D$3,$K34,$L34,$D34,$J34,$E34,$F34,$G34,$H34,$I34,$C34,$M34,$N34,T$7,SB_Holidays,$N$3,$N$4)</f>
        <v>0.17321624771488947</v>
      </c>
      <c r="U34">
        <f>_xll.CLDigitalStripPricer($D$3,$K34,$L34,$D34,$J34,$E34,$F34,$G34,$H34,$I34,$C34,$M34,$N34,U$7,SB_Holidays,$N$3,$N$4)</f>
        <v>0.13113053465639019</v>
      </c>
      <c r="V34">
        <f>_xll.CLDigitalStripPricer($D$3,$K34,$L34,$D34,$J34,$E34,$F34,$G34,$H34,$I34,$C34,$M34,$N34,V$7,SB_Holidays,$N$3,$N$4)</f>
        <v>8.6429184282972457E-2</v>
      </c>
      <c r="W34">
        <f>_xll.CLDigitalStripPricer($D$3,$K34,$L34,$D34,$J34,$E34,$F34,$G34,$H34,$I34,$C34,$M34,$N34,W$7,SB_Holidays,$N$3,$N$4)</f>
        <v>1.1229436268388902</v>
      </c>
      <c r="X34">
        <f>_xll.CLDigitalStripPricer($D$3,$K34,$L34,$D34,$J34,$E34,$F34,$G34,$H34,$I34,$C34,$M34,$N34,X$7,SB_Holidays,$N$3,$N$4)</f>
        <v>-6.4002208053023923E-4</v>
      </c>
      <c r="Y34">
        <f>_xll.CLDigitalStripPricer($D$3,$K34,$L34,$D34,$J34,$E34,$F34,$G34,$H34,$I34,$C34,$M34,$N34,Y$7,SB_Holidays,$N$3,$N$4)</f>
        <v>4</v>
      </c>
      <c r="Z34" s="20" t="str">
        <f>VLOOKUP(Y34,FormulaString,3,FALSE)</f>
        <v>DigitalStrip</v>
      </c>
      <c r="AB34">
        <f>T34*$R34</f>
        <v>194.00219744067621</v>
      </c>
      <c r="AC34">
        <f>U34*$R34</f>
        <v>146.86619881515702</v>
      </c>
      <c r="AD34">
        <f>V34*$R34</f>
        <v>96.800686396929152</v>
      </c>
      <c r="AE34">
        <f>W34*$R34</f>
        <v>1257.6968620595569</v>
      </c>
      <c r="AF34">
        <f>X34*$R34</f>
        <v>-0.71682473019386794</v>
      </c>
    </row>
    <row r="35" spans="1:32" hidden="1">
      <c r="B35" s="11"/>
      <c r="C35" s="11"/>
      <c r="K35" s="11"/>
      <c r="L35" s="11"/>
      <c r="M35" s="14"/>
      <c r="N35" s="14"/>
      <c r="Z35" s="20"/>
    </row>
    <row r="36" spans="1:32" hidden="1">
      <c r="B36" s="11"/>
      <c r="C36" s="11"/>
      <c r="K36" s="11"/>
      <c r="L36" s="11"/>
      <c r="M36" s="14"/>
      <c r="N36" s="14"/>
      <c r="Z36" s="20"/>
    </row>
    <row r="37" spans="1:32" hidden="1">
      <c r="Z37" s="20"/>
    </row>
    <row r="38" spans="1:32" hidden="1">
      <c r="Z38" s="20"/>
    </row>
    <row r="39" spans="1:32" hidden="1">
      <c r="A39" t="s">
        <v>103</v>
      </c>
      <c r="T39" t="s">
        <v>57</v>
      </c>
      <c r="U39" t="s">
        <v>85</v>
      </c>
      <c r="V39" t="s">
        <v>84</v>
      </c>
      <c r="W39" t="s">
        <v>83</v>
      </c>
      <c r="X39" t="s">
        <v>82</v>
      </c>
      <c r="Y39" t="s">
        <v>129</v>
      </c>
      <c r="Z39" s="20"/>
    </row>
    <row r="40" spans="1:32" hidden="1">
      <c r="A40" t="s">
        <v>69</v>
      </c>
      <c r="B40" t="s">
        <v>70</v>
      </c>
      <c r="C40" t="s">
        <v>87</v>
      </c>
      <c r="D40" t="s">
        <v>72</v>
      </c>
      <c r="E40" t="s">
        <v>73</v>
      </c>
      <c r="F40" t="s">
        <v>74</v>
      </c>
      <c r="G40" t="s">
        <v>104</v>
      </c>
      <c r="H40" t="s">
        <v>105</v>
      </c>
      <c r="I40" t="s">
        <v>106</v>
      </c>
      <c r="K40" t="s">
        <v>86</v>
      </c>
      <c r="L40" t="s">
        <v>79</v>
      </c>
      <c r="M40" t="s">
        <v>78</v>
      </c>
      <c r="R40" t="s">
        <v>94</v>
      </c>
      <c r="T40" t="s">
        <v>75</v>
      </c>
      <c r="U40" t="s">
        <v>76</v>
      </c>
      <c r="V40" t="s">
        <v>77</v>
      </c>
      <c r="W40" t="s">
        <v>80</v>
      </c>
      <c r="X40" t="s">
        <v>81</v>
      </c>
      <c r="Y40" t="s">
        <v>142</v>
      </c>
      <c r="Z40" s="20"/>
      <c r="AB40" t="s">
        <v>95</v>
      </c>
      <c r="AC40" t="s">
        <v>96</v>
      </c>
      <c r="AD40" t="s">
        <v>97</v>
      </c>
      <c r="AE40" t="s">
        <v>98</v>
      </c>
      <c r="AF40" t="s">
        <v>99</v>
      </c>
    </row>
    <row r="41" spans="1:32" hidden="1">
      <c r="A41" t="s">
        <v>29</v>
      </c>
      <c r="B41" s="11">
        <f>VLOOKUP($A41,Market!$A$4:$I$12,C$1,FALSE)</f>
        <v>41913</v>
      </c>
      <c r="C41" s="11">
        <f>VLOOKUP($A41,Market!$A$4:$I$12,D$1,FALSE)</f>
        <v>41897</v>
      </c>
      <c r="D41">
        <f>VLOOKUP($A41,Market!$A$4:$I$12,E$1,FALSE)</f>
        <v>17.399999999999999</v>
      </c>
      <c r="E41">
        <f>VLOOKUP($A41,Market!$A$4:$I$12,F$1,FALSE)</f>
        <v>0.18</v>
      </c>
      <c r="F41">
        <v>19</v>
      </c>
      <c r="G41">
        <v>17</v>
      </c>
      <c r="H41" t="s">
        <v>109</v>
      </c>
      <c r="I41" t="s">
        <v>107</v>
      </c>
      <c r="K41" s="11">
        <f>DATE(2014,5,15)</f>
        <v>41774</v>
      </c>
      <c r="L41" s="14">
        <v>0</v>
      </c>
      <c r="M41" s="14" t="s">
        <v>112</v>
      </c>
      <c r="R41">
        <v>100000000</v>
      </c>
      <c r="T41">
        <f>_xll.CLBarrierOptFlatVolPricer($D$3,$K41,$D41,$F41,$G41,$H41,$E41,$C41,$L41,$M41,$I41,T$7,$N$3,$N$4)</f>
        <v>1.7392592774835034</v>
      </c>
      <c r="U41">
        <f>_xll.CLBarrierOptFlatVolPricer($D$3,$K41,$D41,$F41,$G41,$H41,$E41,$C41,$L41,$M41,$I41,U$7,$N$3,$N$4)</f>
        <v>-0.92743488120692064</v>
      </c>
      <c r="V41">
        <f>_xll.CLBarrierOptFlatVolPricer($D$3,$K41,$D41,$F41,$G41,$H41,$E41,$C41,$L41,$M41,$I41,V$7,$N$3,$N$4)</f>
        <v>0.22125300590487865</v>
      </c>
      <c r="W41">
        <f>_xll.CLBarrierOptFlatVolPricer($D$3,$K41,$D41,$F41,$G41,$H41,$E41,$C41,$L41,$M41,$I41,W$7,$N$3,$N$4)</f>
        <v>4.0188743666782827</v>
      </c>
      <c r="X41">
        <f>_xll.CLBarrierOptFlatVolPricer($D$3,$K41,$D41,$F41,$G41,$H41,$E41,$C41,$L41,$M41,$I41,X$7,$N$3,$N$4)</f>
        <v>-2.8313909913224578E-3</v>
      </c>
      <c r="Y41">
        <f>_xll.CLBarrierOptFlatVolPricer($D$3,$K41,$D41,$F41,$G41,$H41,$E41,$C41,$L41,$M41,$I41,Y$7,$N$3,$N$4)</f>
        <v>6</v>
      </c>
      <c r="Z41" s="20" t="str">
        <f>VLOOKUP(Y41,FormulaString,3,FALSE)</f>
        <v>BarrierFlatIV</v>
      </c>
      <c r="AB41">
        <f t="shared" ref="AB41:AF45" si="3">T41*$R41</f>
        <v>173925927.74835035</v>
      </c>
      <c r="AC41">
        <f t="shared" si="3"/>
        <v>-92743488.120692059</v>
      </c>
      <c r="AD41">
        <f t="shared" si="3"/>
        <v>22125300.590487864</v>
      </c>
      <c r="AE41">
        <f t="shared" si="3"/>
        <v>401887436.66782826</v>
      </c>
      <c r="AF41">
        <f t="shared" si="3"/>
        <v>-283139.09913224576</v>
      </c>
    </row>
    <row r="42" spans="1:32" hidden="1">
      <c r="A42" t="s">
        <v>29</v>
      </c>
      <c r="B42" s="11">
        <f>VLOOKUP($A42,Market!$A$4:$I$12,C$1,FALSE)</f>
        <v>41913</v>
      </c>
      <c r="C42" s="11">
        <f>VLOOKUP($A42,Market!$A$4:$I$12,D$1,FALSE)</f>
        <v>41897</v>
      </c>
      <c r="D42">
        <f>VLOOKUP($A42,Market!$A$4:$I$12,E$1,FALSE)</f>
        <v>17.399999999999999</v>
      </c>
      <c r="E42">
        <f>VLOOKUP($A42,Market!$A$4:$I$12,F$1,FALSE)</f>
        <v>0.18</v>
      </c>
      <c r="F42">
        <v>19</v>
      </c>
      <c r="G42">
        <v>17</v>
      </c>
      <c r="H42" t="s">
        <v>108</v>
      </c>
      <c r="I42" t="s">
        <v>107</v>
      </c>
      <c r="K42" s="11">
        <f t="shared" ref="K42:K45" si="4">DATE(2014,5,15)</f>
        <v>41774</v>
      </c>
      <c r="L42" s="14">
        <v>0</v>
      </c>
      <c r="M42" s="14" t="s">
        <v>112</v>
      </c>
      <c r="R42">
        <v>100000000</v>
      </c>
      <c r="T42">
        <f>_xll.CLBarrierOptFlatVolPricer($D$3,$K42,$D42,$F42,$G42,$H42,$E42,$C42,$L42,$M42,$I42,T$7,$N$3,$N$4)</f>
        <v>7.9716811591600434E-2</v>
      </c>
      <c r="U42">
        <f>_xll.CLBarrierOptFlatVolPricer($D$3,$K42,$D42,$F42,$G42,$H42,$E42,$C42,$L42,$M42,$I42,U$7,$N$3,$N$4)</f>
        <v>0.14577982554917307</v>
      </c>
      <c r="V42">
        <f>_xll.CLBarrierOptFlatVolPricer($D$3,$K42,$D42,$F42,$G42,$H42,$E42,$C42,$L42,$M42,$I42,V$7,$N$3,$N$4)</f>
        <v>-6.1248965400970461E-2</v>
      </c>
      <c r="W42">
        <f>_xll.CLBarrierOptFlatVolPricer($D$3,$K42,$D42,$F42,$G42,$H42,$E42,$C42,$L42,$M42,$I42,W$7,$N$3,$N$4)</f>
        <v>-1.0012625745956754</v>
      </c>
      <c r="X42">
        <f>_xll.CLBarrierOptFlatVolPricer($D$3,$K42,$D42,$F42,$G42,$H42,$E42,$C42,$L42,$M42,$I42,X$7,$N$3,$N$4)</f>
        <v>7.8814668197330073E-4</v>
      </c>
      <c r="Y42">
        <f>_xll.CLBarrierOptFlatVolPricer($D$3,$K42,$D42,$F42,$G42,$H42,$E42,$C42,$L42,$M42,$I42,Y$7,$N$3,$N$4)</f>
        <v>6</v>
      </c>
      <c r="Z42" s="20" t="str">
        <f>VLOOKUP(Y42,FormulaString,3,FALSE)</f>
        <v>BarrierFlatIV</v>
      </c>
      <c r="AB42">
        <f t="shared" si="3"/>
        <v>7971681.1591600431</v>
      </c>
      <c r="AC42">
        <f t="shared" si="3"/>
        <v>14577982.554917308</v>
      </c>
      <c r="AD42">
        <f t="shared" si="3"/>
        <v>-6124896.5400970457</v>
      </c>
      <c r="AE42">
        <f t="shared" si="3"/>
        <v>-100126257.45956753</v>
      </c>
      <c r="AF42">
        <f t="shared" si="3"/>
        <v>78814.668197330073</v>
      </c>
    </row>
    <row r="43" spans="1:32" hidden="1">
      <c r="A43" t="s">
        <v>29</v>
      </c>
      <c r="B43" s="11">
        <f>VLOOKUP($A43,Market!$A$4:$I$12,C$1,FALSE)</f>
        <v>41913</v>
      </c>
      <c r="C43" s="11">
        <f>VLOOKUP($A43,Market!$A$4:$I$12,D$1,FALSE)</f>
        <v>41897</v>
      </c>
      <c r="D43">
        <f>VLOOKUP($A43,Market!$A$4:$I$12,E$1,FALSE)</f>
        <v>17.399999999999999</v>
      </c>
      <c r="E43">
        <f>VLOOKUP($A43,Market!$A$4:$I$12,F$1,FALSE)</f>
        <v>0.18</v>
      </c>
      <c r="F43">
        <v>19</v>
      </c>
      <c r="G43">
        <v>20</v>
      </c>
      <c r="H43" t="s">
        <v>109</v>
      </c>
      <c r="I43" t="s">
        <v>107</v>
      </c>
      <c r="K43" s="11">
        <f t="shared" si="4"/>
        <v>41774</v>
      </c>
      <c r="L43" s="14">
        <v>0</v>
      </c>
      <c r="M43" s="14" t="s">
        <v>59</v>
      </c>
      <c r="R43">
        <v>100000000</v>
      </c>
      <c r="T43">
        <f>_xll.CLBarrierOptFlatVolPricer($D$3,$K43,$D43,$F43,$G43,$H43,$E43,$C43,$L43,$M43,$I43,T$7,$N$3,$N$4)</f>
        <v>0.21897608907510202</v>
      </c>
      <c r="U43">
        <f>_xll.CLBarrierOptFlatVolPricer($D$3,$K43,$D43,$F43,$G43,$H43,$E43,$C43,$L43,$M43,$I43,U$7,$N$3,$N$4)</f>
        <v>0.21834494434228116</v>
      </c>
      <c r="V43">
        <f>_xll.CLBarrierOptFlatVolPricer($D$3,$K43,$D43,$F43,$G43,$H43,$E43,$C43,$L43,$M43,$I43,V$7,$N$3,$N$4)</f>
        <v>0.16000404050684178</v>
      </c>
      <c r="W43">
        <f>_xll.CLBarrierOptFlatVolPricer($D$3,$K43,$D43,$F43,$G43,$H43,$E43,$C43,$L43,$M43,$I43,W$7,$N$3,$N$4)</f>
        <v>3.0176117920825298</v>
      </c>
      <c r="X43">
        <f>_xll.CLBarrierOptFlatVolPricer($D$3,$K43,$D43,$F43,$G43,$H43,$E43,$C43,$L43,$M43,$I43,X$7,$N$3,$N$4)</f>
        <v>-2.0432443093496566E-3</v>
      </c>
      <c r="Y43">
        <f>_xll.CLBarrierOptFlatVolPricer($D$3,$K43,$D43,$F43,$G43,$H43,$E43,$C43,$L43,$M43,$I43,Y$7,$N$3,$N$4)</f>
        <v>6</v>
      </c>
      <c r="Z43" s="20" t="str">
        <f>VLOOKUP(Y43,FormulaString,3,FALSE)</f>
        <v>BarrierFlatIV</v>
      </c>
      <c r="AB43">
        <f t="shared" si="3"/>
        <v>21897608.907510202</v>
      </c>
      <c r="AC43">
        <f t="shared" si="3"/>
        <v>21834494.434228115</v>
      </c>
      <c r="AD43">
        <f t="shared" si="3"/>
        <v>16000404.050684178</v>
      </c>
      <c r="AE43">
        <f t="shared" si="3"/>
        <v>301761179.20825297</v>
      </c>
      <c r="AF43">
        <f t="shared" si="3"/>
        <v>-204324.43093496567</v>
      </c>
    </row>
    <row r="44" spans="1:32" hidden="1">
      <c r="A44" t="s">
        <v>29</v>
      </c>
      <c r="B44" s="11">
        <f>VLOOKUP($A44,Market!$A$4:$I$12,C$1,FALSE)</f>
        <v>41913</v>
      </c>
      <c r="C44" s="11">
        <f>VLOOKUP($A44,Market!$A$4:$I$12,D$1,FALSE)</f>
        <v>41897</v>
      </c>
      <c r="D44">
        <f>VLOOKUP($A44,Market!$A$4:$I$12,E$1,FALSE)</f>
        <v>17.399999999999999</v>
      </c>
      <c r="E44">
        <f>VLOOKUP($A44,Market!$A$4:$I$12,F$1,FALSE)</f>
        <v>0.18</v>
      </c>
      <c r="F44">
        <v>19</v>
      </c>
      <c r="G44">
        <v>20</v>
      </c>
      <c r="H44" t="s">
        <v>110</v>
      </c>
      <c r="I44" t="s">
        <v>107</v>
      </c>
      <c r="K44" s="11">
        <f t="shared" si="4"/>
        <v>41774</v>
      </c>
      <c r="L44" s="14">
        <v>0</v>
      </c>
      <c r="M44" s="14" t="s">
        <v>59</v>
      </c>
      <c r="R44">
        <v>100000000</v>
      </c>
      <c r="T44">
        <f>_xll.CLBarrierOptFlatVolPricer($D$3,$K44,$D44,$F44,$G44,$H44,$E44,$C44,$L44,$M44,$I44,T$7,$N$3,$N$4)</f>
        <v>0.19721681034283775</v>
      </c>
      <c r="U44">
        <f>_xll.CLBarrierOptFlatVolPricer($D$3,$K44,$D44,$F44,$G44,$H44,$E44,$C44,$L44,$M44,$I44,U$7,$N$3,$N$4)</f>
        <v>0.21052369005318197</v>
      </c>
      <c r="V44">
        <f>_xll.CLBarrierOptFlatVolPricer($D$3,$K44,$D44,$F44,$G44,$H44,$E44,$C44,$L44,$M44,$I44,V$7,$N$3,$N$4)</f>
        <v>0.16725193796142865</v>
      </c>
      <c r="W44">
        <f>_xll.CLBarrierOptFlatVolPricer($D$3,$K44,$D44,$F44,$G44,$H44,$E44,$C44,$L44,$M44,$I44,W$7,$N$3,$N$4)</f>
        <v>3.1187594774206917</v>
      </c>
      <c r="X44">
        <f>_xll.CLBarrierOptFlatVolPricer($D$3,$K44,$D44,$F44,$G44,$H44,$E44,$C44,$L44,$M44,$I44,X$7,$N$3,$N$4)</f>
        <v>-2.1357420369793323E-3</v>
      </c>
      <c r="Y44">
        <f>_xll.CLBarrierOptFlatVolPricer($D$3,$K44,$D44,$F44,$G44,$H44,$E44,$C44,$L44,$M44,$I44,Y$7,$N$3,$N$4)</f>
        <v>6</v>
      </c>
      <c r="Z44" s="20" t="str">
        <f>VLOOKUP(Y44,FormulaString,3,FALSE)</f>
        <v>BarrierFlatIV</v>
      </c>
      <c r="AB44">
        <f t="shared" si="3"/>
        <v>19721681.034283776</v>
      </c>
      <c r="AC44">
        <f t="shared" si="3"/>
        <v>21052369.005318198</v>
      </c>
      <c r="AD44">
        <f t="shared" si="3"/>
        <v>16725193.796142865</v>
      </c>
      <c r="AE44">
        <f t="shared" si="3"/>
        <v>311875947.74206918</v>
      </c>
      <c r="AF44">
        <f t="shared" si="3"/>
        <v>-213574.20369793323</v>
      </c>
    </row>
    <row r="45" spans="1:32" hidden="1">
      <c r="A45" t="s">
        <v>29</v>
      </c>
      <c r="B45" s="11">
        <f>VLOOKUP($A45,Market!$A$4:$I$12,C$1,FALSE)</f>
        <v>41913</v>
      </c>
      <c r="C45" s="11">
        <f>VLOOKUP($A45,Market!$A$4:$I$12,D$1,FALSE)</f>
        <v>41897</v>
      </c>
      <c r="D45">
        <f>VLOOKUP($A45,Market!$A$4:$I$12,E$1,FALSE)</f>
        <v>17.399999999999999</v>
      </c>
      <c r="E45">
        <f>VLOOKUP($A45,Market!$A$4:$I$12,F$1,FALSE)</f>
        <v>0.18</v>
      </c>
      <c r="F45">
        <v>19</v>
      </c>
      <c r="G45">
        <v>20</v>
      </c>
      <c r="H45" t="s">
        <v>111</v>
      </c>
      <c r="I45" t="s">
        <v>107</v>
      </c>
      <c r="K45" s="11">
        <f t="shared" si="4"/>
        <v>41774</v>
      </c>
      <c r="L45" s="14">
        <v>0</v>
      </c>
      <c r="M45" s="14" t="s">
        <v>59</v>
      </c>
      <c r="R45">
        <v>100000000</v>
      </c>
      <c r="T45">
        <f>_xll.CLBarrierOptFlatVolPricer($D$3,$K45,$D45,$F45,$G45,$H45,$E45,$C45,$L45,$M45,$I45,T$7,$N$3,$N$4)</f>
        <v>2.1759278732264492E-2</v>
      </c>
      <c r="U45">
        <f>_xll.CLBarrierOptFlatVolPricer($D$3,$K45,$D45,$F45,$G45,$H45,$E45,$C45,$L45,$M45,$I45,U$7,$N$3,$N$4)</f>
        <v>7.8212542890995877E-3</v>
      </c>
      <c r="V45">
        <f>_xll.CLBarrierOptFlatVolPricer($D$3,$K45,$D45,$F45,$G45,$H45,$E45,$C45,$L45,$M45,$I45,V$7,$N$3,$N$4)</f>
        <v>-7.2478974545868548E-3</v>
      </c>
      <c r="W45">
        <f>_xll.CLBarrierOptFlatVolPricer($D$3,$K45,$D45,$F45,$G45,$H45,$E45,$C45,$L45,$M45,$I45,W$7,$N$3,$N$4)</f>
        <v>-0.10114768533816194</v>
      </c>
      <c r="X45">
        <f>_xll.CLBarrierOptFlatVolPricer($D$3,$K45,$D45,$F45,$G45,$H45,$E45,$C45,$L45,$M45,$I45,X$7,$N$3,$N$4)</f>
        <v>9.2497727628121362E-5</v>
      </c>
      <c r="Y45">
        <f>_xll.CLBarrierOptFlatVolPricer($D$3,$K45,$D45,$F45,$G45,$H45,$E45,$C45,$L45,$M45,$I45,Y$7,$N$3,$N$4)</f>
        <v>6</v>
      </c>
      <c r="Z45" s="20" t="str">
        <f>VLOOKUP(Y45,FormulaString,3,FALSE)</f>
        <v>BarrierFlatIV</v>
      </c>
      <c r="AB45">
        <f t="shared" si="3"/>
        <v>2175927.8732264494</v>
      </c>
      <c r="AC45">
        <f t="shared" si="3"/>
        <v>782125.42890995881</v>
      </c>
      <c r="AD45">
        <f t="shared" si="3"/>
        <v>-724789.74545868544</v>
      </c>
      <c r="AE45">
        <f t="shared" si="3"/>
        <v>-10114768.533816194</v>
      </c>
      <c r="AF45">
        <f t="shared" si="3"/>
        <v>9249.7727628121356</v>
      </c>
    </row>
    <row r="46" spans="1:32" hidden="1">
      <c r="Z46" s="20"/>
    </row>
    <row r="47" spans="1:32" hidden="1">
      <c r="Z47" s="20"/>
    </row>
    <row r="48" spans="1:32" hidden="1">
      <c r="Z48" s="20"/>
    </row>
    <row r="49" spans="1:32" hidden="1">
      <c r="A49" t="s">
        <v>145</v>
      </c>
      <c r="T49" t="s">
        <v>57</v>
      </c>
      <c r="U49" t="s">
        <v>85</v>
      </c>
      <c r="V49" t="s">
        <v>84</v>
      </c>
      <c r="W49" t="s">
        <v>83</v>
      </c>
      <c r="X49" t="s">
        <v>82</v>
      </c>
      <c r="Y49" t="s">
        <v>129</v>
      </c>
      <c r="Z49" s="20"/>
    </row>
    <row r="50" spans="1:32" hidden="1">
      <c r="A50" t="s">
        <v>69</v>
      </c>
      <c r="B50" t="s">
        <v>70</v>
      </c>
      <c r="C50" t="s">
        <v>87</v>
      </c>
      <c r="D50" t="s">
        <v>72</v>
      </c>
      <c r="E50" t="s">
        <v>73</v>
      </c>
      <c r="F50" t="s">
        <v>74</v>
      </c>
      <c r="G50" t="s">
        <v>104</v>
      </c>
      <c r="H50" t="s">
        <v>105</v>
      </c>
      <c r="I50" t="s">
        <v>106</v>
      </c>
      <c r="J50" t="s">
        <v>90</v>
      </c>
      <c r="K50" t="s">
        <v>91</v>
      </c>
      <c r="L50" t="s">
        <v>79</v>
      </c>
      <c r="M50" t="s">
        <v>78</v>
      </c>
      <c r="R50" t="s">
        <v>94</v>
      </c>
      <c r="T50" t="s">
        <v>75</v>
      </c>
      <c r="U50" t="s">
        <v>76</v>
      </c>
      <c r="V50" t="s">
        <v>77</v>
      </c>
      <c r="W50" t="s">
        <v>80</v>
      </c>
      <c r="X50" t="s">
        <v>81</v>
      </c>
      <c r="Y50" t="s">
        <v>142</v>
      </c>
      <c r="Z50" s="20"/>
      <c r="AB50" t="s">
        <v>95</v>
      </c>
      <c r="AC50" t="s">
        <v>96</v>
      </c>
      <c r="AD50" t="s">
        <v>97</v>
      </c>
      <c r="AE50" t="s">
        <v>98</v>
      </c>
      <c r="AF50" t="s">
        <v>99</v>
      </c>
    </row>
    <row r="51" spans="1:32" hidden="1">
      <c r="A51" t="s">
        <v>29</v>
      </c>
      <c r="B51" s="11">
        <f>VLOOKUP($A51,Market!$A$4:$I$12,C$1,FALSE)</f>
        <v>41913</v>
      </c>
      <c r="C51" s="11">
        <f>VLOOKUP($A51,Market!$A$4:$I$12,D$1,FALSE)</f>
        <v>41897</v>
      </c>
      <c r="D51">
        <f>VLOOKUP($A51,Market!$A$4:$I$12,E$1,FALSE)</f>
        <v>17.399999999999999</v>
      </c>
      <c r="E51">
        <f>VLOOKUP($A51,Market!$A$4:$I$12,F$1,FALSE)</f>
        <v>0.18</v>
      </c>
      <c r="F51">
        <v>19</v>
      </c>
      <c r="G51">
        <v>17</v>
      </c>
      <c r="H51" t="s">
        <v>109</v>
      </c>
      <c r="I51" t="s">
        <v>107</v>
      </c>
      <c r="J51" s="11">
        <f>DATE(2014,5,1)</f>
        <v>41760</v>
      </c>
      <c r="K51" s="11">
        <f>DATE(2014,5,31)</f>
        <v>41790</v>
      </c>
      <c r="L51" s="14">
        <v>0</v>
      </c>
      <c r="M51" s="14" t="s">
        <v>112</v>
      </c>
      <c r="R51">
        <v>100000000</v>
      </c>
      <c r="T51">
        <f>_xll.CLBarrierStripPricer($D$3,$J51, $K51,$D51,$F51,$G51,$H51,$E51,$C51,$L51,$M51,$I51,T$7, SB_Holidays, $N$3,$N$4)</f>
        <v>1.7404028523612398</v>
      </c>
      <c r="U51">
        <f>_xll.CLBarrierStripPricer($D$3,$J51, $K51,$D51,$F51,$G51,$H51,$E51,$C51,$L51,$M51,$I51,U$7, SB_Holidays, $N$3,$N$4)</f>
        <v>-0.92719230278034104</v>
      </c>
      <c r="V51">
        <f>_xll.CLBarrierStripPricer($D$3,$J51, $K51,$D51,$F51,$G51,$H51,$E51,$C51,$L51,$M51,$I51,V$7, SB_Holidays, $N$3,$N$4)</f>
        <v>0.22140769081027059</v>
      </c>
      <c r="W51">
        <f>_xll.CLBarrierStripPricer($D$3,$J51, $K51,$D51,$F51,$G51,$H51,$E51,$C51,$L51,$M51,$I51,W$7, SB_Holidays, $N$3,$N$4)</f>
        <v>4.0273343373601795</v>
      </c>
      <c r="X51">
        <f>_xll.CLBarrierStripPricer($D$3,$J51, $K51,$D51,$F51,$G51,$H51,$E51,$C51,$L51,$M51,$I51,X$7, SB_Holidays, $N$3,$N$4)</f>
        <v>-2.8336592283120243E-3</v>
      </c>
      <c r="Y51">
        <f>_xll.CLBarrierStripPricer($D$3,$J51, $K51,$D51,$F51,$G51,$H51,$E51,$C51,$L51,$M51,$I51,Y$7, SB_Holidays, $N$3,$N$4)</f>
        <v>7</v>
      </c>
      <c r="Z51" s="20" t="str">
        <f>VLOOKUP(Y51,FormulaString,3,FALSE)</f>
        <v>BarrierStrip</v>
      </c>
      <c r="AB51">
        <f>T51*$R51</f>
        <v>174040285.23612398</v>
      </c>
      <c r="AC51">
        <f>U51*$R51</f>
        <v>-92719230.278034106</v>
      </c>
      <c r="AD51">
        <f>V51*$R51</f>
        <v>22140769.081027061</v>
      </c>
      <c r="AE51">
        <f>W51*$R51</f>
        <v>402733433.73601794</v>
      </c>
      <c r="AF51">
        <f>X51*$R51</f>
        <v>-283365.92283120245</v>
      </c>
    </row>
    <row r="52" spans="1:32" hidden="1">
      <c r="Z52" s="20"/>
    </row>
    <row r="53" spans="1:32" hidden="1">
      <c r="Z53" s="20"/>
    </row>
    <row r="54" spans="1:32" hidden="1">
      <c r="Z54" s="20"/>
    </row>
    <row r="55" spans="1:32" hidden="1">
      <c r="A55" t="s">
        <v>138</v>
      </c>
      <c r="Z55" s="20"/>
    </row>
    <row r="56" spans="1:32" hidden="1">
      <c r="A56" t="s">
        <v>69</v>
      </c>
      <c r="B56" t="s">
        <v>87</v>
      </c>
      <c r="C56" t="s">
        <v>115</v>
      </c>
      <c r="D56" t="s">
        <v>69</v>
      </c>
      <c r="E56" t="s">
        <v>87</v>
      </c>
      <c r="F56" t="s">
        <v>114</v>
      </c>
      <c r="G56" t="s">
        <v>116</v>
      </c>
      <c r="I56" t="s">
        <v>117</v>
      </c>
      <c r="J56" t="s">
        <v>74</v>
      </c>
      <c r="K56" t="s">
        <v>86</v>
      </c>
      <c r="L56" t="s">
        <v>79</v>
      </c>
      <c r="M56" t="s">
        <v>78</v>
      </c>
      <c r="R56" t="s">
        <v>94</v>
      </c>
      <c r="T56" t="s">
        <v>75</v>
      </c>
      <c r="U56" t="s">
        <v>76</v>
      </c>
      <c r="V56" t="s">
        <v>77</v>
      </c>
      <c r="W56" t="s">
        <v>80</v>
      </c>
      <c r="X56" t="s">
        <v>81</v>
      </c>
      <c r="Y56" t="s">
        <v>142</v>
      </c>
      <c r="Z56" s="20"/>
      <c r="AB56" t="s">
        <v>95</v>
      </c>
      <c r="AC56" t="s">
        <v>96</v>
      </c>
      <c r="AD56" t="s">
        <v>97</v>
      </c>
      <c r="AE56" t="s">
        <v>98</v>
      </c>
      <c r="AF56" t="s">
        <v>99</v>
      </c>
    </row>
    <row r="57" spans="1:32" hidden="1">
      <c r="A57" t="s">
        <v>29</v>
      </c>
      <c r="B57" s="11">
        <f>VLOOKUP($A57,Market!$A$4:$I$12,D$1,FALSE)</f>
        <v>41897</v>
      </c>
      <c r="C57">
        <f>VLOOKUP($A57,Market!$A$4:$I$12,E$1,FALSE)</f>
        <v>17.399999999999999</v>
      </c>
      <c r="D57" t="s">
        <v>113</v>
      </c>
      <c r="E57" s="11">
        <f>VLOOKUP($D57,Market!$A$4:$I$12,D$1,FALSE)</f>
        <v>42052</v>
      </c>
      <c r="F57">
        <f>VLOOKUP($D57,Market!$A$4:$I$12,E$1,FALSE)</f>
        <v>17.5</v>
      </c>
      <c r="G57">
        <f>C57-F57</f>
        <v>-0.10000000000000142</v>
      </c>
      <c r="I57">
        <v>1</v>
      </c>
      <c r="J57">
        <v>1</v>
      </c>
      <c r="K57" s="11">
        <f>MIN(B57,E57)</f>
        <v>41897</v>
      </c>
      <c r="L57" s="14">
        <v>0</v>
      </c>
      <c r="M57" s="14" t="s">
        <v>112</v>
      </c>
      <c r="R57">
        <v>112000</v>
      </c>
      <c r="T57">
        <f>_xll.CLSprdOptPricer($D$3,$K57,$G57,$J57,$I57,$L57,$M57,T$7)</f>
        <v>1.1370498781893976</v>
      </c>
      <c r="U57">
        <f>_xll.CLSprdOptPricer($D$3,$K57,$G57,$J57,$I57,$L57,$M57,U$7)</f>
        <v>-0.90548716675357488</v>
      </c>
      <c r="V57">
        <f>_xll.CLSprdOptPricer($D$3,$K57,$G57,$J57,$I57,$L57,$M57,V$7)</f>
        <v>0.20105512810175127</v>
      </c>
      <c r="W57">
        <f>_xll.CLSprdOptPricer($D$3,$K57,$G57,$J57,$I57,$L57,$M57,W$7)</f>
        <v>0.141008825769917</v>
      </c>
      <c r="X57">
        <f>_xll.CLSprdOptPricer($D$3,$K57,$G57,$J57,$I57,$L57,$M57,X$7)</f>
        <v>-2.7522213874275891E-4</v>
      </c>
      <c r="Y57">
        <f>_xll.CLSprdOptPricer($D$3,$K57,$G57,$J57,$I57,$L57,$M57,Y$7)</f>
        <v>5</v>
      </c>
      <c r="Z57" s="20" t="str">
        <f>VLOOKUP(Y57,FormulaString,3,FALSE)</f>
        <v>CSO</v>
      </c>
      <c r="AB57">
        <f>T57*$R57</f>
        <v>127349.58635721254</v>
      </c>
      <c r="AC57">
        <f>U57*$R57</f>
        <v>-101414.56267640038</v>
      </c>
      <c r="AD57">
        <f>V57*$R57</f>
        <v>22518.174347396143</v>
      </c>
      <c r="AE57">
        <f>W57*$R57</f>
        <v>15792.988486230703</v>
      </c>
      <c r="AF57">
        <f>X57*$R57</f>
        <v>-30.824879539188998</v>
      </c>
    </row>
    <row r="58" spans="1:32" hidden="1"/>
    <row r="59" spans="1:32" hidden="1"/>
    <row r="60" spans="1:32" hidden="1">
      <c r="A60" t="s">
        <v>147</v>
      </c>
      <c r="T60" t="s">
        <v>57</v>
      </c>
      <c r="U60" t="s">
        <v>85</v>
      </c>
      <c r="V60" t="s">
        <v>84</v>
      </c>
      <c r="W60" t="s">
        <v>83</v>
      </c>
      <c r="X60" t="s">
        <v>82</v>
      </c>
      <c r="Y60" t="s">
        <v>129</v>
      </c>
      <c r="Z60" s="20"/>
    </row>
    <row r="61" spans="1:32" hidden="1">
      <c r="A61" t="s">
        <v>69</v>
      </c>
      <c r="B61" t="s">
        <v>70</v>
      </c>
      <c r="C61" t="s">
        <v>87</v>
      </c>
      <c r="D61" t="s">
        <v>72</v>
      </c>
      <c r="E61" t="s">
        <v>73</v>
      </c>
      <c r="F61" t="s">
        <v>63</v>
      </c>
      <c r="G61" t="s">
        <v>19</v>
      </c>
      <c r="H61" t="s">
        <v>20</v>
      </c>
      <c r="I61" t="s">
        <v>21</v>
      </c>
      <c r="J61" t="s">
        <v>74</v>
      </c>
      <c r="K61" t="s">
        <v>104</v>
      </c>
      <c r="L61" t="s">
        <v>105</v>
      </c>
      <c r="M61" t="s">
        <v>106</v>
      </c>
      <c r="N61" t="s">
        <v>86</v>
      </c>
      <c r="O61" t="s">
        <v>79</v>
      </c>
      <c r="P61" t="s">
        <v>78</v>
      </c>
      <c r="R61" t="s">
        <v>94</v>
      </c>
      <c r="T61" t="s">
        <v>75</v>
      </c>
      <c r="U61" t="s">
        <v>76</v>
      </c>
      <c r="V61" t="s">
        <v>77</v>
      </c>
      <c r="W61" t="s">
        <v>80</v>
      </c>
      <c r="X61" t="s">
        <v>81</v>
      </c>
      <c r="Y61" t="s">
        <v>142</v>
      </c>
      <c r="Z61" s="20"/>
      <c r="AB61" t="s">
        <v>95</v>
      </c>
      <c r="AC61" t="s">
        <v>96</v>
      </c>
      <c r="AD61" t="s">
        <v>97</v>
      </c>
      <c r="AE61" t="s">
        <v>98</v>
      </c>
      <c r="AF61" t="s">
        <v>99</v>
      </c>
    </row>
    <row r="62" spans="1:32" hidden="1">
      <c r="A62" t="s">
        <v>29</v>
      </c>
      <c r="B62" s="11">
        <f>VLOOKUP($A62,Market!$A$4:$I$12,C$1,FALSE)</f>
        <v>41913</v>
      </c>
      <c r="C62" s="11">
        <f>VLOOKUP($A62,Market!$A$4:$I$12,D$1,FALSE)</f>
        <v>41897</v>
      </c>
      <c r="D62">
        <f>VLOOKUP($A62,Market!$A$4:$I$12,E$1,FALSE)</f>
        <v>17.399999999999999</v>
      </c>
      <c r="E62">
        <f>VLOOKUP($A62,Market!$A$4:$I$12,F$1,FALSE)</f>
        <v>0.18</v>
      </c>
      <c r="F62">
        <f>VLOOKUP($A62,Market!$A$4:$I$12,G$1,FALSE)</f>
        <v>0.02</v>
      </c>
      <c r="G62">
        <f>VLOOKUP($A62,Market!$A$4:$I$12,H$1,FALSE)</f>
        <v>0.01</v>
      </c>
      <c r="H62">
        <f>VLOOKUP($A62,Market!$A$4:$I$12,I$1,FALSE)</f>
        <v>0.01</v>
      </c>
      <c r="I62">
        <f>VLOOKUP($A62,Market!$A$4:$I$12,J$1,FALSE)</f>
        <v>0.02</v>
      </c>
      <c r="J62">
        <v>18</v>
      </c>
      <c r="K62">
        <v>20</v>
      </c>
      <c r="L62" t="s">
        <v>111</v>
      </c>
      <c r="M62" t="s">
        <v>107</v>
      </c>
      <c r="N62" s="11">
        <f>DATE(2014,5,15)</f>
        <v>41774</v>
      </c>
      <c r="O62" s="14">
        <v>0</v>
      </c>
      <c r="P62" s="14" t="s">
        <v>146</v>
      </c>
      <c r="R62">
        <v>100000000</v>
      </c>
      <c r="T62">
        <f>_xll.CLBarrierOptSmilePricer($D$3,$N62,$D62,$J62,$K62,$L62,$E62,$F62,$G62,$H62,$I62,$C62,$O62,$P62,$M62,T$7,$N$3,$N$4)</f>
        <v>0.12301545180007864</v>
      </c>
      <c r="U62">
        <f>_xll.CLBarrierOptSmilePricer($D$3,$N62,$D62,$J62,$K62,$L62,$E62,$F62,$G62,$H62,$I62,$C62,$O62,$P62,$M62,U$7,$N$3,$N$4)</f>
        <v>7.1684240091222332E-2</v>
      </c>
      <c r="V62">
        <f>_xll.CLBarrierOptSmilePricer($D$3,$N62,$D62,$J62,$K62,$L62,$E62,$F62,$G62,$H62,$I62,$C62,$O62,$P62,$M62,V$7,$N$3,$N$4)</f>
        <v>1.8880748656092121E-2</v>
      </c>
      <c r="W62">
        <f>_xll.CLBarrierOptSmilePricer($D$3,$N62,$D62,$J62,$K62,$L62,$E62,$F62,$G62,$H62,$I62,$C62,$O62,$P62,$M62,W$7,$N$3,$N$4)</f>
        <v>-0.25471075064389848</v>
      </c>
      <c r="X62">
        <f>_xll.CLBarrierOptSmilePricer($D$3,$N62,$D62,$J62,$K62,$L62,$E62,$F62,$G62,$H62,$I62,$C62,$O62,$P62,$M62,X$7,$N$3,$N$4)</f>
        <v>5.4134716448879516E-4</v>
      </c>
      <c r="Y62">
        <f>_xll.CLBarrierOptSmilePricer($D$3,$N62,$D62,$J62,$K62,$L62,$E62,$F62,$G62,$H62,$I62,$C62,$O62,$P62,$M62,Y$7,$N$3,$N$4)</f>
        <v>8</v>
      </c>
      <c r="Z62" s="20" t="str">
        <f>VLOOKUP(Y62,FormulaString,3,FALSE)</f>
        <v>BarrierSmile</v>
      </c>
      <c r="AB62">
        <f t="shared" ref="AB62:AF66" si="5">T62*$R62</f>
        <v>12301545.180007864</v>
      </c>
      <c r="AC62">
        <f t="shared" si="5"/>
        <v>7168424.0091222329</v>
      </c>
      <c r="AD62">
        <f t="shared" si="5"/>
        <v>1888074.8656092121</v>
      </c>
      <c r="AE62">
        <f t="shared" si="5"/>
        <v>-25471075.064389847</v>
      </c>
      <c r="AF62">
        <f t="shared" si="5"/>
        <v>54134.716448879517</v>
      </c>
    </row>
    <row r="63" spans="1:32" hidden="1">
      <c r="A63" t="s">
        <v>29</v>
      </c>
      <c r="B63" s="11">
        <f>VLOOKUP($A63,Market!$A$4:$I$12,C$1,FALSE)</f>
        <v>41913</v>
      </c>
      <c r="C63" s="11">
        <f>VLOOKUP($A63,Market!$A$4:$I$12,D$1,FALSE)</f>
        <v>41897</v>
      </c>
      <c r="D63">
        <f>VLOOKUP($A63,Market!$A$4:$I$12,E$1,FALSE)</f>
        <v>17.399999999999999</v>
      </c>
      <c r="E63">
        <f>VLOOKUP($A63,Market!$A$4:$I$12,F$1,FALSE)</f>
        <v>0.18</v>
      </c>
      <c r="F63">
        <f>VLOOKUP($A63,Market!$A$4:$I$12,G$1,FALSE)</f>
        <v>0.02</v>
      </c>
      <c r="G63">
        <f>VLOOKUP($A63,Market!$A$4:$I$12,H$1,FALSE)</f>
        <v>0.01</v>
      </c>
      <c r="H63">
        <f>VLOOKUP($A63,Market!$A$4:$I$12,I$1,FALSE)</f>
        <v>0.01</v>
      </c>
      <c r="I63">
        <f>VLOOKUP($A63,Market!$A$4:$I$12,J$1,FALSE)</f>
        <v>0.02</v>
      </c>
      <c r="J63">
        <v>18</v>
      </c>
      <c r="K63">
        <v>20</v>
      </c>
      <c r="L63" t="s">
        <v>110</v>
      </c>
      <c r="M63" t="s">
        <v>107</v>
      </c>
      <c r="N63" s="11">
        <f t="shared" ref="N63:N66" si="6">DATE(2014,5,15)</f>
        <v>41774</v>
      </c>
      <c r="O63" s="14">
        <v>0</v>
      </c>
      <c r="P63" s="14" t="s">
        <v>146</v>
      </c>
      <c r="R63">
        <v>100000000</v>
      </c>
      <c r="T63">
        <f>_xll.CLBarrierOptSmilePricer($D$3,$N63,$D63,$J63,$K63,$L63,$E63,$F63,$G63,$H63,$I63,$C63,$O63,$P63,$M63,T$7,$N$3,$N$4)</f>
        <v>0.38328349496114705</v>
      </c>
      <c r="U63">
        <f>_xll.CLBarrierOptSmilePricer($D$3,$N63,$D63,$J63,$K63,$L63,$E63,$F63,$G63,$H63,$I63,$C63,$O63,$P63,$M63,U$7,$N$3,$N$4)</f>
        <v>0.31327866302360452</v>
      </c>
      <c r="V63">
        <f>_xll.CLBarrierOptSmilePricer($D$3,$N63,$D63,$J63,$K63,$L63,$E63,$F63,$G63,$H63,$I63,$C63,$O63,$P63,$M63,V$7,$N$3,$N$4)</f>
        <v>0.21104381335611702</v>
      </c>
      <c r="W63">
        <f>_xll.CLBarrierOptSmilePricer($D$3,$N63,$D63,$J63,$K63,$L63,$E63,$F63,$G63,$H63,$I63,$C63,$O63,$P63,$M63,W$7,$N$3,$N$4)</f>
        <v>4.2451976226033734</v>
      </c>
      <c r="X63">
        <f>_xll.CLBarrierOptSmilePricer($D$3,$N63,$D63,$J63,$K63,$L63,$E63,$F63,$G63,$H63,$I63,$C63,$O63,$P63,$M63,X$7,$N$3,$N$4)</f>
        <v>-3.2980820688152113E-3</v>
      </c>
      <c r="Y63">
        <f>_xll.CLBarrierOptSmilePricer($D$3,$N63,$D63,$J63,$K63,$L63,$E63,$F63,$G63,$H63,$I63,$C63,$O63,$P63,$M63,Y$7,$N$3,$N$4)</f>
        <v>8</v>
      </c>
      <c r="Z63" s="20" t="str">
        <f>VLOOKUP(Y63,FormulaString,3,FALSE)</f>
        <v>BarrierSmile</v>
      </c>
      <c r="AB63">
        <f t="shared" si="5"/>
        <v>38328349.496114708</v>
      </c>
      <c r="AC63">
        <f t="shared" si="5"/>
        <v>31327866.302360453</v>
      </c>
      <c r="AD63">
        <f t="shared" si="5"/>
        <v>21104381.335611701</v>
      </c>
      <c r="AE63">
        <f t="shared" si="5"/>
        <v>424519762.26033735</v>
      </c>
      <c r="AF63">
        <f t="shared" si="5"/>
        <v>-329808.20688152115</v>
      </c>
    </row>
    <row r="64" spans="1:32" hidden="1">
      <c r="A64" t="s">
        <v>29</v>
      </c>
      <c r="B64" s="11">
        <f>VLOOKUP($A64,Market!$A$4:$I$12,C$1,FALSE)</f>
        <v>41913</v>
      </c>
      <c r="C64" s="11">
        <f>VLOOKUP($A64,Market!$A$4:$I$12,D$1,FALSE)</f>
        <v>41897</v>
      </c>
      <c r="D64">
        <f>VLOOKUP($A64,Market!$A$4:$I$12,E$1,FALSE)</f>
        <v>17.399999999999999</v>
      </c>
      <c r="E64">
        <f>VLOOKUP($A64,Market!$A$4:$I$12,F$1,FALSE)</f>
        <v>0.18</v>
      </c>
      <c r="F64">
        <f>VLOOKUP($A64,Market!$A$4:$I$12,G$1,FALSE)</f>
        <v>0.02</v>
      </c>
      <c r="G64">
        <f>VLOOKUP($A64,Market!$A$4:$I$12,H$1,FALSE)</f>
        <v>0.01</v>
      </c>
      <c r="H64">
        <f>VLOOKUP($A64,Market!$A$4:$I$12,I$1,FALSE)</f>
        <v>0.01</v>
      </c>
      <c r="I64">
        <f>VLOOKUP($A64,Market!$A$4:$I$12,J$1,FALSE)</f>
        <v>0.02</v>
      </c>
      <c r="J64">
        <v>18</v>
      </c>
      <c r="K64">
        <v>20</v>
      </c>
      <c r="L64" t="s">
        <v>109</v>
      </c>
      <c r="M64" t="s">
        <v>107</v>
      </c>
      <c r="N64" s="11">
        <f t="shared" si="6"/>
        <v>41774</v>
      </c>
      <c r="O64" s="14">
        <v>0</v>
      </c>
      <c r="P64" s="14" t="s">
        <v>146</v>
      </c>
      <c r="R64">
        <v>100000000</v>
      </c>
      <c r="T64">
        <f>_xll.CLBarrierOptSmilePricer($D$3,$N64,$D64,$J64,$K64,$L64,$E64,$F64,$G64,$H64,$I64,$C64,$O64,$P64,$M64,T$7,$N$3,$N$4)</f>
        <v>0.50629894676122589</v>
      </c>
      <c r="U64">
        <f>_xll.CLBarrierOptSmilePricer($D$3,$N64,$D64,$J64,$K64,$L64,$E64,$F64,$G64,$H64,$I64,$C64,$O64,$P64,$M64,U$7,$N$3,$N$4)</f>
        <v>0.38496290311482206</v>
      </c>
      <c r="V64">
        <f>_xll.CLBarrierOptSmilePricer($D$3,$N64,$D64,$J64,$K64,$L64,$E64,$F64,$G64,$H64,$I64,$C64,$O64,$P64,$M64,V$7,$N$3,$N$4)</f>
        <v>0.22992456201065067</v>
      </c>
      <c r="W64">
        <f>_xll.CLBarrierOptSmilePricer($D$3,$N64,$D64,$J64,$K64,$L64,$E64,$F64,$G64,$H64,$I64,$C64,$O64,$P64,$M64,W$7,$N$3,$N$4)</f>
        <v>3.9904868719598063</v>
      </c>
      <c r="X64">
        <f>_xll.CLBarrierOptSmilePricer($D$3,$N64,$D64,$J64,$K64,$L64,$E64,$F64,$G64,$H64,$I64,$C64,$O64,$P64,$M64,X$7,$N$3,$N$4)</f>
        <v>-2.7567349043262634E-3</v>
      </c>
      <c r="Y64">
        <f>_xll.CLBarrierOptSmilePricer($D$3,$N64,$D64,$J64,$K64,$L64,$E64,$F64,$G64,$H64,$I64,$C64,$O64,$P64,$M64,Y$7,$N$3,$N$4)</f>
        <v>8</v>
      </c>
      <c r="Z64" s="20" t="str">
        <f>VLOOKUP(Y64,FormulaString,3,FALSE)</f>
        <v>BarrierSmile</v>
      </c>
      <c r="AB64">
        <f t="shared" si="5"/>
        <v>50629894.676122591</v>
      </c>
      <c r="AC64">
        <f t="shared" si="5"/>
        <v>38496290.311482206</v>
      </c>
      <c r="AD64">
        <f t="shared" si="5"/>
        <v>22992456.201065067</v>
      </c>
      <c r="AE64">
        <f t="shared" si="5"/>
        <v>399048687.19598061</v>
      </c>
      <c r="AF64">
        <f t="shared" si="5"/>
        <v>-275673.49043262633</v>
      </c>
    </row>
    <row r="65" spans="1:38" hidden="1">
      <c r="A65" t="s">
        <v>29</v>
      </c>
      <c r="B65" s="11">
        <f>VLOOKUP($A65,Market!$A$4:$I$12,C$1,FALSE)</f>
        <v>41913</v>
      </c>
      <c r="C65" s="11">
        <f>VLOOKUP($A65,Market!$A$4:$I$12,D$1,FALSE)</f>
        <v>41897</v>
      </c>
      <c r="D65">
        <f>VLOOKUP($A65,Market!$A$4:$I$12,E$1,FALSE)</f>
        <v>17.399999999999999</v>
      </c>
      <c r="E65">
        <f>VLOOKUP($A65,Market!$A$4:$I$12,F$1,FALSE)</f>
        <v>0.18</v>
      </c>
      <c r="F65">
        <f>VLOOKUP($A65,Market!$A$4:$I$12,G$1,FALSE)</f>
        <v>0.02</v>
      </c>
      <c r="G65">
        <f>VLOOKUP($A65,Market!$A$4:$I$12,H$1,FALSE)</f>
        <v>0.01</v>
      </c>
      <c r="H65">
        <f>VLOOKUP($A65,Market!$A$4:$I$12,I$1,FALSE)</f>
        <v>0.01</v>
      </c>
      <c r="I65">
        <f>VLOOKUP($A65,Market!$A$4:$I$12,J$1,FALSE)</f>
        <v>0.02</v>
      </c>
      <c r="J65">
        <v>18</v>
      </c>
      <c r="K65">
        <v>20</v>
      </c>
      <c r="L65" t="s">
        <v>108</v>
      </c>
      <c r="M65" t="s">
        <v>107</v>
      </c>
      <c r="N65" s="11">
        <f t="shared" si="6"/>
        <v>41774</v>
      </c>
      <c r="O65" s="14">
        <v>0</v>
      </c>
      <c r="P65" s="14" t="s">
        <v>146</v>
      </c>
      <c r="R65">
        <v>100000000</v>
      </c>
      <c r="T65">
        <f>_xll.CLBarrierOptSmilePricer($D$3,$N65,$D65,$J65,$K65,$L65,$E65,$F65,$G65,$H65,$I65,$C65,$O65,$P65,$M65,T$7,$N$3,$N$4)</f>
        <v>0</v>
      </c>
      <c r="U65">
        <f>_xll.CLBarrierOptSmilePricer($D$3,$N65,$D65,$J65,$K65,$L65,$E65,$F65,$G65,$H65,$I65,$C65,$O65,$P65,$M65,U$7,$N$3,$N$4)</f>
        <v>0</v>
      </c>
      <c r="V65">
        <f>_xll.CLBarrierOptSmilePricer($D$3,$N65,$D65,$J65,$K65,$L65,$E65,$F65,$G65,$H65,$I65,$C65,$O65,$P65,$M65,V$7,$N$3,$N$4)</f>
        <v>0</v>
      </c>
      <c r="W65">
        <f>_xll.CLBarrierOptSmilePricer($D$3,$N65,$D65,$J65,$K65,$L65,$E65,$F65,$G65,$H65,$I65,$C65,$O65,$P65,$M65,W$7,$N$3,$N$4)</f>
        <v>0</v>
      </c>
      <c r="X65">
        <f>_xll.CLBarrierOptSmilePricer($D$3,$N65,$D65,$J65,$K65,$L65,$E65,$F65,$G65,$H65,$I65,$C65,$O65,$P65,$M65,X$7,$N$3,$N$4)</f>
        <v>0</v>
      </c>
      <c r="Y65">
        <f>_xll.CLBarrierOptSmilePricer($D$3,$N65,$D65,$J65,$K65,$L65,$E65,$F65,$G65,$H65,$I65,$C65,$O65,$P65,$M65,Y$7,$N$3,$N$4)</f>
        <v>8</v>
      </c>
      <c r="Z65" s="20" t="str">
        <f>VLOOKUP(Y65,FormulaString,3,FALSE)</f>
        <v>BarrierSmile</v>
      </c>
      <c r="AB65">
        <f t="shared" si="5"/>
        <v>0</v>
      </c>
      <c r="AC65">
        <f t="shared" si="5"/>
        <v>0</v>
      </c>
      <c r="AD65">
        <f t="shared" si="5"/>
        <v>0</v>
      </c>
      <c r="AE65">
        <f t="shared" si="5"/>
        <v>0</v>
      </c>
      <c r="AF65">
        <f t="shared" si="5"/>
        <v>0</v>
      </c>
    </row>
    <row r="66" spans="1:38" hidden="1">
      <c r="A66" t="s">
        <v>29</v>
      </c>
      <c r="B66" s="11">
        <f>VLOOKUP($A66,Market!$A$4:$I$12,C$1,FALSE)</f>
        <v>41913</v>
      </c>
      <c r="C66" s="11">
        <f>VLOOKUP($A66,Market!$A$4:$I$12,D$1,FALSE)</f>
        <v>41897</v>
      </c>
      <c r="D66">
        <f>VLOOKUP($A66,Market!$A$4:$I$12,E$1,FALSE)</f>
        <v>17.399999999999999</v>
      </c>
      <c r="E66">
        <f>VLOOKUP($A66,Market!$A$4:$I$12,F$1,FALSE)</f>
        <v>0.18</v>
      </c>
      <c r="F66">
        <f>VLOOKUP($A66,Market!$A$4:$I$12,G$1,FALSE)</f>
        <v>0.02</v>
      </c>
      <c r="G66">
        <f>VLOOKUP($A66,Market!$A$4:$I$12,H$1,FALSE)</f>
        <v>0.01</v>
      </c>
      <c r="H66">
        <f>VLOOKUP($A66,Market!$A$4:$I$12,I$1,FALSE)</f>
        <v>0.01</v>
      </c>
      <c r="I66">
        <f>VLOOKUP($A66,Market!$A$4:$I$12,J$1,FALSE)</f>
        <v>0.02</v>
      </c>
      <c r="J66">
        <v>18</v>
      </c>
      <c r="K66">
        <v>20</v>
      </c>
      <c r="L66" t="s">
        <v>111</v>
      </c>
      <c r="M66" t="s">
        <v>107</v>
      </c>
      <c r="N66" s="11">
        <f t="shared" si="6"/>
        <v>41774</v>
      </c>
      <c r="O66" s="14">
        <v>0</v>
      </c>
      <c r="P66" s="14" t="s">
        <v>146</v>
      </c>
      <c r="R66">
        <v>100000000</v>
      </c>
      <c r="T66">
        <f>_xll.CLBarrierOptSmilePricer($D$3,$N66,$D66,$J66,$K66,$L66,$E66,$F66,$G66,$H66,$I66,$C66,$O66,$P66,$M66,T$7,$N$3,$N$4)</f>
        <v>0.12301545180007864</v>
      </c>
      <c r="U66">
        <f>_xll.CLBarrierOptSmilePricer($D$3,$N66,$D66,$J66,$K66,$L66,$E66,$F66,$G66,$H66,$I66,$C66,$O66,$P66,$M66,U$7,$N$3,$N$4)</f>
        <v>7.1684240091222332E-2</v>
      </c>
      <c r="V66">
        <f>_xll.CLBarrierOptSmilePricer($D$3,$N66,$D66,$J66,$K66,$L66,$E66,$F66,$G66,$H66,$I66,$C66,$O66,$P66,$M66,V$7,$N$3,$N$4)</f>
        <v>1.8880748656092121E-2</v>
      </c>
      <c r="W66">
        <f>_xll.CLBarrierOptSmilePricer($D$3,$N66,$D66,$J66,$K66,$L66,$E66,$F66,$G66,$H66,$I66,$C66,$O66,$P66,$M66,W$7,$N$3,$N$4)</f>
        <v>-0.25471075064389848</v>
      </c>
      <c r="X66">
        <f>_xll.CLBarrierOptSmilePricer($D$3,$N66,$D66,$J66,$K66,$L66,$E66,$F66,$G66,$H66,$I66,$C66,$O66,$P66,$M66,X$7,$N$3,$N$4)</f>
        <v>5.4134716448879516E-4</v>
      </c>
      <c r="Y66">
        <f>_xll.CLBarrierOptSmilePricer($D$3,$N66,$D66,$J66,$K66,$L66,$E66,$F66,$G66,$H66,$I66,$C66,$O66,$P66,$M66,Y$7,$N$3,$N$4)</f>
        <v>8</v>
      </c>
      <c r="Z66" s="20" t="str">
        <f>VLOOKUP(Y66,FormulaString,3,FALSE)</f>
        <v>BarrierSmile</v>
      </c>
      <c r="AB66">
        <f t="shared" si="5"/>
        <v>12301545.180007864</v>
      </c>
      <c r="AC66">
        <f t="shared" si="5"/>
        <v>7168424.0091222329</v>
      </c>
      <c r="AD66">
        <f t="shared" si="5"/>
        <v>1888074.8656092121</v>
      </c>
      <c r="AE66">
        <f t="shared" si="5"/>
        <v>-25471075.064389847</v>
      </c>
      <c r="AF66">
        <f t="shared" si="5"/>
        <v>54134.716448879517</v>
      </c>
    </row>
    <row r="67" spans="1:38" hidden="1"/>
    <row r="68" spans="1:38" hidden="1"/>
    <row r="71" spans="1:38">
      <c r="A71" t="s">
        <v>68</v>
      </c>
      <c r="P71" t="s">
        <v>58</v>
      </c>
      <c r="Q71" t="s">
        <v>85</v>
      </c>
      <c r="R71" t="s">
        <v>84</v>
      </c>
      <c r="S71" t="s">
        <v>83</v>
      </c>
      <c r="T71" t="s">
        <v>82</v>
      </c>
      <c r="U71" t="s">
        <v>159</v>
      </c>
      <c r="V71" s="20" t="s">
        <v>160</v>
      </c>
      <c r="X71" t="s">
        <v>164</v>
      </c>
      <c r="Z71" t="s">
        <v>165</v>
      </c>
      <c r="AF71" t="s">
        <v>163</v>
      </c>
      <c r="AH71" t="s">
        <v>166</v>
      </c>
    </row>
    <row r="72" spans="1:38">
      <c r="A72" t="s">
        <v>69</v>
      </c>
      <c r="B72" t="s">
        <v>70</v>
      </c>
      <c r="C72" t="s">
        <v>87</v>
      </c>
      <c r="D72" t="s">
        <v>72</v>
      </c>
      <c r="E72" t="s">
        <v>73</v>
      </c>
      <c r="F72" t="s">
        <v>74</v>
      </c>
      <c r="G72" t="s">
        <v>86</v>
      </c>
      <c r="I72" t="s">
        <v>79</v>
      </c>
      <c r="J72" t="s">
        <v>78</v>
      </c>
      <c r="K72" t="s">
        <v>157</v>
      </c>
      <c r="L72" t="s">
        <v>94</v>
      </c>
      <c r="P72" t="s">
        <v>75</v>
      </c>
      <c r="Q72" t="s">
        <v>76</v>
      </c>
      <c r="R72" t="s">
        <v>77</v>
      </c>
      <c r="S72" t="s">
        <v>80</v>
      </c>
      <c r="T72" t="s">
        <v>81</v>
      </c>
      <c r="U72" t="s">
        <v>161</v>
      </c>
      <c r="V72" s="20" t="s">
        <v>162</v>
      </c>
      <c r="X72" t="str">
        <f t="array" ref="X72:AD72">TRANSPOSE(Market!$L$4:$L$10)</f>
        <v>1d</v>
      </c>
      <c r="Y72" t="str">
        <v>1m</v>
      </c>
      <c r="Z72" t="str">
        <v>2m</v>
      </c>
      <c r="AA72" t="str">
        <v>3m</v>
      </c>
      <c r="AB72" t="str">
        <v>6m</v>
      </c>
      <c r="AC72" t="str">
        <v>1y</v>
      </c>
      <c r="AD72" t="str">
        <v>2y</v>
      </c>
      <c r="AF72" t="str">
        <f t="array" ref="AF72:AL72">TRANSPOSE(Market!$L$4:$L$10)</f>
        <v>1d</v>
      </c>
      <c r="AG72" t="str">
        <v>1m</v>
      </c>
      <c r="AH72" t="str">
        <v>2m</v>
      </c>
      <c r="AI72" t="str">
        <v>3m</v>
      </c>
      <c r="AJ72" t="str">
        <v>6m</v>
      </c>
      <c r="AK72" t="str">
        <v>1y</v>
      </c>
      <c r="AL72" t="str">
        <v>2y</v>
      </c>
    </row>
    <row r="73" spans="1:38">
      <c r="A73" t="s">
        <v>29</v>
      </c>
      <c r="B73" s="11">
        <f>VLOOKUP($A73,Market!$A$4:$I$12,C$1,FALSE)</f>
        <v>41913</v>
      </c>
      <c r="C73" s="11">
        <f>VLOOKUP($A73,Market!$A$4:$I$12,D$1,FALSE)</f>
        <v>41897</v>
      </c>
      <c r="D73">
        <v>0.15</v>
      </c>
      <c r="E73">
        <v>0.3</v>
      </c>
      <c r="F73">
        <v>0.34</v>
      </c>
      <c r="G73" s="11">
        <f>DATE(2014,6,15)</f>
        <v>41805</v>
      </c>
      <c r="I73" s="14">
        <v>0</v>
      </c>
      <c r="J73" s="14" t="s">
        <v>158</v>
      </c>
      <c r="K73">
        <v>0.2</v>
      </c>
      <c r="L73">
        <v>112000</v>
      </c>
      <c r="P73">
        <f>_xll.CLFXEuroOptPricer($D$3,$G73,$D73,$F73,$E73,$G73,$I73,$J73,Market!$M$4:$M$10,Market!$N$4:$N$10,Market!$M$4:$M$10,Market!$O$4:$O$10,$K73,P$71,$N$3,$N$4)</f>
        <v>1.8006528002254885E-2</v>
      </c>
      <c r="Q73">
        <f>_xll.CLFXEuroOptPricer($D$3,$G73,$D73,$F73,$E73,$G73,$I73,$J73,Market!$M$4:$M$10,Market!$N$4:$N$10,Market!$M$4:$M$10,Market!$O$4:$O$10,$K73,Q$71,$N$3,$N$4)</f>
        <v>0.62778842928520362</v>
      </c>
      <c r="R73">
        <f>_xll.CLFXEuroOptPricer($D$3,$G73,$D73,$F73,$E73,$G73,$I73,$J73,Market!$M$4:$M$10,Market!$N$4:$N$10,Market!$M$4:$M$10,Market!$O$4:$O$10,$K73,R$71,$N$3,$N$4)</f>
        <v>10.430867286581602</v>
      </c>
      <c r="S73">
        <f>_xll.CLFXEuroOptPricer($D$3,$G73,$D73,$F73,$E73,$G73,$I73,$J73,Market!$M$4:$M$10,Market!$N$4:$N$10,Market!$M$4:$M$10,Market!$O$4:$O$10,$K73,S$71,$N$3,$N$4)</f>
        <v>3.4778922947778713E-2</v>
      </c>
      <c r="T73">
        <f>_xll.CLFXEuroOptPricer($D$3,$G73,$D73,$F73,$E73,$G73,$I73,$J73,Market!$M$4:$M$10,Market!$N$4:$N$10,Market!$M$4:$M$10,Market!$O$4:$O$10,$K73,T$71,$N$3,$N$4)</f>
        <v>-4.1890427582517292E-5</v>
      </c>
      <c r="U73">
        <f>_xll.CLFXEuroOptPricer($D$3,$G73,$D73,$F73,$E73,$G73,$I73,$J73,Market!$M$4:$M$10,Market!$N$4:$N$10,Market!$M$4:$M$10,Market!$O$4:$O$10,$K73,U$71,$N$3,$N$4)</f>
        <v>3.4618952365889896E-2</v>
      </c>
      <c r="V73">
        <f>_xll.CLFXEuroOptPricer($D$3,$G73,$D73,$F73,$E73,$G73,$I73,$J73,Market!$M$4:$M$10,Market!$N$4:$N$10,Market!$M$4:$M$10,Market!$O$4:$O$10,$K73,V$71,$N$3,$N$4)</f>
        <v>2.2040701421423628E-2</v>
      </c>
      <c r="X73">
        <f t="array" ref="X73:AD73">TRANSPOSE(_xll.CLFXEuroOptRisks($D$3,$G73,$D73,$F73,$E73,$G73,$I73,$J73,Market!$M$4:$M$10,Market!$N$4:$N$10,Market!$M$4:$M$10,Market!$O$4:$O$10,$K73,X$71,$N$3,$N$4))</f>
        <v>0</v>
      </c>
      <c r="Y73">
        <v>0</v>
      </c>
      <c r="Z73">
        <v>0</v>
      </c>
      <c r="AA73">
        <v>5.8869052785376049E-3</v>
      </c>
      <c r="AB73">
        <v>2.6092446230063737E-2</v>
      </c>
      <c r="AC73">
        <v>0</v>
      </c>
      <c r="AD73">
        <v>0</v>
      </c>
      <c r="AF73">
        <f t="array" ref="AF73:AL73">TRANSPOSE(_xll.CLFXEuroOptRisks($D$3,$G73,$D73,$F73,$E73,$G73,$I73,$J73,Market!$M$4:$M$10,Market!$N$4:$N$10,Market!$M$4:$M$10,Market!$O$4:$O$10,$K73,AF$71,$N$3,$N$4))</f>
        <v>0</v>
      </c>
      <c r="AG73">
        <v>0</v>
      </c>
      <c r="AH73">
        <v>0</v>
      </c>
      <c r="AI73">
        <v>2.0200979482788506E-3</v>
      </c>
      <c r="AJ73">
        <v>2.0020519974863159E-2</v>
      </c>
      <c r="AK73">
        <v>0</v>
      </c>
      <c r="AL73">
        <v>0</v>
      </c>
    </row>
    <row r="74" spans="1:38">
      <c r="A74" t="s">
        <v>167</v>
      </c>
      <c r="B74" s="11">
        <f>VLOOKUP($A74,Market!$A$4:$I$12,C$1,FALSE)</f>
        <v>41913</v>
      </c>
      <c r="C74" s="11">
        <f>VLOOKUP($A74,Market!$A$4:$I$12,D$1,FALSE)</f>
        <v>41897</v>
      </c>
      <c r="D74">
        <v>0.15</v>
      </c>
      <c r="E74">
        <v>0.3</v>
      </c>
      <c r="F74">
        <v>0.32</v>
      </c>
      <c r="G74" s="11">
        <f t="shared" ref="G74:G75" si="7">DATE(2014,6,15)</f>
        <v>41805</v>
      </c>
      <c r="I74" s="14">
        <v>0</v>
      </c>
      <c r="J74" s="14" t="s">
        <v>59</v>
      </c>
      <c r="K74">
        <v>0.2</v>
      </c>
      <c r="L74">
        <v>112000</v>
      </c>
      <c r="P74">
        <f>_xll.CLFXEuroOptPricer($D$3,$G74,$D74,$F74,$E74,$G74,$I74,$J74,Market!$M$4:$M$10,Market!$N$4:$N$10,Market!$M$4:$M$10,Market!$O$4:$O$10,$K74,P$71,$N$3,$N$4)</f>
        <v>2.2895887513352406E-2</v>
      </c>
      <c r="Q74">
        <f>_xll.CLFXEuroOptPricer($D$3,$G74,$D74,$F74,$E74,$G74,$I74,$J74,Market!$M$4:$M$10,Market!$N$4:$N$10,Market!$M$4:$M$10,Market!$O$4:$O$10,$K74,Q$71,$N$3,$N$4)</f>
        <v>0.71794379338715664</v>
      </c>
      <c r="R74">
        <f>_xll.CLFXEuroOptPricer($D$3,$G74,$D74,$F74,$E74,$G74,$I74,$J74,Market!$M$4:$M$10,Market!$N$4:$N$10,Market!$M$4:$M$10,Market!$O$4:$O$10,$K74,R$71,$N$3,$N$4)</f>
        <v>9.3146729360535669</v>
      </c>
      <c r="S74">
        <f>_xll.CLFXEuroOptPricer($D$3,$G74,$D74,$F74,$E74,$G74,$I74,$J74,Market!$M$4:$M$10,Market!$N$4:$N$10,Market!$M$4:$M$10,Market!$O$4:$O$10,$K74,S$71,$N$3,$N$4)</f>
        <v>3.1057146162073002E-2</v>
      </c>
      <c r="T74">
        <f>_xll.CLFXEuroOptPricer($D$3,$G74,$D74,$F74,$E74,$G74,$I74,$J74,Market!$M$4:$M$10,Market!$N$4:$N$10,Market!$M$4:$M$10,Market!$O$4:$O$10,$K74,T$71,$N$3,$N$4)</f>
        <v>-3.7398269906941534E-5</v>
      </c>
      <c r="U74">
        <f>_xll.CLFXEuroOptPricer($D$3,$G74,$D74,$F74,$E74,$G74,$I74,$J74,Market!$M$4:$M$10,Market!$N$4:$N$10,Market!$M$4:$M$10,Market!$O$4:$O$10,$K74,U$71,$N$3,$N$4)</f>
        <v>3.8543482500125022E-2</v>
      </c>
      <c r="V74">
        <f>_xll.CLFXEuroOptPricer($D$3,$G74,$D74,$F74,$E74,$G74,$I74,$J74,Market!$M$4:$M$10,Market!$N$4:$N$10,Market!$M$4:$M$10,Market!$O$4:$O$10,$K74,V$71,$N$3,$N$4)</f>
        <v>1.9682145900531273E-2</v>
      </c>
      <c r="X74">
        <f t="array" ref="X74:AD74">TRANSPOSE(_xll.CLFXEuroOptRisks($D$3,$G74,$D74,$F74,$E74,$G74,$I74,$J74,Market!$M$4:$M$10,Market!$N$4:$N$10,Market!$M$4:$M$10,Market!$O$4:$O$10,$K74,X$71,$N$3,$N$4))</f>
        <v>0</v>
      </c>
      <c r="Y74">
        <v>0</v>
      </c>
      <c r="Z74">
        <v>0</v>
      </c>
      <c r="AA74">
        <v>6.5542657878165248E-3</v>
      </c>
      <c r="AB74">
        <v>2.9050380869554152E-2</v>
      </c>
      <c r="AC74">
        <v>0</v>
      </c>
      <c r="AD74">
        <v>0</v>
      </c>
      <c r="AF74">
        <f t="array" ref="AF74:AL74">TRANSPOSE(_xll.CLFXEuroOptRisks($D$3,$G74,$D74,$F74,$E74,$G74,$I74,$J74,Market!$M$4:$M$10,Market!$N$4:$N$10,Market!$M$4:$M$10,Market!$O$4:$O$10,$K74,AF$71,$N$3,$N$4))</f>
        <v>0</v>
      </c>
      <c r="AG74">
        <v>0</v>
      </c>
      <c r="AH74">
        <v>0</v>
      </c>
      <c r="AI74">
        <v>1.8039289765976539E-3</v>
      </c>
      <c r="AJ74">
        <v>1.7878148468142979E-2</v>
      </c>
      <c r="AK74">
        <v>0</v>
      </c>
      <c r="AL74">
        <v>0</v>
      </c>
    </row>
    <row r="75" spans="1:38">
      <c r="A75" t="s">
        <v>167</v>
      </c>
      <c r="B75" s="11">
        <f>VLOOKUP($A75,Market!$A$4:$I$12,C$1,FALSE)</f>
        <v>41913</v>
      </c>
      <c r="C75" s="11">
        <f>VLOOKUP($A75,Market!$A$4:$I$12,D$1,FALSE)</f>
        <v>41897</v>
      </c>
      <c r="D75">
        <v>0.15</v>
      </c>
      <c r="E75">
        <v>0.3</v>
      </c>
      <c r="F75">
        <v>0.3</v>
      </c>
      <c r="G75" s="11">
        <f t="shared" si="7"/>
        <v>41805</v>
      </c>
      <c r="I75" s="14">
        <v>0</v>
      </c>
      <c r="J75" s="14" t="s">
        <v>59</v>
      </c>
      <c r="K75">
        <v>0.2</v>
      </c>
      <c r="L75">
        <v>112000</v>
      </c>
      <c r="P75">
        <f>_xll.CLFXEuroOptPricer($D$3,$G75,$D75,$F75,$E75,$G75,$I75,$J75,Market!$M$4:$M$10,Market!$N$4:$N$10,Market!$M$4:$M$10,Market!$O$4:$O$10,$K75,P$71,$N$3,$N$4)</f>
        <v>2.8599325122451752E-2</v>
      </c>
      <c r="Q75">
        <f>_xll.CLFXEuroOptPricer($D$3,$G75,$D75,$F75,$E75,$G75,$I75,$J75,Market!$M$4:$M$10,Market!$N$4:$N$10,Market!$M$4:$M$10,Market!$O$4:$O$10,$K75,Q$71,$N$3,$N$4)</f>
        <v>0.80057425269625604</v>
      </c>
      <c r="R75">
        <f>_xll.CLFXEuroOptPricer($D$3,$G75,$D75,$F75,$E75,$G75,$I75,$J75,Market!$M$4:$M$10,Market!$N$4:$N$10,Market!$M$4:$M$10,Market!$O$4:$O$10,$K75,R$71,$N$3,$N$4)</f>
        <v>7.70611514199092</v>
      </c>
      <c r="S75">
        <f>_xll.CLFXEuroOptPricer($D$3,$G75,$D75,$F75,$E75,$G75,$I75,$J75,Market!$M$4:$M$10,Market!$N$4:$N$10,Market!$M$4:$M$10,Market!$O$4:$O$10,$K75,S$71,$N$3,$N$4)</f>
        <v>2.5693710222772597E-2</v>
      </c>
      <c r="T75">
        <f>_xll.CLFXEuroOptPricer($D$3,$G75,$D75,$F75,$E75,$G75,$I75,$J75,Market!$M$4:$M$10,Market!$N$4:$N$10,Market!$M$4:$M$10,Market!$O$4:$O$10,$K75,T$71,$N$3,$N$4)</f>
        <v>-3.0925008940498738E-5</v>
      </c>
      <c r="U75">
        <f>_xll.CLFXEuroOptPricer($D$3,$G75,$D75,$F75,$E75,$G75,$I75,$J75,Market!$M$4:$M$10,Market!$N$4:$N$10,Market!$M$4:$M$10,Market!$O$4:$O$10,$K75,U$71,$N$3,$N$4)</f>
        <v>4.1584917079546584E-2</v>
      </c>
      <c r="V75">
        <f>_xll.CLFXEuroOptPricer($D$3,$G75,$D75,$F75,$E75,$G75,$I75,$J75,Market!$M$4:$M$10,Market!$N$4:$N$10,Market!$M$4:$M$10,Market!$O$4:$O$10,$K75,V$71,$N$3,$N$4)</f>
        <v>1.6283216211878879E-2</v>
      </c>
      <c r="X75">
        <f t="array" ref="X75:AD75">TRANSPOSE(_xll.CLFXEuroOptRisks($D$3,$G75,$D75,$F75,$E75,$G75,$I75,$J75,Market!$M$4:$M$10,Market!$N$4:$N$10,Market!$M$4:$M$10,Market!$O$4:$O$10,$K75,X$71,$N$3,$N$4))</f>
        <v>0</v>
      </c>
      <c r="Y75">
        <v>0</v>
      </c>
      <c r="Z75">
        <v>0</v>
      </c>
      <c r="AA75">
        <v>7.0714560088551729E-3</v>
      </c>
      <c r="AB75">
        <v>3.1342721221348444E-2</v>
      </c>
      <c r="AC75">
        <v>0</v>
      </c>
      <c r="AD75">
        <v>0</v>
      </c>
      <c r="AF75">
        <f t="array" ref="AF75:AL75">TRANSPOSE(_xll.CLFXEuroOptRisks($D$3,$G75,$D75,$F75,$E75,$G75,$I75,$J75,Market!$M$4:$M$10,Market!$N$4:$N$10,Market!$M$4:$M$10,Market!$O$4:$O$10,$K75,AF$71,$N$3,$N$4))</f>
        <v>0</v>
      </c>
      <c r="AG75">
        <v>0</v>
      </c>
      <c r="AH75">
        <v>0</v>
      </c>
      <c r="AI75">
        <v>1.4924063763693222E-3</v>
      </c>
      <c r="AJ75">
        <v>1.4790763521148562E-2</v>
      </c>
      <c r="AK75">
        <v>0</v>
      </c>
      <c r="AL75">
        <v>0</v>
      </c>
    </row>
    <row r="81" spans="1:38">
      <c r="A81" t="s">
        <v>68</v>
      </c>
      <c r="P81" t="s">
        <v>57</v>
      </c>
      <c r="Q81" t="s">
        <v>85</v>
      </c>
      <c r="R81" t="s">
        <v>84</v>
      </c>
      <c r="S81" t="s">
        <v>83</v>
      </c>
      <c r="T81" t="s">
        <v>82</v>
      </c>
      <c r="U81" t="s">
        <v>159</v>
      </c>
      <c r="V81" s="20" t="s">
        <v>160</v>
      </c>
      <c r="X81" t="s">
        <v>164</v>
      </c>
      <c r="Z81" t="s">
        <v>165</v>
      </c>
      <c r="AF81" t="s">
        <v>163</v>
      </c>
      <c r="AH81" t="s">
        <v>166</v>
      </c>
    </row>
    <row r="82" spans="1:38">
      <c r="A82" t="s">
        <v>69</v>
      </c>
      <c r="B82" t="s">
        <v>70</v>
      </c>
      <c r="C82" t="s">
        <v>87</v>
      </c>
      <c r="D82" t="s">
        <v>72</v>
      </c>
      <c r="E82" t="s">
        <v>73</v>
      </c>
      <c r="F82" t="s">
        <v>74</v>
      </c>
      <c r="G82" t="s">
        <v>86</v>
      </c>
      <c r="I82" t="s">
        <v>79</v>
      </c>
      <c r="J82" t="s">
        <v>78</v>
      </c>
      <c r="K82" t="s">
        <v>157</v>
      </c>
      <c r="L82" t="s">
        <v>94</v>
      </c>
      <c r="P82" t="s">
        <v>75</v>
      </c>
      <c r="Q82" t="s">
        <v>76</v>
      </c>
      <c r="R82" t="s">
        <v>77</v>
      </c>
      <c r="S82" t="s">
        <v>80</v>
      </c>
      <c r="T82" t="s">
        <v>81</v>
      </c>
      <c r="U82" t="s">
        <v>161</v>
      </c>
      <c r="V82" s="20" t="s">
        <v>162</v>
      </c>
      <c r="X82" t="str">
        <f t="array" ref="X82:AD82">TRANSPOSE(Market!$L$4:$L$10)</f>
        <v>1d</v>
      </c>
      <c r="Y82" t="str">
        <v>1m</v>
      </c>
      <c r="Z82" t="str">
        <v>2m</v>
      </c>
      <c r="AA82" t="str">
        <v>3m</v>
      </c>
      <c r="AB82" t="str">
        <v>6m</v>
      </c>
      <c r="AC82" t="str">
        <v>1y</v>
      </c>
      <c r="AD82" t="str">
        <v>2y</v>
      </c>
      <c r="AF82" t="str">
        <f t="array" ref="AF82:AL82">TRANSPOSE(Market!$L$4:$L$10)</f>
        <v>1d</v>
      </c>
      <c r="AG82" t="str">
        <v>1m</v>
      </c>
      <c r="AH82" t="str">
        <v>2m</v>
      </c>
      <c r="AI82" t="str">
        <v>3m</v>
      </c>
      <c r="AJ82" t="str">
        <v>6m</v>
      </c>
      <c r="AK82" t="str">
        <v>1y</v>
      </c>
      <c r="AL82" t="str">
        <v>2y</v>
      </c>
    </row>
    <row r="83" spans="1:38">
      <c r="A83" t="s">
        <v>29</v>
      </c>
      <c r="B83" s="11">
        <f>VLOOKUP($A83,Market!$A$4:$I$12,C$1,FALSE)</f>
        <v>41913</v>
      </c>
      <c r="C83" s="11">
        <f>VLOOKUP($A83,Market!$A$4:$I$12,D$1,FALSE)</f>
        <v>41897</v>
      </c>
      <c r="D83">
        <v>0.15</v>
      </c>
      <c r="E83">
        <v>0.3</v>
      </c>
      <c r="F83">
        <v>0.34</v>
      </c>
      <c r="G83" s="11">
        <f t="shared" ref="G83" si="8">DATE(2014,6,15)</f>
        <v>41805</v>
      </c>
      <c r="I83" s="14">
        <v>0</v>
      </c>
      <c r="J83" s="14" t="s">
        <v>59</v>
      </c>
      <c r="K83">
        <v>0.2</v>
      </c>
      <c r="L83">
        <v>112000</v>
      </c>
      <c r="P83">
        <f>_xll.CLFXBinOptPricer($D$3,$G83,$D83,$F83,$E83,$G83,$I83,$J83,Market!$M$4:$M$10,Market!$N$4:$N$10,Market!$M$4:$M$10,Market!$O$4:$O$10,$K83,P$71,$N$3,$N$4)</f>
        <v>0.22400537794887224</v>
      </c>
      <c r="Q83">
        <f>_xll.CLFXBinOptPricer($D$3,$G83,$D83,$F83,$E83,$G83,$I83,$J83,Market!$M$4:$M$10,Market!$N$4:$N$10,Market!$M$4:$M$10,Market!$O$4:$O$10,$K83,Q$71,$N$3,$N$4)</f>
        <v>4.6018459354382646</v>
      </c>
      <c r="R83">
        <f>_xll.CLFXBinOptPricer($D$3,$G83,$D83,$F83,$E83,$G83,$I83,$J83,Market!$M$4:$M$10,Market!$N$4:$N$10,Market!$M$4:$M$10,Market!$O$4:$O$10,$K83,R$71,$N$3,$N$4)</f>
        <v>-41.365703539063425</v>
      </c>
      <c r="S83">
        <f>_xll.CLFXBinOptPricer($D$3,$G83,$D83,$F83,$E83,$G83,$I83,$J83,Market!$M$4:$M$10,Market!$N$4:$N$10,Market!$M$4:$M$10,Market!$O$4:$O$10,$K83,S$71,$N$3,$N$4)</f>
        <v>-0.13792768740472627</v>
      </c>
      <c r="T83">
        <f>_xll.CLFXBinOptPricer($D$3,$G83,$D83,$F83,$E83,$G83,$I83,$J83,Market!$M$4:$M$10,Market!$N$4:$N$10,Market!$M$4:$M$10,Market!$O$4:$O$10,$K83,T$71,$N$3,$N$4)</f>
        <v>1.6644616283309488E-4</v>
      </c>
      <c r="U83">
        <f>_xll.CLFXBinOptPricer($D$3,$G83,$D83,$F83,$E83,$G83,$I83,$J83,Market!$M$4:$M$10,Market!$N$4:$N$10,Market!$M$4:$M$10,Market!$O$4:$O$10,$K83,U$71,$N$3,$N$4)</f>
        <v>0.21194202000158024</v>
      </c>
      <c r="V83">
        <f>_xll.CLFXBinOptPricer($D$3,$G83,$D83,$F83,$E83,$G83,$I83,$J83,Market!$M$4:$M$10,Market!$N$4:$N$10,Market!$M$4:$M$10,Market!$O$4:$O$10,$K83,V$71,$N$3,$N$4)</f>
        <v>-8.740728269784892E-2</v>
      </c>
      <c r="X83">
        <f t="array" ref="X83:AD83">TRANSPOSE(_xll.CLFXBinOptRisks($D$3,$G83,$D83,$F83,$E83,$G83,$I83,$J83,Market!$M$4:$M$10,Market!$N$4:$N$10,Market!$M$4:$M$10,Market!$O$4:$O$10,$K83,X$71,$N$3,$N$4))</f>
        <v>0</v>
      </c>
      <c r="Y83">
        <v>0</v>
      </c>
      <c r="Z83">
        <v>0</v>
      </c>
      <c r="AA83">
        <v>3.6040452027142032E-2</v>
      </c>
      <c r="AB83">
        <v>0.15974161216033778</v>
      </c>
      <c r="AC83">
        <v>0</v>
      </c>
      <c r="AD83">
        <v>0</v>
      </c>
      <c r="AF83">
        <f t="array" ref="AF83:AL83">TRANSPOSE(_xll.CLFXBinOptRisks($D$3,$G83,$D83,$F83,$E83,$G83,$I83,$J83,Market!$M$4:$M$10,Market!$N$4:$N$10,Market!$M$4:$M$10,Market!$O$4:$O$10,$K83,AF$71,$N$3,$N$4))</f>
        <v>0</v>
      </c>
      <c r="AG83">
        <v>0</v>
      </c>
      <c r="AH83">
        <v>0</v>
      </c>
      <c r="AI83">
        <v>-8.0111491599108402E-3</v>
      </c>
      <c r="AJ83">
        <v>-7.9395601930367279E-2</v>
      </c>
      <c r="AK83">
        <v>0</v>
      </c>
      <c r="AL83">
        <v>0</v>
      </c>
    </row>
    <row r="84" spans="1:38">
      <c r="B84" s="11"/>
      <c r="C84" s="11"/>
      <c r="G84" s="11"/>
      <c r="H84" s="11"/>
      <c r="I84" s="14"/>
      <c r="J84" s="14"/>
    </row>
    <row r="88" spans="1:38">
      <c r="V88" s="20"/>
    </row>
    <row r="89" spans="1:38">
      <c r="V89" s="20"/>
    </row>
    <row r="90" spans="1:38">
      <c r="B90" s="11"/>
      <c r="C90" s="11"/>
      <c r="G90" s="11"/>
      <c r="H90" s="11"/>
      <c r="I90" s="14"/>
      <c r="J90" s="14"/>
    </row>
  </sheetData>
  <phoneticPr fontId="2" type="noConversion"/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5:G48"/>
  <sheetViews>
    <sheetView topLeftCell="A4" workbookViewId="0">
      <selection activeCell="D32" sqref="D32"/>
    </sheetView>
  </sheetViews>
  <sheetFormatPr defaultRowHeight="13.5"/>
  <cols>
    <col min="1" max="1" width="10.375" bestFit="1" customWidth="1"/>
    <col min="3" max="3" width="10" customWidth="1"/>
  </cols>
  <sheetData>
    <row r="5" spans="2:6">
      <c r="B5" t="s">
        <v>51</v>
      </c>
      <c r="C5" s="12">
        <f>DATE(2013,10,9)</f>
        <v>41556</v>
      </c>
    </row>
    <row r="7" spans="2:6">
      <c r="B7" t="s">
        <v>53</v>
      </c>
      <c r="C7" t="s">
        <v>44</v>
      </c>
    </row>
    <row r="8" spans="2:6">
      <c r="B8" t="s">
        <v>14</v>
      </c>
      <c r="C8">
        <f>VLOOKUP($C$7,Market!$A$5:$I$12,4,FALSE)</f>
        <v>17.399999999999999</v>
      </c>
    </row>
    <row r="9" spans="2:6">
      <c r="B9" t="s">
        <v>52</v>
      </c>
      <c r="C9" s="12">
        <f>VLOOKUP($C$7,Market!$A$5:$I$12,3,FALSE)</f>
        <v>41897</v>
      </c>
    </row>
    <row r="12" spans="2:6">
      <c r="B12" t="s">
        <v>54</v>
      </c>
      <c r="C12" t="s">
        <v>56</v>
      </c>
      <c r="D12" t="s">
        <v>55</v>
      </c>
      <c r="E12" t="s">
        <v>60</v>
      </c>
      <c r="F12" t="s">
        <v>67</v>
      </c>
    </row>
    <row r="13" spans="2:6">
      <c r="B13">
        <v>11</v>
      </c>
      <c r="C13" s="13" t="s">
        <v>57</v>
      </c>
      <c r="D13">
        <v>0.05</v>
      </c>
      <c r="E13">
        <f>_xll.CLBlackImpliedVol($C$5,$C$9,$C$8,$B13,0,$C13,$D13)</f>
        <v>0.26357171440124505</v>
      </c>
      <c r="F13">
        <f>_xll.CLSmileVolbyStrike($C$5,$C$9,$C$8,C$24,D$24,E$24,F$24,G$24,$B13)</f>
        <v>0.26701819145083699</v>
      </c>
    </row>
    <row r="14" spans="2:6">
      <c r="B14">
        <f>B13+2</f>
        <v>13</v>
      </c>
      <c r="C14" s="13" t="s">
        <v>58</v>
      </c>
      <c r="D14">
        <v>0.22</v>
      </c>
      <c r="E14">
        <f>_xll.CLBlackImpliedVol($C$5,$C$9,$C$8,$B14,0,$C14,$D14)</f>
        <v>0.2569707894325256</v>
      </c>
      <c r="F14">
        <f>_xll.CLSmileVolbyStrike($C$5,$C$9,$C$8,C$24,D$24,E$24,F$24,G$24,$B14)</f>
        <v>0.26635080280688944</v>
      </c>
    </row>
    <row r="15" spans="2:6">
      <c r="B15">
        <f t="shared" ref="B15:B19" si="0">B14+2</f>
        <v>15</v>
      </c>
      <c r="C15" s="13" t="s">
        <v>58</v>
      </c>
      <c r="D15">
        <v>0.65</v>
      </c>
      <c r="E15">
        <f>_xll.CLBlackImpliedVol($C$5,$C$9,$C$8,$B15,0,$C15,$D15)</f>
        <v>0.25178656005859368</v>
      </c>
      <c r="F15">
        <f>_xll.CLSmileVolbyStrike($C$5,$C$9,$C$8,C$24,D$24,E$24,F$24,G$24,$B15)</f>
        <v>0.2477655696843154</v>
      </c>
    </row>
    <row r="16" spans="2:6">
      <c r="B16">
        <f t="shared" si="0"/>
        <v>17</v>
      </c>
      <c r="C16" s="13" t="s">
        <v>59</v>
      </c>
      <c r="D16">
        <v>1.5</v>
      </c>
      <c r="E16">
        <f>_xll.CLBlackImpliedVol($C$5,$C$9,$C$8,$B16,0,$C16,$D16)</f>
        <v>0.19481815290451052</v>
      </c>
      <c r="F16">
        <f>_xll.CLSmileVolbyStrike($C$5,$C$9,$C$8,C$24,D$24,E$24,F$24,G$24,$B16)</f>
        <v>0.19793532915791678</v>
      </c>
    </row>
    <row r="17" spans="2:7">
      <c r="B17">
        <f t="shared" si="0"/>
        <v>19</v>
      </c>
      <c r="C17" s="13" t="s">
        <v>59</v>
      </c>
      <c r="D17">
        <v>0.8</v>
      </c>
      <c r="E17">
        <f>_xll.CLBlackImpliedVol($C$5,$C$9,$C$8,$B17,0,$C17,$D17)</f>
        <v>0.20894104552268983</v>
      </c>
      <c r="F17">
        <f>_xll.CLSmileVolbyStrike($C$5,$C$9,$C$8,C$24,D$24,E$24,F$24,G$24,$B17)</f>
        <v>0.20134797870693427</v>
      </c>
    </row>
    <row r="18" spans="2:7">
      <c r="B18">
        <f t="shared" si="0"/>
        <v>21</v>
      </c>
      <c r="C18" s="13" t="s">
        <v>59</v>
      </c>
      <c r="D18">
        <v>0.4</v>
      </c>
      <c r="E18">
        <f>_xll.CLBlackImpliedVol($C$5,$C$9,$C$8,$B18,0,$C18,$D18)</f>
        <v>0.21621721124649043</v>
      </c>
      <c r="F18">
        <f>_xll.CLSmileVolbyStrike($C$5,$C$9,$C$8,C$24,D$24,E$24,F$24,G$24,$B18)</f>
        <v>0.22117376675812137</v>
      </c>
    </row>
    <row r="19" spans="2:7">
      <c r="B19">
        <f t="shared" si="0"/>
        <v>23</v>
      </c>
      <c r="C19" s="13" t="s">
        <v>59</v>
      </c>
      <c r="D19">
        <v>0.2</v>
      </c>
      <c r="E19">
        <f>_xll.CLBlackImpliedVol($C$5,$C$9,$C$8,$B19,0,$C19,$D19)</f>
        <v>0.22365462493896485</v>
      </c>
      <c r="F19">
        <f>_xll.CLSmileVolbyStrike($C$5,$C$9,$C$8,C$24,D$24,E$24,F$24,G$24,$B19)</f>
        <v>0.2201570087506349</v>
      </c>
    </row>
    <row r="22" spans="2:7">
      <c r="B22" t="s">
        <v>61</v>
      </c>
    </row>
    <row r="23" spans="2:7">
      <c r="C23" t="s">
        <v>62</v>
      </c>
      <c r="D23" t="s">
        <v>63</v>
      </c>
      <c r="E23" t="s">
        <v>64</v>
      </c>
      <c r="F23" t="s">
        <v>65</v>
      </c>
      <c r="G23" t="s">
        <v>66</v>
      </c>
    </row>
    <row r="24" spans="2:7">
      <c r="C24">
        <f t="array" ref="C24:G24">TRANSPOSE(_xll.CLFitDelta5VolParams(C5,C9,C8,B13:B19,E13:E19))</f>
        <v>0.19298573593484103</v>
      </c>
      <c r="D24">
        <v>6.9659117487534117E-2</v>
      </c>
      <c r="E24">
        <v>3.962564605659033E-2</v>
      </c>
      <c r="F24">
        <v>2.1964198012275504E-2</v>
      </c>
      <c r="G24">
        <v>2.828164500259267E-2</v>
      </c>
    </row>
    <row r="26" spans="2:7">
      <c r="C26" s="9"/>
    </row>
    <row r="32" spans="2:7">
      <c r="B32" t="s">
        <v>125</v>
      </c>
    </row>
    <row r="34" spans="2:5">
      <c r="B34" t="s">
        <v>51</v>
      </c>
      <c r="C34" s="12">
        <f>DATE(2013,10,9)</f>
        <v>41556</v>
      </c>
    </row>
    <row r="36" spans="2:5">
      <c r="B36" t="s">
        <v>23</v>
      </c>
      <c r="C36" t="s">
        <v>29</v>
      </c>
    </row>
    <row r="37" spans="2:5">
      <c r="B37" t="s">
        <v>14</v>
      </c>
      <c r="C37">
        <v>1.2</v>
      </c>
    </row>
    <row r="38" spans="2:5">
      <c r="B38" t="s">
        <v>24</v>
      </c>
      <c r="C38" s="12">
        <f>VLOOKUP($C$7,Market!$A$5:$I$12,3,FALSE)</f>
        <v>41897</v>
      </c>
    </row>
    <row r="41" spans="2:5">
      <c r="B41" t="s">
        <v>54</v>
      </c>
      <c r="C41" t="s">
        <v>56</v>
      </c>
      <c r="D41" t="s">
        <v>55</v>
      </c>
      <c r="E41" t="s">
        <v>60</v>
      </c>
    </row>
    <row r="42" spans="2:5">
      <c r="B42">
        <v>0</v>
      </c>
      <c r="C42" s="13" t="s">
        <v>57</v>
      </c>
      <c r="D42">
        <v>0.01</v>
      </c>
      <c r="E42">
        <f>_xll.CLBachelierImpliedVol($C$34,$C$38,$C$37,$B42,0,$C42,$D42)</f>
        <v>0.69595319479703899</v>
      </c>
    </row>
    <row r="43" spans="2:5">
      <c r="B43">
        <f>B42+0.4</f>
        <v>0.4</v>
      </c>
      <c r="C43" s="13" t="s">
        <v>57</v>
      </c>
      <c r="D43">
        <v>0.04</v>
      </c>
      <c r="E43">
        <f>_xll.CLBachelierImpliedVol($C$34,$C$38,$C$37,$B43,0,$C43,$D43)</f>
        <v>0.7033813493698835</v>
      </c>
    </row>
    <row r="44" spans="2:5">
      <c r="B44">
        <f t="shared" ref="B44:B48" si="1">B43+0.4</f>
        <v>0.8</v>
      </c>
      <c r="C44" s="13" t="s">
        <v>57</v>
      </c>
      <c r="D44">
        <v>0.12</v>
      </c>
      <c r="E44">
        <f>_xll.CLBachelierImpliedVol($C$34,$C$38,$C$37,$B44,0,$C44,$D44)</f>
        <v>0.71303720526397218</v>
      </c>
    </row>
    <row r="45" spans="2:5">
      <c r="B45">
        <f t="shared" si="1"/>
        <v>1.2000000000000002</v>
      </c>
      <c r="C45" s="13" t="s">
        <v>59</v>
      </c>
      <c r="D45">
        <v>0.27500000000000002</v>
      </c>
      <c r="E45">
        <f>_xll.CLBachelierImpliedVol($C$34,$C$38,$C$37,$B45,0,$C45,$D45)</f>
        <v>0.71316758912056688</v>
      </c>
    </row>
    <row r="46" spans="2:5">
      <c r="B46">
        <f t="shared" si="1"/>
        <v>1.6</v>
      </c>
      <c r="C46" s="13" t="s">
        <v>59</v>
      </c>
      <c r="D46">
        <v>0.12</v>
      </c>
      <c r="E46">
        <f>_xll.CLBachelierImpliedVol($C$34,$C$38,$C$37,$B46,0,$C46,$D46)</f>
        <v>0.71303720526397218</v>
      </c>
    </row>
    <row r="47" spans="2:5">
      <c r="B47">
        <f t="shared" si="1"/>
        <v>2</v>
      </c>
      <c r="C47" s="13" t="s">
        <v>59</v>
      </c>
      <c r="D47">
        <v>0.04</v>
      </c>
      <c r="E47">
        <f>_xll.CLBachelierImpliedVol($C$34,$C$38,$C$37,$B47,0,$C47,$D47)</f>
        <v>0.7033813493698835</v>
      </c>
    </row>
    <row r="48" spans="2:5">
      <c r="B48">
        <f t="shared" si="1"/>
        <v>2.4</v>
      </c>
      <c r="C48" s="13" t="s">
        <v>59</v>
      </c>
      <c r="D48">
        <v>0.01</v>
      </c>
      <c r="E48">
        <f>_xll.CLBachelierImpliedVol($C$34,$C$38,$C$37,$B48,0,$C48,$D48)</f>
        <v>0.69595319479703899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>
      <selection activeCell="J13" sqref="J13"/>
    </sheetView>
  </sheetViews>
  <sheetFormatPr defaultRowHeight="13.5"/>
  <cols>
    <col min="1" max="1" width="10.375" bestFit="1" customWidth="1"/>
    <col min="2" max="3" width="10.875" customWidth="1"/>
  </cols>
  <sheetData>
    <row r="1" spans="1:17">
      <c r="B1">
        <v>2</v>
      </c>
      <c r="C1">
        <v>3</v>
      </c>
    </row>
    <row r="2" spans="1:17">
      <c r="M2" t="s">
        <v>168</v>
      </c>
      <c r="N2">
        <v>0</v>
      </c>
    </row>
    <row r="3" spans="1:17">
      <c r="C3" t="s">
        <v>25</v>
      </c>
      <c r="E3" t="s">
        <v>16</v>
      </c>
      <c r="N3" t="s">
        <v>169</v>
      </c>
      <c r="O3" t="s">
        <v>170</v>
      </c>
    </row>
    <row r="4" spans="1:17">
      <c r="A4" t="s">
        <v>22</v>
      </c>
      <c r="B4" t="s">
        <v>23</v>
      </c>
      <c r="C4" t="s">
        <v>24</v>
      </c>
      <c r="D4" t="s">
        <v>15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L4" t="s">
        <v>150</v>
      </c>
      <c r="M4">
        <v>2</v>
      </c>
      <c r="N4">
        <f>(Q$4+N$2)/Q$4*Q4</f>
        <v>2.2000000000000002</v>
      </c>
      <c r="O4">
        <v>0.1</v>
      </c>
      <c r="Q4">
        <v>2.2000000000000002</v>
      </c>
    </row>
    <row r="5" spans="1:17">
      <c r="A5" t="s">
        <v>26</v>
      </c>
      <c r="B5" s="10">
        <f>VLOOKUP($A5,Reference!$A$2:$C$27,B$1,FALSE)</f>
        <v>41699</v>
      </c>
      <c r="C5" s="11">
        <f>VLOOKUP($A5,Reference!$A$2:$C$27,C$1,FALSE)</f>
        <v>41688</v>
      </c>
      <c r="D5">
        <v>18</v>
      </c>
      <c r="E5">
        <v>0.18</v>
      </c>
      <c r="F5">
        <v>0.02</v>
      </c>
      <c r="G5">
        <v>0.01</v>
      </c>
      <c r="H5">
        <v>0.01</v>
      </c>
      <c r="I5">
        <v>0.02</v>
      </c>
      <c r="L5" t="s">
        <v>151</v>
      </c>
      <c r="M5">
        <v>30</v>
      </c>
      <c r="N5">
        <f t="shared" ref="N5:N10" si="0">(Q$4+N$2)/Q$4*Q5</f>
        <v>2.23</v>
      </c>
      <c r="O5">
        <v>0.1</v>
      </c>
      <c r="Q5">
        <v>2.23</v>
      </c>
    </row>
    <row r="6" spans="1:17">
      <c r="A6" t="s">
        <v>27</v>
      </c>
      <c r="B6" s="10">
        <f>VLOOKUP($A6,Reference!$A$2:$C$27,B$1,FALSE)</f>
        <v>41760</v>
      </c>
      <c r="C6" s="11">
        <f>VLOOKUP($A6,Reference!$A$2:$C$27,C$1,FALSE)</f>
        <v>41744</v>
      </c>
      <c r="D6">
        <v>17.5</v>
      </c>
      <c r="E6">
        <v>0.18</v>
      </c>
      <c r="F6">
        <v>0.02</v>
      </c>
      <c r="G6">
        <v>0.01</v>
      </c>
      <c r="H6">
        <v>0.01</v>
      </c>
      <c r="I6">
        <v>0.02</v>
      </c>
      <c r="L6" t="s">
        <v>153</v>
      </c>
      <c r="M6">
        <v>60</v>
      </c>
      <c r="N6">
        <f t="shared" si="0"/>
        <v>2.2599999999999998</v>
      </c>
      <c r="O6">
        <v>0.12</v>
      </c>
      <c r="Q6">
        <v>2.2599999999999998</v>
      </c>
    </row>
    <row r="7" spans="1:17">
      <c r="A7" t="s">
        <v>28</v>
      </c>
      <c r="B7" s="10">
        <f>VLOOKUP($A7,Reference!$A$2:$C$27,B$1,FALSE)</f>
        <v>41821</v>
      </c>
      <c r="C7" s="11">
        <f>VLOOKUP($A7,Reference!$A$2:$C$27,C$1,FALSE)</f>
        <v>41806</v>
      </c>
      <c r="D7">
        <v>17.3</v>
      </c>
      <c r="E7">
        <v>0.18</v>
      </c>
      <c r="F7">
        <v>0.02</v>
      </c>
      <c r="G7">
        <v>0.01</v>
      </c>
      <c r="H7">
        <v>0.01</v>
      </c>
      <c r="I7">
        <v>0.02</v>
      </c>
      <c r="L7" t="s">
        <v>152</v>
      </c>
      <c r="M7">
        <v>90</v>
      </c>
      <c r="N7">
        <f t="shared" si="0"/>
        <v>2.2999999999999998</v>
      </c>
      <c r="O7">
        <v>0.14000000000000001</v>
      </c>
      <c r="Q7">
        <v>2.2999999999999998</v>
      </c>
    </row>
    <row r="8" spans="1:17">
      <c r="A8" t="s">
        <v>29</v>
      </c>
      <c r="B8" s="10">
        <f>VLOOKUP($A8,Reference!$A$2:$C$27,B$1,FALSE)</f>
        <v>41913</v>
      </c>
      <c r="C8" s="11">
        <f>VLOOKUP($A8,Reference!$A$2:$C$27,C$1,FALSE)</f>
        <v>41897</v>
      </c>
      <c r="D8">
        <v>17.399999999999999</v>
      </c>
      <c r="E8">
        <v>0.18</v>
      </c>
      <c r="F8">
        <v>0.02</v>
      </c>
      <c r="G8">
        <v>0.01</v>
      </c>
      <c r="H8">
        <v>0.01</v>
      </c>
      <c r="I8">
        <v>0.02</v>
      </c>
      <c r="L8" t="s">
        <v>154</v>
      </c>
      <c r="M8">
        <v>180</v>
      </c>
      <c r="N8">
        <f t="shared" si="0"/>
        <v>2.4</v>
      </c>
      <c r="O8">
        <v>0.15</v>
      </c>
      <c r="Q8">
        <v>2.4</v>
      </c>
    </row>
    <row r="9" spans="1:17">
      <c r="A9" t="s">
        <v>30</v>
      </c>
      <c r="B9" s="10">
        <f>VLOOKUP($A9,Reference!$A$2:$C$27,B$1,FALSE)</f>
        <v>42064</v>
      </c>
      <c r="C9" s="11">
        <f>VLOOKUP($A9,Reference!$A$2:$C$27,C$1,FALSE)</f>
        <v>42052</v>
      </c>
      <c r="D9">
        <v>17.5</v>
      </c>
      <c r="E9">
        <v>0.18</v>
      </c>
      <c r="F9">
        <v>0.02</v>
      </c>
      <c r="G9">
        <v>0.01</v>
      </c>
      <c r="H9">
        <v>0.01</v>
      </c>
      <c r="I9">
        <v>0.02</v>
      </c>
      <c r="L9" t="s">
        <v>155</v>
      </c>
      <c r="M9">
        <v>365</v>
      </c>
      <c r="N9">
        <f t="shared" si="0"/>
        <v>2.6</v>
      </c>
      <c r="O9">
        <v>0.18</v>
      </c>
      <c r="Q9">
        <v>2.6</v>
      </c>
    </row>
    <row r="10" spans="1:17">
      <c r="A10" t="s">
        <v>31</v>
      </c>
      <c r="B10" s="10">
        <f>VLOOKUP($A10,Reference!$A$2:$C$27,B$1,FALSE)</f>
        <v>42125</v>
      </c>
      <c r="C10" s="11">
        <f>VLOOKUP($A10,Reference!$A$2:$C$27,C$1,FALSE)</f>
        <v>42109</v>
      </c>
      <c r="D10">
        <v>17</v>
      </c>
      <c r="E10">
        <v>0.18</v>
      </c>
      <c r="F10">
        <v>0.02</v>
      </c>
      <c r="G10">
        <v>0.01</v>
      </c>
      <c r="H10">
        <v>0.01</v>
      </c>
      <c r="I10">
        <v>0.02</v>
      </c>
      <c r="L10" t="s">
        <v>156</v>
      </c>
      <c r="M10">
        <v>730</v>
      </c>
      <c r="N10">
        <f t="shared" si="0"/>
        <v>3.1</v>
      </c>
      <c r="O10">
        <v>0.2</v>
      </c>
      <c r="Q10">
        <v>3.1</v>
      </c>
    </row>
    <row r="11" spans="1:17">
      <c r="A11" t="s">
        <v>32</v>
      </c>
      <c r="B11" s="10">
        <f>VLOOKUP($A11,Reference!$A$2:$C$27,B$1,FALSE)</f>
        <v>42186</v>
      </c>
      <c r="C11" s="11">
        <f>VLOOKUP($A11,Reference!$A$2:$C$27,C$1,FALSE)</f>
        <v>42170</v>
      </c>
      <c r="D11">
        <v>16.8</v>
      </c>
      <c r="E11">
        <v>0.18</v>
      </c>
      <c r="F11">
        <v>0.02</v>
      </c>
      <c r="G11">
        <v>0.01</v>
      </c>
      <c r="H11">
        <v>0.01</v>
      </c>
      <c r="I11">
        <v>0.02</v>
      </c>
    </row>
    <row r="12" spans="1:17">
      <c r="A12" t="s">
        <v>33</v>
      </c>
      <c r="B12" s="10">
        <f>VLOOKUP($A12,Reference!$A$2:$C$27,B$1,FALSE)</f>
        <v>42278</v>
      </c>
      <c r="C12" s="11">
        <f>VLOOKUP($A12,Reference!$A$2:$C$27,C$1,FALSE)</f>
        <v>42262</v>
      </c>
      <c r="D12">
        <v>16.5</v>
      </c>
      <c r="E12">
        <v>0.18</v>
      </c>
      <c r="F12">
        <v>0.02</v>
      </c>
      <c r="G12">
        <v>0.01</v>
      </c>
      <c r="H12">
        <v>0.01</v>
      </c>
      <c r="I12">
        <v>0.02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topLeftCell="C31" workbookViewId="0">
      <selection activeCell="E2" sqref="E2:E46"/>
    </sheetView>
  </sheetViews>
  <sheetFormatPr defaultRowHeight="14.25"/>
  <cols>
    <col min="1" max="1" width="13.875" style="2" customWidth="1"/>
    <col min="2" max="2" width="13.625" style="1" customWidth="1"/>
    <col min="3" max="3" width="29.125" customWidth="1"/>
    <col min="5" max="5" width="10.125" style="6" bestFit="1" customWidth="1"/>
    <col min="6" max="6" width="24.25" style="5" bestFit="1" customWidth="1"/>
    <col min="7" max="7" width="11" style="5" bestFit="1" customWidth="1"/>
    <col min="8" max="8" width="9" style="5" customWidth="1"/>
  </cols>
  <sheetData>
    <row r="1" spans="1:11" ht="27.75" customHeight="1" thickBot="1">
      <c r="B1" s="3" t="s">
        <v>0</v>
      </c>
      <c r="C1" s="4" t="s">
        <v>1</v>
      </c>
      <c r="E1" s="7" t="s">
        <v>2</v>
      </c>
      <c r="F1" s="8" t="s">
        <v>3</v>
      </c>
    </row>
    <row r="2" spans="1:11" ht="15.75" thickBot="1">
      <c r="A2" s="2" t="s">
        <v>34</v>
      </c>
      <c r="B2" s="3">
        <v>41030</v>
      </c>
      <c r="C2" s="4">
        <v>41015</v>
      </c>
      <c r="E2" s="7">
        <v>40924</v>
      </c>
      <c r="F2" s="8" t="s">
        <v>5</v>
      </c>
      <c r="I2" s="17" t="s">
        <v>127</v>
      </c>
      <c r="J2" s="18" t="s">
        <v>126</v>
      </c>
      <c r="K2" s="18" t="s">
        <v>139</v>
      </c>
    </row>
    <row r="3" spans="1:11" ht="15.75" thickBot="1">
      <c r="A3" s="2" t="s">
        <v>35</v>
      </c>
      <c r="B3" s="3">
        <v>41091</v>
      </c>
      <c r="C3" s="4">
        <v>41075</v>
      </c>
      <c r="E3" s="7">
        <v>40959</v>
      </c>
      <c r="F3" s="8" t="s">
        <v>6</v>
      </c>
      <c r="I3" s="17">
        <v>1</v>
      </c>
      <c r="J3" s="19" t="s">
        <v>128</v>
      </c>
      <c r="K3" s="19" t="s">
        <v>134</v>
      </c>
    </row>
    <row r="4" spans="1:11" ht="15.75" thickBot="1">
      <c r="A4" s="2" t="s">
        <v>36</v>
      </c>
      <c r="B4" s="3">
        <v>41183</v>
      </c>
      <c r="C4" s="4">
        <v>41169</v>
      </c>
      <c r="E4" s="7">
        <v>41005</v>
      </c>
      <c r="F4" s="8" t="s">
        <v>7</v>
      </c>
      <c r="I4" s="17">
        <v>2</v>
      </c>
      <c r="J4" s="19" t="s">
        <v>130</v>
      </c>
      <c r="K4" s="19" t="s">
        <v>135</v>
      </c>
    </row>
    <row r="5" spans="1:11" ht="15.75" thickBot="1">
      <c r="B5" s="3">
        <v>41214</v>
      </c>
      <c r="C5" s="4">
        <v>41197</v>
      </c>
      <c r="E5" s="7">
        <v>41057</v>
      </c>
      <c r="F5" s="8" t="s">
        <v>8</v>
      </c>
      <c r="I5" s="17">
        <v>3</v>
      </c>
      <c r="J5" s="19" t="s">
        <v>131</v>
      </c>
      <c r="K5" s="19" t="s">
        <v>136</v>
      </c>
    </row>
    <row r="6" spans="1:11" ht="15.75" thickBot="1">
      <c r="B6" s="3">
        <v>41244</v>
      </c>
      <c r="C6" s="4">
        <v>41228</v>
      </c>
      <c r="E6" s="7">
        <v>41094</v>
      </c>
      <c r="F6" s="8" t="s">
        <v>9</v>
      </c>
      <c r="I6" s="17">
        <v>4</v>
      </c>
      <c r="J6" s="19" t="s">
        <v>140</v>
      </c>
      <c r="K6" s="19" t="s">
        <v>141</v>
      </c>
    </row>
    <row r="7" spans="1:11" ht="15.75" thickBot="1">
      <c r="B7" s="3">
        <v>41275</v>
      </c>
      <c r="C7" s="4">
        <v>41260</v>
      </c>
      <c r="E7" s="7">
        <v>41155</v>
      </c>
      <c r="F7" s="8" t="s">
        <v>10</v>
      </c>
      <c r="I7" s="17">
        <v>5</v>
      </c>
      <c r="J7" s="19" t="s">
        <v>133</v>
      </c>
      <c r="K7" s="19" t="s">
        <v>138</v>
      </c>
    </row>
    <row r="8" spans="1:11" ht="15.75" thickBot="1">
      <c r="B8" s="3">
        <v>41306</v>
      </c>
      <c r="C8" s="4">
        <v>41289</v>
      </c>
      <c r="E8" s="7">
        <v>41235</v>
      </c>
      <c r="F8" s="8" t="s">
        <v>12</v>
      </c>
      <c r="I8" s="17">
        <v>6</v>
      </c>
      <c r="J8" s="19" t="s">
        <v>132</v>
      </c>
      <c r="K8" s="19" t="s">
        <v>137</v>
      </c>
    </row>
    <row r="9" spans="1:11" ht="15.75" thickBot="1">
      <c r="A9" s="2" t="s">
        <v>39</v>
      </c>
      <c r="B9" s="3">
        <v>41334</v>
      </c>
      <c r="C9" s="4">
        <v>41320</v>
      </c>
      <c r="E9" s="7">
        <v>41268</v>
      </c>
      <c r="F9" s="8" t="s">
        <v>13</v>
      </c>
      <c r="I9" s="17">
        <v>7</v>
      </c>
      <c r="J9" s="19" t="s">
        <v>143</v>
      </c>
      <c r="K9" s="19" t="s">
        <v>144</v>
      </c>
    </row>
    <row r="10" spans="1:11" ht="15.75" thickBot="1">
      <c r="B10" s="3">
        <v>41365</v>
      </c>
      <c r="C10" s="4">
        <v>41348</v>
      </c>
      <c r="E10" s="7">
        <v>41275</v>
      </c>
      <c r="F10" s="8" t="s">
        <v>4</v>
      </c>
      <c r="I10" s="17">
        <v>8</v>
      </c>
      <c r="J10" s="19" t="s">
        <v>148</v>
      </c>
      <c r="K10" s="19" t="s">
        <v>149</v>
      </c>
    </row>
    <row r="11" spans="1:11" ht="15.75" thickBot="1">
      <c r="A11" s="2" t="s">
        <v>37</v>
      </c>
      <c r="B11" s="3">
        <v>41395</v>
      </c>
      <c r="C11" s="4">
        <v>41379</v>
      </c>
      <c r="E11" s="7">
        <v>41295</v>
      </c>
      <c r="F11" s="8" t="s">
        <v>5</v>
      </c>
      <c r="I11" s="17"/>
      <c r="J11" s="19"/>
      <c r="K11" s="19"/>
    </row>
    <row r="12" spans="1:11">
      <c r="B12" s="3">
        <v>41426</v>
      </c>
      <c r="C12" s="4">
        <v>41409</v>
      </c>
      <c r="E12" s="7">
        <v>41323</v>
      </c>
      <c r="F12" s="8" t="s">
        <v>6</v>
      </c>
    </row>
    <row r="13" spans="1:11">
      <c r="A13" s="2" t="s">
        <v>38</v>
      </c>
      <c r="B13" s="3">
        <v>41456</v>
      </c>
      <c r="C13" s="4">
        <v>41442</v>
      </c>
      <c r="E13" s="7">
        <v>41362</v>
      </c>
      <c r="F13" s="8" t="s">
        <v>7</v>
      </c>
    </row>
    <row r="14" spans="1:11">
      <c r="A14" s="2" t="s">
        <v>40</v>
      </c>
      <c r="B14" s="3">
        <v>41548</v>
      </c>
      <c r="C14" s="4">
        <v>41533</v>
      </c>
      <c r="E14" s="7">
        <v>41421</v>
      </c>
      <c r="F14" s="8" t="s">
        <v>8</v>
      </c>
    </row>
    <row r="15" spans="1:11">
      <c r="B15" s="3">
        <v>41640</v>
      </c>
      <c r="C15" s="4">
        <v>41624</v>
      </c>
      <c r="E15" s="7">
        <v>41459</v>
      </c>
      <c r="F15" s="8" t="s">
        <v>9</v>
      </c>
    </row>
    <row r="16" spans="1:11">
      <c r="A16" s="2" t="s">
        <v>41</v>
      </c>
      <c r="B16" s="3">
        <v>41699</v>
      </c>
      <c r="C16" s="4">
        <v>41688</v>
      </c>
      <c r="E16" s="7">
        <v>41519</v>
      </c>
      <c r="F16" s="8" t="s">
        <v>10</v>
      </c>
    </row>
    <row r="17" spans="1:6">
      <c r="A17" s="2" t="s">
        <v>42</v>
      </c>
      <c r="B17" s="3">
        <v>41760</v>
      </c>
      <c r="C17" s="4">
        <v>41744</v>
      </c>
      <c r="E17" s="7">
        <v>41606</v>
      </c>
      <c r="F17" s="8" t="s">
        <v>12</v>
      </c>
    </row>
    <row r="18" spans="1:6">
      <c r="A18" s="2" t="s">
        <v>43</v>
      </c>
      <c r="B18" s="3">
        <v>41821</v>
      </c>
      <c r="C18" s="4">
        <v>41806</v>
      </c>
      <c r="E18" s="7">
        <v>41633</v>
      </c>
      <c r="F18" s="8" t="s">
        <v>13</v>
      </c>
    </row>
    <row r="19" spans="1:6">
      <c r="A19" s="2" t="s">
        <v>44</v>
      </c>
      <c r="B19" s="3">
        <v>41913</v>
      </c>
      <c r="C19" s="4">
        <v>41897</v>
      </c>
      <c r="E19" s="7">
        <v>41640</v>
      </c>
      <c r="F19" s="8" t="s">
        <v>4</v>
      </c>
    </row>
    <row r="20" spans="1:6">
      <c r="B20" s="3">
        <v>42005</v>
      </c>
      <c r="C20" s="4">
        <v>41988</v>
      </c>
      <c r="E20" s="7">
        <v>41659</v>
      </c>
      <c r="F20" s="8" t="s">
        <v>5</v>
      </c>
    </row>
    <row r="21" spans="1:6">
      <c r="A21" s="2" t="s">
        <v>45</v>
      </c>
      <c r="B21" s="3">
        <v>42064</v>
      </c>
      <c r="C21" s="4">
        <v>42052</v>
      </c>
      <c r="E21" s="7">
        <v>41687</v>
      </c>
      <c r="F21" s="8" t="s">
        <v>6</v>
      </c>
    </row>
    <row r="22" spans="1:6">
      <c r="A22" s="2" t="s">
        <v>46</v>
      </c>
      <c r="B22" s="3">
        <v>42125</v>
      </c>
      <c r="C22" s="4">
        <v>42109</v>
      </c>
      <c r="E22" s="7">
        <v>41747</v>
      </c>
      <c r="F22" s="8" t="s">
        <v>7</v>
      </c>
    </row>
    <row r="23" spans="1:6">
      <c r="A23" s="2" t="s">
        <v>47</v>
      </c>
      <c r="B23" s="3">
        <v>42186</v>
      </c>
      <c r="C23" s="4">
        <v>42170</v>
      </c>
      <c r="E23" s="7">
        <v>41785</v>
      </c>
      <c r="F23" s="8" t="s">
        <v>8</v>
      </c>
    </row>
    <row r="24" spans="1:6">
      <c r="A24" s="2" t="s">
        <v>48</v>
      </c>
      <c r="B24" s="3">
        <v>42278</v>
      </c>
      <c r="C24" s="4">
        <v>42262</v>
      </c>
      <c r="E24" s="7">
        <v>41824</v>
      </c>
      <c r="F24" s="8" t="s">
        <v>9</v>
      </c>
    </row>
    <row r="25" spans="1:6">
      <c r="B25" s="3">
        <v>42370</v>
      </c>
      <c r="C25" s="4">
        <v>42353</v>
      </c>
      <c r="E25" s="7">
        <v>41883</v>
      </c>
      <c r="F25" s="8" t="s">
        <v>10</v>
      </c>
    </row>
    <row r="26" spans="1:6">
      <c r="A26" s="2" t="s">
        <v>49</v>
      </c>
      <c r="B26" s="3">
        <v>42430</v>
      </c>
      <c r="C26" s="4">
        <v>42416</v>
      </c>
      <c r="E26" s="7">
        <v>41970</v>
      </c>
      <c r="F26" s="8" t="s">
        <v>12</v>
      </c>
    </row>
    <row r="27" spans="1:6">
      <c r="A27" s="2" t="s">
        <v>50</v>
      </c>
      <c r="B27" s="3">
        <v>42491</v>
      </c>
      <c r="C27" s="4">
        <v>42475</v>
      </c>
      <c r="E27" s="7">
        <v>41998</v>
      </c>
      <c r="F27" s="8" t="s">
        <v>13</v>
      </c>
    </row>
    <row r="28" spans="1:6">
      <c r="E28" s="7">
        <v>42005</v>
      </c>
      <c r="F28" s="8" t="s">
        <v>4</v>
      </c>
    </row>
    <row r="29" spans="1:6">
      <c r="E29" s="7">
        <v>42023</v>
      </c>
      <c r="F29" s="8" t="s">
        <v>5</v>
      </c>
    </row>
    <row r="30" spans="1:6">
      <c r="E30" s="7">
        <v>42051</v>
      </c>
      <c r="F30" s="8" t="s">
        <v>6</v>
      </c>
    </row>
    <row r="31" spans="1:6">
      <c r="E31" s="7">
        <v>42097</v>
      </c>
      <c r="F31" s="8" t="s">
        <v>7</v>
      </c>
    </row>
    <row r="32" spans="1:6">
      <c r="E32" s="7">
        <v>42149</v>
      </c>
      <c r="F32" s="8" t="s">
        <v>8</v>
      </c>
    </row>
    <row r="33" spans="5:6">
      <c r="E33" s="7">
        <v>42188</v>
      </c>
      <c r="F33" s="8" t="s">
        <v>9</v>
      </c>
    </row>
    <row r="34" spans="5:6">
      <c r="E34" s="7">
        <v>42254</v>
      </c>
      <c r="F34" s="8" t="s">
        <v>10</v>
      </c>
    </row>
    <row r="35" spans="5:6">
      <c r="E35" s="7">
        <v>42289</v>
      </c>
      <c r="F35" s="8" t="s">
        <v>11</v>
      </c>
    </row>
    <row r="36" spans="5:6">
      <c r="E36" s="7">
        <v>42334</v>
      </c>
      <c r="F36" s="8" t="s">
        <v>12</v>
      </c>
    </row>
    <row r="37" spans="5:6">
      <c r="E37" s="7">
        <v>42363</v>
      </c>
      <c r="F37" s="8" t="s">
        <v>13</v>
      </c>
    </row>
    <row r="38" spans="5:6">
      <c r="E38" s="7">
        <v>42370</v>
      </c>
      <c r="F38" s="8" t="s">
        <v>4</v>
      </c>
    </row>
    <row r="39" spans="5:6">
      <c r="E39" s="7">
        <v>42387</v>
      </c>
      <c r="F39" s="8" t="s">
        <v>5</v>
      </c>
    </row>
    <row r="40" spans="5:6">
      <c r="E40" s="7">
        <v>42415</v>
      </c>
      <c r="F40" s="8" t="s">
        <v>6</v>
      </c>
    </row>
    <row r="41" spans="5:6">
      <c r="E41" s="7">
        <v>42454</v>
      </c>
      <c r="F41" s="8" t="s">
        <v>7</v>
      </c>
    </row>
    <row r="42" spans="5:6">
      <c r="E42" s="7">
        <v>42520</v>
      </c>
      <c r="F42" s="8" t="s">
        <v>8</v>
      </c>
    </row>
    <row r="43" spans="5:6">
      <c r="E43" s="7">
        <v>42555</v>
      </c>
      <c r="F43" s="8" t="s">
        <v>9</v>
      </c>
    </row>
    <row r="44" spans="5:6">
      <c r="E44" s="7">
        <v>42618</v>
      </c>
      <c r="F44" s="8" t="s">
        <v>10</v>
      </c>
    </row>
    <row r="45" spans="5:6">
      <c r="E45" s="7">
        <v>42698</v>
      </c>
      <c r="F45" s="8" t="s">
        <v>12</v>
      </c>
    </row>
    <row r="46" spans="5:6">
      <c r="E46" s="7">
        <v>42730</v>
      </c>
      <c r="F46" s="8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D2:J29"/>
  <sheetViews>
    <sheetView workbookViewId="0">
      <selection activeCell="G3" sqref="G3"/>
    </sheetView>
  </sheetViews>
  <sheetFormatPr defaultRowHeight="13.5"/>
  <cols>
    <col min="5" max="5" width="5.75" customWidth="1"/>
  </cols>
  <sheetData>
    <row r="2" spans="4:10">
      <c r="F2" t="s">
        <v>101</v>
      </c>
      <c r="G2">
        <v>0.1</v>
      </c>
      <c r="I2" t="s">
        <v>124</v>
      </c>
      <c r="J2" s="16">
        <v>0.3</v>
      </c>
    </row>
    <row r="3" spans="4:10">
      <c r="F3" t="s">
        <v>102</v>
      </c>
      <c r="G3">
        <v>0.5</v>
      </c>
    </row>
    <row r="4" spans="4:10">
      <c r="D4" t="s">
        <v>121</v>
      </c>
      <c r="E4" t="s">
        <v>122</v>
      </c>
      <c r="H4" t="s">
        <v>123</v>
      </c>
    </row>
    <row r="5" spans="4:10">
      <c r="D5">
        <v>0</v>
      </c>
      <c r="E5">
        <f>D5/360</f>
        <v>0</v>
      </c>
      <c r="F5">
        <v>1</v>
      </c>
      <c r="G5">
        <f>$G$2*EXP(-$G$3*E5)</f>
        <v>0.1</v>
      </c>
      <c r="H5" s="16">
        <f>$J$2/(1+$G$2)*(F5+G5)</f>
        <v>0.3</v>
      </c>
    </row>
    <row r="6" spans="4:10">
      <c r="D6">
        <v>30</v>
      </c>
      <c r="E6">
        <f t="shared" ref="E6:E29" si="0">D6/360</f>
        <v>8.3333333333333329E-2</v>
      </c>
      <c r="F6">
        <v>1</v>
      </c>
      <c r="G6">
        <f t="shared" ref="G6:G17" si="1">$G$2*EXP(-$G$3*E6)</f>
        <v>9.5918945710913819E-2</v>
      </c>
      <c r="H6" s="16">
        <f t="shared" ref="H6:H17" si="2">$J$2/(1+$G$2)*(F6+G6)</f>
        <v>0.29888698519388557</v>
      </c>
    </row>
    <row r="7" spans="4:10">
      <c r="D7">
        <v>60</v>
      </c>
      <c r="E7">
        <f t="shared" si="0"/>
        <v>0.16666666666666666</v>
      </c>
      <c r="F7">
        <v>1</v>
      </c>
      <c r="G7">
        <f t="shared" si="1"/>
        <v>9.2004441462932338E-2</v>
      </c>
      <c r="H7" s="16">
        <f t="shared" si="2"/>
        <v>0.29781939312625427</v>
      </c>
    </row>
    <row r="8" spans="4:10">
      <c r="D8">
        <v>90</v>
      </c>
      <c r="E8">
        <f t="shared" si="0"/>
        <v>0.25</v>
      </c>
      <c r="F8">
        <v>1</v>
      </c>
      <c r="G8">
        <f t="shared" si="1"/>
        <v>8.8249690258459551E-2</v>
      </c>
      <c r="H8" s="16">
        <f t="shared" si="2"/>
        <v>0.29679537007048895</v>
      </c>
    </row>
    <row r="9" spans="4:10">
      <c r="D9">
        <v>120</v>
      </c>
      <c r="E9">
        <f t="shared" si="0"/>
        <v>0.33333333333333331</v>
      </c>
      <c r="F9">
        <v>1</v>
      </c>
      <c r="G9">
        <f t="shared" si="1"/>
        <v>8.4648172489061424E-2</v>
      </c>
      <c r="H9" s="16">
        <f t="shared" si="2"/>
        <v>0.29581313795156217</v>
      </c>
    </row>
    <row r="10" spans="4:10">
      <c r="D10">
        <v>150</v>
      </c>
      <c r="E10">
        <f t="shared" si="0"/>
        <v>0.41666666666666669</v>
      </c>
      <c r="F10">
        <v>1</v>
      </c>
      <c r="G10">
        <f t="shared" si="1"/>
        <v>8.1193634615063501E-2</v>
      </c>
      <c r="H10" s="16">
        <f t="shared" si="2"/>
        <v>0.29487099125865363</v>
      </c>
    </row>
    <row r="11" spans="4:10">
      <c r="D11">
        <v>180</v>
      </c>
      <c r="E11">
        <f t="shared" si="0"/>
        <v>0.5</v>
      </c>
      <c r="F11">
        <v>1</v>
      </c>
      <c r="G11">
        <f t="shared" si="1"/>
        <v>7.7880078307140499E-2</v>
      </c>
      <c r="H11" s="16">
        <f t="shared" si="2"/>
        <v>0.2939672940837656</v>
      </c>
    </row>
    <row r="12" spans="4:10">
      <c r="D12">
        <v>210</v>
      </c>
      <c r="E12">
        <f t="shared" si="0"/>
        <v>0.58333333333333337</v>
      </c>
      <c r="F12">
        <v>1</v>
      </c>
      <c r="G12">
        <f t="shared" si="1"/>
        <v>7.4701750031043263E-2</v>
      </c>
      <c r="H12" s="16">
        <f t="shared" si="2"/>
        <v>0.29310047728119359</v>
      </c>
    </row>
    <row r="13" spans="4:10">
      <c r="D13">
        <v>240</v>
      </c>
      <c r="E13">
        <f t="shared" si="0"/>
        <v>0.66666666666666663</v>
      </c>
      <c r="F13">
        <v>1</v>
      </c>
      <c r="G13">
        <f t="shared" si="1"/>
        <v>7.165313105737893E-2</v>
      </c>
      <c r="H13" s="16">
        <f t="shared" si="2"/>
        <v>0.29226903574292151</v>
      </c>
    </row>
    <row r="14" spans="4:10">
      <c r="D14">
        <v>270</v>
      </c>
      <c r="E14">
        <f t="shared" si="0"/>
        <v>0.75</v>
      </c>
      <c r="F14">
        <v>1</v>
      </c>
      <c r="G14">
        <f t="shared" si="1"/>
        <v>6.8728927879097221E-2</v>
      </c>
      <c r="H14" s="16">
        <f t="shared" si="2"/>
        <v>0.2914715257852083</v>
      </c>
    </row>
    <row r="15" spans="4:10">
      <c r="D15">
        <v>300</v>
      </c>
      <c r="E15">
        <f t="shared" si="0"/>
        <v>0.83333333333333337</v>
      </c>
      <c r="F15">
        <v>1</v>
      </c>
      <c r="G15">
        <f t="shared" si="1"/>
        <v>6.5924063020044374E-2</v>
      </c>
      <c r="H15" s="16">
        <f t="shared" si="2"/>
        <v>0.29070656264183026</v>
      </c>
    </row>
    <row r="16" spans="4:10">
      <c r="D16">
        <v>330</v>
      </c>
      <c r="E16">
        <f t="shared" si="0"/>
        <v>0.91666666666666663</v>
      </c>
      <c r="F16">
        <v>1</v>
      </c>
      <c r="G16">
        <f t="shared" si="1"/>
        <v>6.3233666218624973E-2</v>
      </c>
      <c r="H16" s="16">
        <f t="shared" si="2"/>
        <v>0.28997281805962499</v>
      </c>
    </row>
    <row r="17" spans="4:8">
      <c r="D17">
        <v>360</v>
      </c>
      <c r="E17">
        <f t="shared" si="0"/>
        <v>1</v>
      </c>
      <c r="F17">
        <v>1</v>
      </c>
      <c r="G17">
        <f t="shared" si="1"/>
        <v>6.0653065971263347E-2</v>
      </c>
      <c r="H17" s="16">
        <f t="shared" si="2"/>
        <v>0.2892690179921627</v>
      </c>
    </row>
    <row r="18" spans="4:8">
      <c r="D18">
        <v>390</v>
      </c>
      <c r="E18">
        <f t="shared" si="0"/>
        <v>1.0833333333333333</v>
      </c>
      <c r="F18">
        <v>1</v>
      </c>
      <c r="G18">
        <f t="shared" ref="G18:G29" si="3">$G$2*EXP(-$G$3*E18)</f>
        <v>5.8177781420980838E-2</v>
      </c>
      <c r="H18" s="16">
        <f t="shared" ref="H18:H29" si="4">$J$2/(1+$G$2)*(F18+G18)</f>
        <v>0.28859394038754016</v>
      </c>
    </row>
    <row r="19" spans="4:8">
      <c r="D19">
        <v>420</v>
      </c>
      <c r="E19">
        <f t="shared" si="0"/>
        <v>1.1666666666666667</v>
      </c>
      <c r="F19">
        <v>1</v>
      </c>
      <c r="G19">
        <f t="shared" si="3"/>
        <v>5.5803514577004713E-2</v>
      </c>
      <c r="H19" s="16">
        <f t="shared" si="4"/>
        <v>0.2879464130664558</v>
      </c>
    </row>
    <row r="20" spans="4:8">
      <c r="D20">
        <v>450</v>
      </c>
      <c r="E20">
        <f t="shared" si="0"/>
        <v>1.25</v>
      </c>
      <c r="F20">
        <v>1</v>
      </c>
      <c r="G20">
        <f t="shared" si="3"/>
        <v>5.3526142851899029E-2</v>
      </c>
      <c r="H20" s="16">
        <f t="shared" si="4"/>
        <v>0.28732531168688152</v>
      </c>
    </row>
    <row r="21" spans="4:8">
      <c r="D21">
        <v>480</v>
      </c>
      <c r="E21">
        <f t="shared" si="0"/>
        <v>1.3333333333333333</v>
      </c>
      <c r="F21">
        <v>1</v>
      </c>
      <c r="G21">
        <f t="shared" si="3"/>
        <v>5.1341711903259202E-2</v>
      </c>
      <c r="H21" s="16">
        <f t="shared" si="4"/>
        <v>0.28672955779179798</v>
      </c>
    </row>
    <row r="22" spans="4:8">
      <c r="D22">
        <v>510</v>
      </c>
      <c r="E22">
        <f t="shared" si="0"/>
        <v>1.4166666666666667</v>
      </c>
      <c r="F22">
        <v>1</v>
      </c>
      <c r="G22">
        <f t="shared" si="3"/>
        <v>4.9246428767540977E-2</v>
      </c>
      <c r="H22" s="16">
        <f t="shared" si="4"/>
        <v>0.28615811693660204</v>
      </c>
    </row>
    <row r="23" spans="4:8">
      <c r="D23">
        <v>540</v>
      </c>
      <c r="E23">
        <f t="shared" si="0"/>
        <v>1.5</v>
      </c>
      <c r="F23">
        <v>1</v>
      </c>
      <c r="G23">
        <f t="shared" si="3"/>
        <v>4.7236655274101473E-2</v>
      </c>
      <c r="H23" s="16">
        <f t="shared" si="4"/>
        <v>0.28560999689293676</v>
      </c>
    </row>
    <row r="24" spans="4:8">
      <c r="D24">
        <v>570</v>
      </c>
      <c r="E24">
        <f t="shared" si="0"/>
        <v>1.5833333333333333</v>
      </c>
      <c r="F24">
        <v>1</v>
      </c>
      <c r="G24">
        <f t="shared" si="3"/>
        <v>4.5308901728016902E-2</v>
      </c>
      <c r="H24" s="16">
        <f t="shared" si="4"/>
        <v>0.28508424592582277</v>
      </c>
    </row>
    <row r="25" spans="4:8">
      <c r="D25">
        <v>600</v>
      </c>
      <c r="E25">
        <f t="shared" si="0"/>
        <v>1.6666666666666667</v>
      </c>
      <c r="F25">
        <v>1</v>
      </c>
      <c r="G25">
        <f t="shared" si="3"/>
        <v>4.345982085070782E-2</v>
      </c>
      <c r="H25" s="16">
        <f t="shared" si="4"/>
        <v>0.28457995114110207</v>
      </c>
    </row>
    <row r="26" spans="4:8">
      <c r="D26">
        <v>630</v>
      </c>
      <c r="E26">
        <f t="shared" si="0"/>
        <v>1.75</v>
      </c>
      <c r="F26">
        <v>1</v>
      </c>
      <c r="G26">
        <f t="shared" si="3"/>
        <v>4.168620196785084E-2</v>
      </c>
      <c r="H26" s="16">
        <f t="shared" si="4"/>
        <v>0.28409623690032293</v>
      </c>
    </row>
    <row r="27" spans="4:8">
      <c r="D27">
        <v>660</v>
      </c>
      <c r="E27">
        <f t="shared" si="0"/>
        <v>1.8333333333333333</v>
      </c>
      <c r="F27">
        <v>1</v>
      </c>
      <c r="G27">
        <f t="shared" si="3"/>
        <v>3.9984965434484737E-2</v>
      </c>
      <c r="H27" s="16">
        <f t="shared" si="4"/>
        <v>0.28363226330031405</v>
      </c>
    </row>
    <row r="28" spans="4:8">
      <c r="D28">
        <v>690</v>
      </c>
      <c r="E28">
        <f t="shared" si="0"/>
        <v>1.9166666666666667</v>
      </c>
      <c r="F28">
        <v>1</v>
      </c>
      <c r="G28">
        <f t="shared" si="3"/>
        <v>3.8353157287631071E-2</v>
      </c>
      <c r="H28" s="16">
        <f t="shared" si="4"/>
        <v>0.28318722471480845</v>
      </c>
    </row>
    <row r="29" spans="4:8">
      <c r="D29">
        <v>720</v>
      </c>
      <c r="E29">
        <f t="shared" si="0"/>
        <v>2</v>
      </c>
      <c r="F29">
        <v>1</v>
      </c>
      <c r="G29">
        <f t="shared" si="3"/>
        <v>3.6787944117144235E-2</v>
      </c>
      <c r="H29" s="16">
        <f t="shared" si="4"/>
        <v>0.28276034839558473</v>
      </c>
    </row>
  </sheetData>
  <phoneticPr fontId="2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Pricing</vt:lpstr>
      <vt:lpstr>VolMarking</vt:lpstr>
      <vt:lpstr>Market</vt:lpstr>
      <vt:lpstr>Reference</vt:lpstr>
      <vt:lpstr>Samuelson demo</vt:lpstr>
      <vt:lpstr>FormulaString</vt:lpstr>
      <vt:lpstr>SB_Holidays</vt:lpstr>
      <vt:lpstr>SB_OptExpiry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Schneider</dc:creator>
  <cp:lastModifiedBy>Harvey</cp:lastModifiedBy>
  <dcterms:created xsi:type="dcterms:W3CDTF">2013-10-08T13:33:38Z</dcterms:created>
  <dcterms:modified xsi:type="dcterms:W3CDTF">2015-04-23T13:45:57Z</dcterms:modified>
</cp:coreProperties>
</file>