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BLK/"/>
    </mc:Choice>
  </mc:AlternateContent>
  <xr:revisionPtr revIDLastSave="18" documentId="8_{92A95CA1-C236-48B1-B4EB-605AE41DAD6E}" xr6:coauthVersionLast="47" xr6:coauthVersionMax="47" xr10:uidLastSave="{013CA8D3-030F-42D1-ACF9-ABD201F73717}"/>
  <bookViews>
    <workbookView xWindow="-90" yWindow="-16320" windowWidth="29040" windowHeight="15720" tabRatio="720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9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6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J8" i="10"/>
  <c r="K5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4" i="9"/>
</calcChain>
</file>

<file path=xl/sharedStrings.xml><?xml version="1.0" encoding="utf-8"?>
<sst xmlns="http://schemas.openxmlformats.org/spreadsheetml/2006/main" count="211" uniqueCount="96">
  <si>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</si>
  <si>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</si>
  <si>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</si>
  <si>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</si>
  <si>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</si>
  <si>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</si>
  <si>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</si>
  <si>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</si>
  <si>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</si>
  <si>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</si>
  <si>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</si>
  <si>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</si>
  <si>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</si>
  <si>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</si>
  <si>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</si>
  <si>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</si>
  <si>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</si>
  <si>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</si>
  <si>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</si>
  <si>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</si>
  <si>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</si>
  <si>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</si>
  <si>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</si>
  <si>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</si>
  <si>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</si>
  <si>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</si>
  <si>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</si>
  <si>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</si>
  <si>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</si>
  <si>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</si>
  <si>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</si>
  <si>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</si>
  <si>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</si>
  <si>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</si>
  <si>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</si>
  <si>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</si>
  <si>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</si>
  <si>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</si>
  <si>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</si>
  <si>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</si>
  <si>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</si>
  <si>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</si>
  <si>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</si>
  <si>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</si>
  <si>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</si>
  <si>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</si>
  <si>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</si>
  <si>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</si>
  <si>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</si>
  <si>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</si>
  <si>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</si>
  <si>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</si>
  <si>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</si>
  <si>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</si>
  <si>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</si>
  <si>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</si>
  <si>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</si>
  <si>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</si>
  <si>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</si>
  <si>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</si>
  <si>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</si>
  <si>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</si>
  <si>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</si>
  <si>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</si>
  <si>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</si>
  <si>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</si>
  <si>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</si>
  <si>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</si>
  <si>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</si>
  <si>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</si>
  <si>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</si>
  <si>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</si>
  <si>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</si>
  <si>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</si>
  <si>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</si>
  <si>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</si>
  <si>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</si>
  <si>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</si>
  <si>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</si>
  <si>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</si>
  <si>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</si>
  <si>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</si>
  <si>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</si>
  <si>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</si>
  <si>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</si>
  <si>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</si>
  <si>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</si>
  <si>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</si>
  <si>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</si>
  <si>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</si>
  <si>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</si>
  <si>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</si>
  <si>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</si>
  <si>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</si>
  <si>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 -2022] [Div = 19.52][Pivot 2.75% - 3.0%][Growth 10 - 15%]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</si>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</sst>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27" totalsRowShown="0">
  <autoFilter ref="B3:J27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27" totalsRowShown="0">
  <autoFilter ref="M3:X27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26" totalsRowShown="0">
  <autoFilter ref="B2:S26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27" totalsRowShown="0">
  <autoFilter ref="B2:L27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12"/>
    <tableColumn id="4" xr3:uid="{79A83570-1D08-4443-87B5-EFEA379F44BA}" name="Dividend" dataCellStyle="Currency"/>
    <tableColumn id="5" xr3:uid="{B08B3DDE-5371-43E8-88E6-73F4DB97A997}" name="DivGro" dataDxfId="11"/>
    <tableColumn id="6" xr3:uid="{D664DDA8-9C6C-4B70-A797-ED5F663E1A6C}" name="DivPerShare" dataCellStyle="Currency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26" totalsRowShown="0">
  <autoFilter ref="B2:F26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26" totalsRowShown="0">
  <autoFilter ref="I2:R26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27"/>
  <sheetViews>
    <sheetView tabSelected="1" workbookViewId="0">
      <selection activeCell="G35" sqref="G35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1999</v>
      </c>
      <c r="C4" s="4">
        <v>12.81</v>
      </c>
      <c r="D4" s="10">
        <v>19.190000000000001</v>
      </c>
      <c r="E4" s="1">
        <v>16.1834375</v>
      </c>
      <c r="F4" s="1">
        <v>16.97</v>
      </c>
      <c r="G4" s="11">
        <v>0</v>
      </c>
      <c r="H4" s="8">
        <v>0</v>
      </c>
      <c r="I4" s="2">
        <v>0</v>
      </c>
      <c r="J4" s="2">
        <v>0</v>
      </c>
      <c r="M4" t="s">
        <v>70</v>
      </c>
      <c r="N4" s="7">
        <v>0</v>
      </c>
      <c r="O4" s="12">
        <v>0</v>
      </c>
      <c r="P4" s="5">
        <v>6.3239999999999998</v>
      </c>
      <c r="Q4" s="15">
        <v>0</v>
      </c>
      <c r="R4" s="13">
        <v>0</v>
      </c>
      <c r="S4" s="5">
        <v>0.84399999999999997</v>
      </c>
      <c r="T4" s="15">
        <v>0</v>
      </c>
      <c r="U4" s="13">
        <v>0</v>
      </c>
      <c r="V4" s="5">
        <v>0.66</v>
      </c>
      <c r="W4" s="15">
        <v>0</v>
      </c>
      <c r="X4" s="13">
        <v>0</v>
      </c>
    </row>
    <row r="5" spans="2:24" x14ac:dyDescent="0.25">
      <c r="B5">
        <v>2000</v>
      </c>
      <c r="C5" s="4">
        <v>15.75</v>
      </c>
      <c r="D5" s="10">
        <v>47.5</v>
      </c>
      <c r="E5" s="1">
        <v>30.4070634920635</v>
      </c>
      <c r="F5" s="1">
        <v>30.939999999999898</v>
      </c>
      <c r="G5" s="11">
        <v>0</v>
      </c>
      <c r="H5" s="8">
        <v>0</v>
      </c>
      <c r="I5" s="2">
        <v>0</v>
      </c>
      <c r="J5" s="2">
        <v>0</v>
      </c>
      <c r="M5" t="s">
        <v>71</v>
      </c>
      <c r="N5" s="7">
        <v>0</v>
      </c>
      <c r="O5" s="12">
        <v>19.190000000000001</v>
      </c>
      <c r="P5" s="5">
        <v>6.6520000000000001</v>
      </c>
      <c r="Q5" s="15">
        <v>0</v>
      </c>
      <c r="R5" s="13">
        <v>2.8848466626578402</v>
      </c>
      <c r="S5" s="5">
        <v>1.7010000000000001</v>
      </c>
      <c r="T5" s="15">
        <v>0</v>
      </c>
      <c r="U5" s="13">
        <v>11.2815990593768</v>
      </c>
      <c r="V5" s="5">
        <v>1.04</v>
      </c>
      <c r="W5" s="15">
        <v>0</v>
      </c>
      <c r="X5" s="13">
        <v>18.451923076922998</v>
      </c>
    </row>
    <row r="6" spans="2:24" x14ac:dyDescent="0.25">
      <c r="B6">
        <v>2001</v>
      </c>
      <c r="C6" s="4">
        <v>31.82</v>
      </c>
      <c r="D6" s="10">
        <v>44.22</v>
      </c>
      <c r="E6" s="1">
        <v>38.642862903225698</v>
      </c>
      <c r="F6" s="1">
        <v>39.450000000000003</v>
      </c>
      <c r="G6" s="11">
        <v>0</v>
      </c>
      <c r="H6" s="8">
        <v>0</v>
      </c>
      <c r="I6" s="2">
        <v>0</v>
      </c>
      <c r="J6" s="2">
        <v>0</v>
      </c>
      <c r="M6" t="s">
        <v>72</v>
      </c>
      <c r="N6" s="7">
        <v>15.75</v>
      </c>
      <c r="O6" s="12">
        <v>47.5</v>
      </c>
      <c r="P6" s="5">
        <v>7.383</v>
      </c>
      <c r="Q6" s="15">
        <v>2.13327915481511</v>
      </c>
      <c r="R6" s="13">
        <v>6.4336990383312997</v>
      </c>
      <c r="S6" s="5">
        <v>1.1739999999999999</v>
      </c>
      <c r="T6" s="15">
        <v>13.415672913117501</v>
      </c>
      <c r="U6" s="13">
        <v>40.459965928449698</v>
      </c>
      <c r="V6" s="5">
        <v>1.35</v>
      </c>
      <c r="W6" s="15">
        <v>11.6666666666666</v>
      </c>
      <c r="X6" s="13">
        <v>35.185185185185098</v>
      </c>
    </row>
    <row r="7" spans="2:24" x14ac:dyDescent="0.25">
      <c r="B7">
        <v>2002</v>
      </c>
      <c r="C7" s="4">
        <v>34.299999999999997</v>
      </c>
      <c r="D7" s="10">
        <v>47.35</v>
      </c>
      <c r="E7" s="1">
        <v>42.1618253968254</v>
      </c>
      <c r="F7" s="1">
        <v>42.9</v>
      </c>
      <c r="G7" s="11">
        <v>0</v>
      </c>
      <c r="H7" s="8">
        <v>0</v>
      </c>
      <c r="I7" s="2">
        <v>0</v>
      </c>
      <c r="J7" s="2">
        <v>0</v>
      </c>
      <c r="M7" t="s">
        <v>73</v>
      </c>
      <c r="N7" s="7">
        <v>31.82</v>
      </c>
      <c r="O7" s="12">
        <v>44.22</v>
      </c>
      <c r="P7" s="5">
        <v>8.2119999999999997</v>
      </c>
      <c r="Q7" s="15">
        <v>3.87481734047735</v>
      </c>
      <c r="R7" s="13">
        <v>5.3848027277155301</v>
      </c>
      <c r="S7" s="5">
        <v>1.954</v>
      </c>
      <c r="T7" s="15">
        <v>16.284544524053199</v>
      </c>
      <c r="U7" s="13">
        <v>22.630501535312099</v>
      </c>
      <c r="V7" s="5">
        <v>1.65</v>
      </c>
      <c r="W7" s="15">
        <v>19.2848484848484</v>
      </c>
      <c r="X7" s="13">
        <v>26.8</v>
      </c>
    </row>
    <row r="8" spans="2:24" x14ac:dyDescent="0.25">
      <c r="B8">
        <v>2003</v>
      </c>
      <c r="C8" s="4">
        <v>39.950000000000003</v>
      </c>
      <c r="D8" s="10">
        <v>53.53</v>
      </c>
      <c r="E8" s="1">
        <v>46.351349206349198</v>
      </c>
      <c r="F8" s="1">
        <v>45.564999999999998</v>
      </c>
      <c r="G8" s="11">
        <v>0</v>
      </c>
      <c r="H8" s="8">
        <v>1.7364879531148202E-2</v>
      </c>
      <c r="I8" s="2">
        <v>5.2147043265012398E-3</v>
      </c>
      <c r="J8" s="2">
        <v>0</v>
      </c>
      <c r="M8" t="s">
        <v>74</v>
      </c>
      <c r="N8" s="7">
        <v>34.299999999999997</v>
      </c>
      <c r="O8" s="12">
        <v>47.35</v>
      </c>
      <c r="P8" s="5">
        <v>8.8350000000000009</v>
      </c>
      <c r="Q8" s="15">
        <v>3.8822863610639402</v>
      </c>
      <c r="R8" s="13">
        <v>5.3593661573288003</v>
      </c>
      <c r="S8" s="5">
        <v>1.9790000000000001</v>
      </c>
      <c r="T8" s="15">
        <v>17.331985851440098</v>
      </c>
      <c r="U8" s="13">
        <v>23.9262253663466</v>
      </c>
      <c r="V8" s="5">
        <v>2.04</v>
      </c>
      <c r="W8" s="15">
        <v>16.813725490195999</v>
      </c>
      <c r="X8" s="13">
        <v>23.210784313725402</v>
      </c>
    </row>
    <row r="9" spans="2:24" x14ac:dyDescent="0.25">
      <c r="B9">
        <v>2004</v>
      </c>
      <c r="C9" s="4">
        <v>53.99</v>
      </c>
      <c r="D9" s="10">
        <v>77.510000000000005</v>
      </c>
      <c r="E9" s="1">
        <v>65.914761904761804</v>
      </c>
      <c r="F9" s="1">
        <v>63.365000000000002</v>
      </c>
      <c r="G9" s="11">
        <v>1.29015610888917E-2</v>
      </c>
      <c r="H9" s="8">
        <v>1.72562553925798E-2</v>
      </c>
      <c r="I9" s="2">
        <v>1.47371972928506E-2</v>
      </c>
      <c r="J9" s="2">
        <v>1.42579641779989E-2</v>
      </c>
      <c r="M9" t="s">
        <v>75</v>
      </c>
      <c r="N9" s="7">
        <v>39.950000000000003</v>
      </c>
      <c r="O9" s="12">
        <v>53.53</v>
      </c>
      <c r="P9" s="5">
        <v>9.0830000000000002</v>
      </c>
      <c r="Q9" s="15">
        <v>4.3983265440933597</v>
      </c>
      <c r="R9" s="13">
        <v>5.8934272817351099</v>
      </c>
      <c r="S9" s="5">
        <v>2.5230000000000001</v>
      </c>
      <c r="T9" s="15">
        <v>15.834324217201701</v>
      </c>
      <c r="U9" s="13">
        <v>21.216805390408201</v>
      </c>
      <c r="V9" s="5">
        <v>2.36</v>
      </c>
      <c r="W9" s="15">
        <v>16.927966101694899</v>
      </c>
      <c r="X9" s="13">
        <v>22.682203389830502</v>
      </c>
    </row>
    <row r="10" spans="2:24" x14ac:dyDescent="0.25">
      <c r="B10">
        <v>2005</v>
      </c>
      <c r="C10" s="4">
        <v>70</v>
      </c>
      <c r="D10" s="10">
        <v>113.45</v>
      </c>
      <c r="E10" s="1">
        <v>84.857103174603097</v>
      </c>
      <c r="F10" s="1">
        <v>81.5</v>
      </c>
      <c r="G10" s="11">
        <v>1.0577346848832001E-2</v>
      </c>
      <c r="H10" s="8">
        <v>1.7142857142857099E-2</v>
      </c>
      <c r="I10" s="2">
        <v>1.39261904112118E-2</v>
      </c>
      <c r="J10" s="2">
        <v>1.42171672793199E-2</v>
      </c>
      <c r="M10" t="s">
        <v>76</v>
      </c>
      <c r="N10" s="7">
        <v>53.99</v>
      </c>
      <c r="O10" s="12">
        <v>77.510000000000005</v>
      </c>
      <c r="P10" s="5">
        <v>10.996</v>
      </c>
      <c r="Q10" s="15">
        <v>4.9099672608221097</v>
      </c>
      <c r="R10" s="13">
        <v>7.0489268825027196</v>
      </c>
      <c r="S10" s="5">
        <v>3.12</v>
      </c>
      <c r="T10" s="15">
        <v>17.304487179487101</v>
      </c>
      <c r="U10" s="13">
        <v>24.842948717948701</v>
      </c>
      <c r="V10" s="5">
        <v>2.17</v>
      </c>
      <c r="W10" s="15">
        <v>24.880184331797199</v>
      </c>
      <c r="X10" s="13">
        <v>35.718894009216498</v>
      </c>
    </row>
    <row r="11" spans="2:24" x14ac:dyDescent="0.25">
      <c r="B11">
        <v>2006</v>
      </c>
      <c r="C11" s="4">
        <v>108</v>
      </c>
      <c r="D11" s="10">
        <v>157.03</v>
      </c>
      <c r="E11" s="1">
        <v>138.38764940239</v>
      </c>
      <c r="F11" s="1">
        <v>139.88999999999999</v>
      </c>
      <c r="G11" s="11">
        <v>7.9338842975206596E-3</v>
      </c>
      <c r="H11" s="8">
        <v>1.3713166272141E-2</v>
      </c>
      <c r="I11" s="2">
        <v>1.1596620951556001E-2</v>
      </c>
      <c r="J11" s="2">
        <v>1.16303219106957E-2</v>
      </c>
      <c r="M11" t="s">
        <v>77</v>
      </c>
      <c r="N11" s="7">
        <v>70</v>
      </c>
      <c r="O11" s="12">
        <v>113.45</v>
      </c>
      <c r="P11" s="5">
        <v>17.815000000000001</v>
      </c>
      <c r="Q11" s="15">
        <v>3.92927308447937</v>
      </c>
      <c r="R11" s="13">
        <v>6.36822902048835</v>
      </c>
      <c r="S11" s="5">
        <v>2.9870000000000001</v>
      </c>
      <c r="T11" s="15">
        <v>23.434884499497802</v>
      </c>
      <c r="U11" s="13">
        <v>37.981252092400403</v>
      </c>
      <c r="V11" s="5">
        <v>3.5</v>
      </c>
      <c r="W11" s="15">
        <v>20</v>
      </c>
      <c r="X11" s="13">
        <v>32.414285714285697</v>
      </c>
    </row>
    <row r="12" spans="2:24" x14ac:dyDescent="0.25">
      <c r="B12">
        <v>2007</v>
      </c>
      <c r="C12" s="4">
        <v>144.82</v>
      </c>
      <c r="D12" s="10">
        <v>222.03</v>
      </c>
      <c r="E12" s="1">
        <v>169.36633466135399</v>
      </c>
      <c r="F12" s="1">
        <v>163.44999999999999</v>
      </c>
      <c r="G12" s="11">
        <v>9.5373261424921904E-3</v>
      </c>
      <c r="H12" s="8">
        <v>1.8505731252589398E-2</v>
      </c>
      <c r="I12" s="2">
        <v>1.5026221090680201E-2</v>
      </c>
      <c r="J12" s="2">
        <v>1.61689291101055E-2</v>
      </c>
      <c r="M12" t="s">
        <v>78</v>
      </c>
      <c r="N12" s="7">
        <v>108</v>
      </c>
      <c r="O12" s="12">
        <v>157.03</v>
      </c>
      <c r="P12" s="5">
        <v>25.169</v>
      </c>
      <c r="Q12" s="15">
        <v>4.2909928880766</v>
      </c>
      <c r="R12" s="13">
        <v>6.2390241964321103</v>
      </c>
      <c r="S12" s="5">
        <v>7.6420000000000003</v>
      </c>
      <c r="T12" s="15">
        <v>14.1324260664747</v>
      </c>
      <c r="U12" s="13">
        <v>20.548285789060401</v>
      </c>
      <c r="V12" s="5">
        <v>3.87</v>
      </c>
      <c r="W12" s="15">
        <v>27.906976744186</v>
      </c>
      <c r="X12" s="13">
        <v>40.576227390180797</v>
      </c>
    </row>
    <row r="13" spans="2:24" x14ac:dyDescent="0.25">
      <c r="B13">
        <v>2008</v>
      </c>
      <c r="C13" s="4">
        <v>98.88</v>
      </c>
      <c r="D13" s="10">
        <v>230.75</v>
      </c>
      <c r="E13" s="1">
        <v>186.554110671936</v>
      </c>
      <c r="F13" s="1">
        <v>202.36</v>
      </c>
      <c r="G13" s="11">
        <v>1.1868910540301101E-2</v>
      </c>
      <c r="H13" s="8">
        <v>3.1553398058252399E-2</v>
      </c>
      <c r="I13" s="2">
        <v>1.7193150510664001E-2</v>
      </c>
      <c r="J13" s="2">
        <v>1.51382823871906E-2</v>
      </c>
      <c r="M13" t="s">
        <v>79</v>
      </c>
      <c r="N13" s="7">
        <v>144.82</v>
      </c>
      <c r="O13" s="12">
        <v>222.03</v>
      </c>
      <c r="P13" s="5">
        <v>36.878</v>
      </c>
      <c r="Q13" s="15">
        <v>3.9270025489451701</v>
      </c>
      <c r="R13" s="13">
        <v>6.0206627257443399</v>
      </c>
      <c r="S13" s="5">
        <v>3.6230000000000002</v>
      </c>
      <c r="T13" s="15">
        <v>39.972398564725303</v>
      </c>
      <c r="U13" s="13">
        <v>61.283466740270399</v>
      </c>
      <c r="V13" s="5">
        <v>7.37</v>
      </c>
      <c r="W13" s="15">
        <v>19.649932157394801</v>
      </c>
      <c r="X13" s="13">
        <v>30.126187245590199</v>
      </c>
    </row>
    <row r="14" spans="2:24" x14ac:dyDescent="0.25">
      <c r="B14">
        <v>2009</v>
      </c>
      <c r="C14" s="4">
        <v>90.57</v>
      </c>
      <c r="D14" s="10">
        <v>240.8</v>
      </c>
      <c r="E14" s="1">
        <v>172.75341269841201</v>
      </c>
      <c r="F14" s="1">
        <v>175.36</v>
      </c>
      <c r="G14" s="11">
        <v>1.29568106312292E-2</v>
      </c>
      <c r="H14" s="8">
        <v>3.4448492878436501E-2</v>
      </c>
      <c r="I14" s="2">
        <v>1.9486782834511902E-2</v>
      </c>
      <c r="J14" s="2">
        <v>1.77919728858058E-2</v>
      </c>
      <c r="M14" t="s">
        <v>80</v>
      </c>
      <c r="N14" s="7">
        <v>98.88</v>
      </c>
      <c r="O14" s="12">
        <v>230.75</v>
      </c>
      <c r="P14" s="5">
        <v>38.545999999999999</v>
      </c>
      <c r="Q14" s="15">
        <v>2.5652467182068102</v>
      </c>
      <c r="R14" s="13">
        <v>5.9863539666891503</v>
      </c>
      <c r="S14" s="5">
        <v>13.548999999999999</v>
      </c>
      <c r="T14" s="15">
        <v>7.2979555686766497</v>
      </c>
      <c r="U14" s="13">
        <v>17.0307771791276</v>
      </c>
      <c r="V14" s="5">
        <v>5.78</v>
      </c>
      <c r="W14" s="15">
        <v>17.107266435986102</v>
      </c>
      <c r="X14" s="13">
        <v>39.922145328719701</v>
      </c>
    </row>
    <row r="15" spans="2:24" x14ac:dyDescent="0.25">
      <c r="B15">
        <v>2010</v>
      </c>
      <c r="C15" s="4">
        <v>139.44</v>
      </c>
      <c r="D15" s="10">
        <v>242.81</v>
      </c>
      <c r="E15" s="1">
        <v>181.05936507936499</v>
      </c>
      <c r="F15" s="1">
        <v>171.37</v>
      </c>
      <c r="G15" s="11">
        <v>1.28495531485523E-2</v>
      </c>
      <c r="H15" s="8">
        <v>2.8686173264486501E-2</v>
      </c>
      <c r="I15" s="2">
        <v>2.1934834435569799E-2</v>
      </c>
      <c r="J15" s="2">
        <v>2.3341308598247401E-2</v>
      </c>
      <c r="M15" t="s">
        <v>81</v>
      </c>
      <c r="N15" s="7">
        <v>90.57</v>
      </c>
      <c r="O15" s="12">
        <v>240.8</v>
      </c>
      <c r="P15" s="5">
        <v>33.695999999999998</v>
      </c>
      <c r="Q15" s="15">
        <v>2.6878561253561202</v>
      </c>
      <c r="R15" s="13">
        <v>7.1462488129154798</v>
      </c>
      <c r="S15" s="5">
        <v>9.5500000000000007</v>
      </c>
      <c r="T15" s="15">
        <v>9.4837696335078494</v>
      </c>
      <c r="U15" s="13">
        <v>25.214659685863801</v>
      </c>
      <c r="V15" s="5">
        <v>6.11</v>
      </c>
      <c r="W15" s="15">
        <v>14.823240589198001</v>
      </c>
      <c r="X15" s="13">
        <v>39.4108019639934</v>
      </c>
    </row>
    <row r="16" spans="2:24" x14ac:dyDescent="0.25">
      <c r="B16">
        <v>2011</v>
      </c>
      <c r="C16" s="4">
        <v>141.77000000000001</v>
      </c>
      <c r="D16" s="10">
        <v>207.06</v>
      </c>
      <c r="E16" s="1">
        <v>179.26321428571401</v>
      </c>
      <c r="F16" s="1">
        <v>185.76</v>
      </c>
      <c r="G16" s="11">
        <v>1.9354526539894501E-2</v>
      </c>
      <c r="H16" s="8">
        <v>3.8795231713338499E-2</v>
      </c>
      <c r="I16" s="2">
        <v>2.97823245310345E-2</v>
      </c>
      <c r="J16" s="2">
        <v>2.96080995574955E-2</v>
      </c>
      <c r="M16" t="s">
        <v>82</v>
      </c>
      <c r="N16" s="7">
        <v>139.44</v>
      </c>
      <c r="O16" s="12">
        <v>242.81</v>
      </c>
      <c r="P16" s="5">
        <v>44.692999999999998</v>
      </c>
      <c r="Q16" s="15">
        <v>3.1199516702839301</v>
      </c>
      <c r="R16" s="13">
        <v>5.4328418320542298</v>
      </c>
      <c r="S16" s="5">
        <v>12.231999999999999</v>
      </c>
      <c r="T16" s="15">
        <v>11.399607586657901</v>
      </c>
      <c r="U16" s="13">
        <v>19.850392413342</v>
      </c>
      <c r="V16" s="5">
        <v>10.55</v>
      </c>
      <c r="W16" s="15">
        <v>13.217061611374399</v>
      </c>
      <c r="X16" s="13">
        <v>23.0151658767772</v>
      </c>
    </row>
    <row r="17" spans="2:24" x14ac:dyDescent="0.25">
      <c r="B17">
        <v>2012</v>
      </c>
      <c r="C17" s="4">
        <v>163.37</v>
      </c>
      <c r="D17" s="10">
        <v>209.29</v>
      </c>
      <c r="E17" s="1">
        <v>185.49287999999899</v>
      </c>
      <c r="F17" s="1">
        <v>186.58499999999901</v>
      </c>
      <c r="G17" s="11">
        <v>2.7638190954773802E-2</v>
      </c>
      <c r="H17" s="8">
        <v>3.67264491644732E-2</v>
      </c>
      <c r="I17" s="2">
        <v>3.2022231449506999E-2</v>
      </c>
      <c r="J17" s="2">
        <v>3.1821798289623199E-2</v>
      </c>
      <c r="M17" t="s">
        <v>83</v>
      </c>
      <c r="N17" s="7">
        <v>141.77000000000001</v>
      </c>
      <c r="O17" s="12">
        <v>207.06</v>
      </c>
      <c r="P17" s="5">
        <v>48.530999999999999</v>
      </c>
      <c r="Q17" s="15">
        <v>2.9212256083740198</v>
      </c>
      <c r="R17" s="13">
        <v>4.2665512765036704</v>
      </c>
      <c r="S17" s="5">
        <v>13.782999999999999</v>
      </c>
      <c r="T17" s="15">
        <v>10.2858593920046</v>
      </c>
      <c r="U17" s="13">
        <v>15.0228542407313</v>
      </c>
      <c r="V17" s="5">
        <v>12.37</v>
      </c>
      <c r="W17" s="15">
        <v>11.460792239288599</v>
      </c>
      <c r="X17" s="13">
        <v>16.738884397736399</v>
      </c>
    </row>
    <row r="18" spans="2:24" x14ac:dyDescent="0.25">
      <c r="B18">
        <v>2013</v>
      </c>
      <c r="C18" s="4">
        <v>212.77</v>
      </c>
      <c r="D18" s="10">
        <v>316.47000000000003</v>
      </c>
      <c r="E18" s="1">
        <v>269.72329365079298</v>
      </c>
      <c r="F18" s="1">
        <v>269.73500000000001</v>
      </c>
      <c r="G18" s="11">
        <v>2.1234240212342399E-2</v>
      </c>
      <c r="H18" s="8">
        <v>2.8199464210179999E-2</v>
      </c>
      <c r="I18" s="2">
        <v>2.4604679974950999E-2</v>
      </c>
      <c r="J18" s="2">
        <v>2.4880595357103099E-2</v>
      </c>
      <c r="M18" t="s">
        <v>84</v>
      </c>
      <c r="N18" s="7">
        <v>163.37</v>
      </c>
      <c r="O18" s="12">
        <v>209.29</v>
      </c>
      <c r="P18" s="5">
        <v>52.45</v>
      </c>
      <c r="Q18" s="15">
        <v>3.1147759771210599</v>
      </c>
      <c r="R18" s="13">
        <v>3.9902764537654898</v>
      </c>
      <c r="S18" s="5">
        <v>11.74</v>
      </c>
      <c r="T18" s="15">
        <v>13.915672913117501</v>
      </c>
      <c r="U18" s="13">
        <v>17.827086882453099</v>
      </c>
      <c r="V18" s="5">
        <v>13.79</v>
      </c>
      <c r="W18" s="15">
        <v>11.8469905728788</v>
      </c>
      <c r="X18" s="13">
        <v>15.176939811457499</v>
      </c>
    </row>
    <row r="19" spans="2:24" x14ac:dyDescent="0.25">
      <c r="B19">
        <v>2014</v>
      </c>
      <c r="C19" s="4">
        <v>286.39</v>
      </c>
      <c r="D19" s="10">
        <v>364.4</v>
      </c>
      <c r="E19" s="1">
        <v>319.12246031746002</v>
      </c>
      <c r="F19" s="1">
        <v>315.159999999999</v>
      </c>
      <c r="G19" s="11">
        <v>2.0747784741733302E-2</v>
      </c>
      <c r="H19" s="8">
        <v>2.6284430220285301E-2</v>
      </c>
      <c r="I19" s="2">
        <v>2.3723984890861301E-2</v>
      </c>
      <c r="J19" s="2">
        <v>2.3915038871539802E-2</v>
      </c>
      <c r="M19" t="s">
        <v>85</v>
      </c>
      <c r="N19" s="7">
        <v>212.77</v>
      </c>
      <c r="O19" s="12">
        <v>316.47000000000003</v>
      </c>
      <c r="P19" s="5">
        <v>58.563000000000002</v>
      </c>
      <c r="Q19" s="15">
        <v>3.63318136024452</v>
      </c>
      <c r="R19" s="13">
        <v>5.4039239793043299</v>
      </c>
      <c r="S19" s="5">
        <v>20.411000000000001</v>
      </c>
      <c r="T19" s="15">
        <v>10.4242810249375</v>
      </c>
      <c r="U19" s="13">
        <v>15.5048748223996</v>
      </c>
      <c r="V19" s="5">
        <v>16.87</v>
      </c>
      <c r="W19" s="15">
        <v>12.612329579134499</v>
      </c>
      <c r="X19" s="13">
        <v>18.759336099584999</v>
      </c>
    </row>
    <row r="20" spans="2:24" x14ac:dyDescent="0.25">
      <c r="B20">
        <v>2015</v>
      </c>
      <c r="C20" s="4">
        <v>293.52</v>
      </c>
      <c r="D20" s="10">
        <v>380.33</v>
      </c>
      <c r="E20" s="1">
        <v>347.15920634920599</v>
      </c>
      <c r="F20" s="1">
        <v>352.164999999999</v>
      </c>
      <c r="G20" s="11">
        <v>2.0298162122367399E-2</v>
      </c>
      <c r="H20" s="8">
        <v>2.9708367402562001E-2</v>
      </c>
      <c r="I20" s="2">
        <v>2.47779228851242E-2</v>
      </c>
      <c r="J20" s="2">
        <v>2.44535138070913E-2</v>
      </c>
      <c r="M20" t="s">
        <v>86</v>
      </c>
      <c r="N20" s="7">
        <v>286.39</v>
      </c>
      <c r="O20" s="12">
        <v>364.4</v>
      </c>
      <c r="P20" s="5">
        <v>64.759</v>
      </c>
      <c r="Q20" s="15">
        <v>4.4223968869191896</v>
      </c>
      <c r="R20" s="13">
        <v>5.6270170941490703</v>
      </c>
      <c r="S20" s="5">
        <v>17.655000000000001</v>
      </c>
      <c r="T20" s="15">
        <v>16.221467006513699</v>
      </c>
      <c r="U20" s="13">
        <v>20.640045312942501</v>
      </c>
      <c r="V20" s="5">
        <v>19.25</v>
      </c>
      <c r="W20" s="15">
        <v>14.877402597402501</v>
      </c>
      <c r="X20" s="13">
        <v>18.9298701298701</v>
      </c>
    </row>
    <row r="21" spans="2:24" x14ac:dyDescent="0.25">
      <c r="B21">
        <v>2016</v>
      </c>
      <c r="C21" s="4">
        <v>289.72000000000003</v>
      </c>
      <c r="D21" s="10">
        <v>398.45</v>
      </c>
      <c r="E21" s="1">
        <v>350.08829365079299</v>
      </c>
      <c r="F21" s="1">
        <v>356.17999999999898</v>
      </c>
      <c r="G21" s="11">
        <v>2.29890826954448E-2</v>
      </c>
      <c r="H21" s="8">
        <v>3.0098025679966799E-2</v>
      </c>
      <c r="I21" s="2">
        <v>2.6061653523120398E-2</v>
      </c>
      <c r="J21" s="2">
        <v>2.5717338493380201E-2</v>
      </c>
      <c r="M21" t="s">
        <v>87</v>
      </c>
      <c r="N21" s="7">
        <v>293.52</v>
      </c>
      <c r="O21" s="12">
        <v>380.33</v>
      </c>
      <c r="P21" s="5">
        <v>67.445999999999998</v>
      </c>
      <c r="Q21" s="15">
        <v>4.3519259852326302</v>
      </c>
      <c r="R21" s="13">
        <v>5.6390297423123599</v>
      </c>
      <c r="S21" s="5">
        <v>16.463999999999999</v>
      </c>
      <c r="T21" s="15">
        <v>17.827988338192402</v>
      </c>
      <c r="U21" s="13">
        <v>23.1007045675413</v>
      </c>
      <c r="V21" s="5">
        <v>19.79</v>
      </c>
      <c r="W21" s="15">
        <v>14.8317331985851</v>
      </c>
      <c r="X21" s="13">
        <v>19.2182920667003</v>
      </c>
    </row>
    <row r="22" spans="2:24" x14ac:dyDescent="0.25">
      <c r="B22">
        <v>2017</v>
      </c>
      <c r="C22" s="4">
        <v>371.64</v>
      </c>
      <c r="D22" s="10">
        <v>518.86</v>
      </c>
      <c r="E22" s="1">
        <v>423.32859437751</v>
      </c>
      <c r="F22" s="1">
        <v>419.31</v>
      </c>
      <c r="G22" s="11">
        <v>1.92730216243302E-2</v>
      </c>
      <c r="H22" s="8">
        <v>2.6708688336315799E-2</v>
      </c>
      <c r="I22" s="2">
        <v>2.34867978769439E-2</v>
      </c>
      <c r="J22" s="2">
        <v>2.3657999952684E-2</v>
      </c>
      <c r="M22" t="s">
        <v>88</v>
      </c>
      <c r="N22" s="7">
        <v>289.72000000000003</v>
      </c>
      <c r="O22" s="12">
        <v>398.45</v>
      </c>
      <c r="P22" s="5">
        <v>73.603999999999999</v>
      </c>
      <c r="Q22" s="15">
        <v>3.9361991196130601</v>
      </c>
      <c r="R22" s="13">
        <v>5.4134286180098901</v>
      </c>
      <c r="S22" s="5">
        <v>12.930999999999999</v>
      </c>
      <c r="T22" s="15">
        <v>22.4050730801948</v>
      </c>
      <c r="U22" s="13">
        <v>30.813548836130199</v>
      </c>
      <c r="V22" s="5">
        <v>19.02</v>
      </c>
      <c r="W22" s="15">
        <v>15.2323869610935</v>
      </c>
      <c r="X22" s="13">
        <v>20.9490010515247</v>
      </c>
    </row>
    <row r="23" spans="2:24" x14ac:dyDescent="0.25">
      <c r="B23">
        <v>2018</v>
      </c>
      <c r="C23" s="4">
        <v>361.77</v>
      </c>
      <c r="D23" s="10">
        <v>593.26</v>
      </c>
      <c r="E23" s="1">
        <v>492.98709163346598</v>
      </c>
      <c r="F23" s="1">
        <v>508.51</v>
      </c>
      <c r="G23" s="11">
        <v>1.6856015912079001E-2</v>
      </c>
      <c r="H23" s="8">
        <v>3.4607623628272098E-2</v>
      </c>
      <c r="I23" s="2">
        <v>2.3991161625077501E-2</v>
      </c>
      <c r="J23" s="2">
        <v>2.26544217419519E-2</v>
      </c>
      <c r="M23" t="s">
        <v>89</v>
      </c>
      <c r="N23" s="7">
        <v>371.64</v>
      </c>
      <c r="O23" s="12">
        <v>518.86</v>
      </c>
      <c r="P23" s="5">
        <v>82.718000000000004</v>
      </c>
      <c r="Q23" s="15">
        <v>4.4928552431151596</v>
      </c>
      <c r="R23" s="13">
        <v>6.2726371527357996</v>
      </c>
      <c r="S23" s="5">
        <v>23.082000000000001</v>
      </c>
      <c r="T23" s="15">
        <v>16.1008578112815</v>
      </c>
      <c r="U23" s="13">
        <v>22.478987955983001</v>
      </c>
      <c r="V23" s="5">
        <v>30.12</v>
      </c>
      <c r="W23" s="15">
        <v>12.3386454183266</v>
      </c>
      <c r="X23" s="13">
        <v>17.2264276228419</v>
      </c>
    </row>
    <row r="24" spans="2:24" x14ac:dyDescent="0.25">
      <c r="B24">
        <v>2019</v>
      </c>
      <c r="C24" s="4">
        <v>377.98</v>
      </c>
      <c r="D24" s="10">
        <v>503.24</v>
      </c>
      <c r="E24" s="1">
        <v>448.22869047619002</v>
      </c>
      <c r="F24" s="1">
        <v>443.495</v>
      </c>
      <c r="G24" s="11">
        <v>2.6230029409426901E-2</v>
      </c>
      <c r="H24" s="8">
        <v>3.3123445684956801E-2</v>
      </c>
      <c r="I24" s="2">
        <v>2.9299350071886901E-2</v>
      </c>
      <c r="J24" s="2">
        <v>2.95884515525697E-2</v>
      </c>
      <c r="M24" t="s">
        <v>90</v>
      </c>
      <c r="N24" s="7">
        <v>361.77</v>
      </c>
      <c r="O24" s="12">
        <v>593.26</v>
      </c>
      <c r="P24" s="5">
        <v>87.67</v>
      </c>
      <c r="Q24" s="15">
        <v>4.1264970913653398</v>
      </c>
      <c r="R24" s="13">
        <v>6.7669670354739297</v>
      </c>
      <c r="S24" s="5">
        <v>17.728000000000002</v>
      </c>
      <c r="T24" s="15">
        <v>20.406701263537901</v>
      </c>
      <c r="U24" s="13">
        <v>33.464575812274298</v>
      </c>
      <c r="V24" s="5">
        <v>26.58</v>
      </c>
      <c r="W24" s="15">
        <v>13.610609480812601</v>
      </c>
      <c r="X24" s="13">
        <v>22.319789315274601</v>
      </c>
    </row>
    <row r="25" spans="2:24" x14ac:dyDescent="0.25">
      <c r="B25">
        <v>2020</v>
      </c>
      <c r="C25" s="4">
        <v>327.42</v>
      </c>
      <c r="D25" s="10">
        <v>721.54</v>
      </c>
      <c r="E25" s="1">
        <v>558.56462450592801</v>
      </c>
      <c r="F25" s="1">
        <v>555.23</v>
      </c>
      <c r="G25" s="11">
        <v>2.0123624469883802E-2</v>
      </c>
      <c r="H25" s="8">
        <v>4.4346710646875502E-2</v>
      </c>
      <c r="I25" s="2">
        <v>2.6161705709990098E-2</v>
      </c>
      <c r="J25" s="2">
        <v>2.5468322458429799E-2</v>
      </c>
      <c r="M25" t="s">
        <v>91</v>
      </c>
      <c r="N25" s="7">
        <v>377.98</v>
      </c>
      <c r="O25" s="12">
        <v>503.24</v>
      </c>
      <c r="P25" s="5">
        <v>92.334999999999994</v>
      </c>
      <c r="Q25" s="15">
        <v>4.0935723181892003</v>
      </c>
      <c r="R25" s="13">
        <v>5.4501543293442296</v>
      </c>
      <c r="S25" s="5">
        <v>16.702999999999999</v>
      </c>
      <c r="T25" s="15">
        <v>22.629467760282498</v>
      </c>
      <c r="U25" s="13">
        <v>30.128719391726001</v>
      </c>
      <c r="V25" s="5">
        <v>28.43</v>
      </c>
      <c r="W25" s="15">
        <v>13.295110798452299</v>
      </c>
      <c r="X25" s="13">
        <v>17.701020049243699</v>
      </c>
    </row>
    <row r="26" spans="2:24" x14ac:dyDescent="0.25">
      <c r="B26">
        <v>2021</v>
      </c>
      <c r="C26" s="4">
        <v>683.21</v>
      </c>
      <c r="D26" s="10">
        <v>971.49</v>
      </c>
      <c r="E26" s="1">
        <v>846.55301158301199</v>
      </c>
      <c r="F26" s="1">
        <v>871.49</v>
      </c>
      <c r="G26" s="11">
        <v>1.7004807048966002E-2</v>
      </c>
      <c r="H26" s="8">
        <v>2.4179973946517101E-2</v>
      </c>
      <c r="I26" s="2">
        <v>1.9246803019935799E-2</v>
      </c>
      <c r="J26" s="2">
        <v>1.8917619036713001E-2</v>
      </c>
      <c r="M26" t="s">
        <v>92</v>
      </c>
      <c r="N26" s="7">
        <v>327.42</v>
      </c>
      <c r="O26" s="12">
        <v>721.54</v>
      </c>
      <c r="P26" s="5">
        <v>104.65600000000001</v>
      </c>
      <c r="Q26" s="15">
        <v>3.1285353921418699</v>
      </c>
      <c r="R26" s="13">
        <v>6.8943968812108203</v>
      </c>
      <c r="S26" s="5">
        <v>22.92</v>
      </c>
      <c r="T26" s="15">
        <v>14.2853403141361</v>
      </c>
      <c r="U26" s="13">
        <v>31.4808027923211</v>
      </c>
      <c r="V26" s="5">
        <v>31.85</v>
      </c>
      <c r="W26" s="15">
        <v>10.280062794348501</v>
      </c>
      <c r="X26" s="13">
        <v>22.6543171114599</v>
      </c>
    </row>
    <row r="27" spans="2:24" x14ac:dyDescent="0.25">
      <c r="B27">
        <v>2022</v>
      </c>
      <c r="C27" s="4">
        <v>662.87</v>
      </c>
      <c r="D27" s="10">
        <v>917.22</v>
      </c>
      <c r="E27" s="1">
        <v>768.14185185185102</v>
      </c>
      <c r="F27" s="1">
        <v>756.02</v>
      </c>
      <c r="G27" s="11">
        <v>1.80109461197967E-2</v>
      </c>
      <c r="H27" s="8">
        <v>2.9447704678141999E-2</v>
      </c>
      <c r="I27" s="2">
        <v>2.3552827741113599E-2</v>
      </c>
      <c r="J27" s="2">
        <v>2.2393623510593499E-2</v>
      </c>
      <c r="M27" t="s">
        <v>93</v>
      </c>
      <c r="N27" s="7">
        <v>683.21</v>
      </c>
      <c r="O27" s="12">
        <v>971.49</v>
      </c>
      <c r="P27" s="5">
        <v>125.476</v>
      </c>
      <c r="Q27" s="15">
        <v>5.4449456469763096</v>
      </c>
      <c r="R27" s="13">
        <v>7.7424368006630697</v>
      </c>
      <c r="S27" s="5">
        <v>29.811</v>
      </c>
      <c r="T27" s="15">
        <v>22.918050384086399</v>
      </c>
      <c r="U27" s="13">
        <v>32.588306329878201</v>
      </c>
      <c r="V27" s="5">
        <v>38.22</v>
      </c>
      <c r="W27" s="15">
        <v>17.875719518576599</v>
      </c>
      <c r="X27" s="13">
        <v>25.418367346938702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26"/>
  <sheetViews>
    <sheetView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70</v>
      </c>
      <c r="C3" s="5">
        <v>339.48200000000003</v>
      </c>
      <c r="D3" s="5">
        <v>0</v>
      </c>
      <c r="E3" s="5">
        <v>339.48200000000003</v>
      </c>
      <c r="F3" s="16">
        <f>Table4[[#This Row],[GrossProfit]]/Table4[[#This Row],[Revenue]]</f>
        <v>1</v>
      </c>
      <c r="G3" s="5">
        <v>83.662000000000006</v>
      </c>
      <c r="H3" s="5">
        <v>255.82</v>
      </c>
      <c r="I3" s="17">
        <f>Table4[[#This Row],[OperatingProfit]]/Table4[[#This Row],[Revenue]]</f>
        <v>0.24644016472154637</v>
      </c>
      <c r="J3" s="5">
        <v>35.615000000000002</v>
      </c>
      <c r="K3" s="17">
        <f>Table4[[#This Row],[NetProfit]]/Table4[[#This Row],[Revenue]]</f>
        <v>0.10490983321648865</v>
      </c>
      <c r="L3" s="5">
        <v>53.734999999999999</v>
      </c>
      <c r="M3" s="17">
        <f>Table4[[#This Row],[CashFromOps]]/Table4[[#This Row],[Revenue]]</f>
        <v>0.15828526991121766</v>
      </c>
      <c r="N3" s="5">
        <v>-8.4139999999999997</v>
      </c>
      <c r="O3" s="17">
        <f>ABS(Table4[[#This Row],[CAPEX]])/Table4[[#This Row],[Revenue]]</f>
        <v>2.4784819224583334E-2</v>
      </c>
      <c r="P3" s="5">
        <v>45.320999999999998</v>
      </c>
      <c r="Q3" s="17">
        <f>Table4[[#This Row],[FCF]]/Table4[[#This Row],[Revenue]]</f>
        <v>0.13350045068663433</v>
      </c>
      <c r="R3" s="5">
        <v>-12.3</v>
      </c>
      <c r="S3" s="17">
        <f>ABS(Table4[[#This Row],[Dividends]])/Table4[[#This Row],[Revenue]]</f>
        <v>3.6231670604037917E-2</v>
      </c>
    </row>
    <row r="4" spans="2:19" x14ac:dyDescent="0.25">
      <c r="B4" t="s">
        <v>71</v>
      </c>
      <c r="C4" s="5">
        <v>380.98099999999999</v>
      </c>
      <c r="D4" s="5">
        <v>0</v>
      </c>
      <c r="E4" s="5">
        <v>380.98099999999999</v>
      </c>
      <c r="F4" s="16">
        <f>Table4[[#This Row],[GrossProfit]]/Table4[[#This Row],[Revenue]]</f>
        <v>1</v>
      </c>
      <c r="G4" s="5">
        <v>110.943</v>
      </c>
      <c r="H4" s="5">
        <v>270.03800000000001</v>
      </c>
      <c r="I4" s="17">
        <f>Table4[[#This Row],[OperatingProfit]]/Table4[[#This Row],[Revenue]]</f>
        <v>0.29120349833718739</v>
      </c>
      <c r="J4" s="5">
        <v>59.417000000000002</v>
      </c>
      <c r="K4" s="17">
        <f>Table4[[#This Row],[NetProfit]]/Table4[[#This Row],[Revenue]]</f>
        <v>0.15595790866211176</v>
      </c>
      <c r="L4" s="5">
        <v>116.32599999999999</v>
      </c>
      <c r="M4" s="17">
        <f>Table4[[#This Row],[CashFromOps]]/Table4[[#This Row],[Revenue]]</f>
        <v>0.30533281187250805</v>
      </c>
      <c r="N4" s="5">
        <v>-18.925000000000001</v>
      </c>
      <c r="O4" s="17">
        <f>ABS(Table4[[#This Row],[CAPEX]])/Table4[[#This Row],[Revenue]]</f>
        <v>4.9674393211210012E-2</v>
      </c>
      <c r="P4" s="5">
        <v>97.400999999999996</v>
      </c>
      <c r="Q4" s="17">
        <f>Table4[[#This Row],[FCF]]/Table4[[#This Row],[Revenue]]</f>
        <v>0.25565841866129807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72</v>
      </c>
      <c r="C5" s="5">
        <v>476.87200000000001</v>
      </c>
      <c r="D5" s="5">
        <v>0</v>
      </c>
      <c r="E5" s="5">
        <v>476.87200000000001</v>
      </c>
      <c r="F5" s="16">
        <f>Table4[[#This Row],[GrossProfit]]/Table4[[#This Row],[Revenue]]</f>
        <v>1</v>
      </c>
      <c r="G5" s="5">
        <v>143.03800000000001</v>
      </c>
      <c r="H5" s="5">
        <v>333.834</v>
      </c>
      <c r="I5" s="17">
        <f>Table4[[#This Row],[OperatingProfit]]/Table4[[#This Row],[Revenue]]</f>
        <v>0.29995051082890167</v>
      </c>
      <c r="J5" s="5">
        <v>87.361000000000004</v>
      </c>
      <c r="K5" s="17">
        <f>Table4[[#This Row],[NetProfit]]/Table4[[#This Row],[Revenue]]</f>
        <v>0.18319591001358856</v>
      </c>
      <c r="L5" s="5">
        <v>108.607</v>
      </c>
      <c r="M5" s="17">
        <f>Table4[[#This Row],[CashFromOps]]/Table4[[#This Row],[Revenue]]</f>
        <v>0.22774874599473233</v>
      </c>
      <c r="N5" s="5">
        <v>-32.761000000000003</v>
      </c>
      <c r="O5" s="17">
        <f>ABS(Table4[[#This Row],[CAPEX]])/Table4[[#This Row],[Revenue]]</f>
        <v>6.8699776879330307E-2</v>
      </c>
      <c r="P5" s="5">
        <v>75.846000000000004</v>
      </c>
      <c r="Q5" s="17">
        <f>Table4[[#This Row],[FCF]]/Table4[[#This Row],[Revenue]]</f>
        <v>0.15904896911540203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73</v>
      </c>
      <c r="C6" s="5">
        <v>533.14400000000001</v>
      </c>
      <c r="D6" s="5">
        <v>0</v>
      </c>
      <c r="E6" s="5">
        <v>533.14400000000001</v>
      </c>
      <c r="F6" s="16">
        <f>Table4[[#This Row],[GrossProfit]]/Table4[[#This Row],[Revenue]]</f>
        <v>1</v>
      </c>
      <c r="G6" s="5">
        <v>170.17599999999999</v>
      </c>
      <c r="H6" s="5">
        <v>362.96800000000002</v>
      </c>
      <c r="I6" s="17">
        <f>Table4[[#This Row],[OperatingProfit]]/Table4[[#This Row],[Revenue]]</f>
        <v>0.31919331362633735</v>
      </c>
      <c r="J6" s="5">
        <v>107.434</v>
      </c>
      <c r="K6" s="17">
        <f>Table4[[#This Row],[NetProfit]]/Table4[[#This Row],[Revenue]]</f>
        <v>0.20151028615158381</v>
      </c>
      <c r="L6" s="5">
        <v>167.37299999999999</v>
      </c>
      <c r="M6" s="17">
        <f>Table4[[#This Row],[CashFromOps]]/Table4[[#This Row],[Revenue]]</f>
        <v>0.31393582221688698</v>
      </c>
      <c r="N6" s="5">
        <v>-40.478999999999999</v>
      </c>
      <c r="O6" s="17">
        <f>ABS(Table4[[#This Row],[CAPEX]])/Table4[[#This Row],[Revenue]]</f>
        <v>7.592507840283301E-2</v>
      </c>
      <c r="P6" s="5">
        <v>126.89400000000001</v>
      </c>
      <c r="Q6" s="17">
        <f>Table4[[#This Row],[FCF]]/Table4[[#This Row],[Revenue]]</f>
        <v>0.23801074381405399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74</v>
      </c>
      <c r="C7" s="5">
        <v>576.97699999999998</v>
      </c>
      <c r="D7" s="5">
        <v>0</v>
      </c>
      <c r="E7" s="5">
        <v>576.97699999999998</v>
      </c>
      <c r="F7" s="16">
        <f>Table4[[#This Row],[GrossProfit]]/Table4[[#This Row],[Revenue]]</f>
        <v>1</v>
      </c>
      <c r="G7" s="5">
        <v>215.13900000000001</v>
      </c>
      <c r="H7" s="5">
        <v>361.83800000000002</v>
      </c>
      <c r="I7" s="17">
        <f>Table4[[#This Row],[OperatingProfit]]/Table4[[#This Row],[Revenue]]</f>
        <v>0.37287274882707633</v>
      </c>
      <c r="J7" s="5">
        <v>133.249</v>
      </c>
      <c r="K7" s="17">
        <f>Table4[[#This Row],[NetProfit]]/Table4[[#This Row],[Revenue]]</f>
        <v>0.23094334782842296</v>
      </c>
      <c r="L7" s="5">
        <v>172.04499999999999</v>
      </c>
      <c r="M7" s="17">
        <f>Table4[[#This Row],[CashFromOps]]/Table4[[#This Row],[Revenue]]</f>
        <v>0.29818346311898047</v>
      </c>
      <c r="N7" s="5">
        <v>-42.826999999999998</v>
      </c>
      <c r="O7" s="17">
        <f>ABS(Table4[[#This Row],[CAPEX]])/Table4[[#This Row],[Revenue]]</f>
        <v>7.4226528960426502E-2</v>
      </c>
      <c r="P7" s="5">
        <v>129.21799999999999</v>
      </c>
      <c r="Q7" s="17">
        <f>Table4[[#This Row],[FCF]]/Table4[[#This Row],[Revenue]]</f>
        <v>0.22395693415855397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75</v>
      </c>
      <c r="C8" s="5">
        <v>598.21199999999999</v>
      </c>
      <c r="D8" s="5">
        <v>0</v>
      </c>
      <c r="E8" s="5">
        <v>598.21199999999999</v>
      </c>
      <c r="F8" s="16">
        <f>Table4[[#This Row],[GrossProfit]]/Table4[[#This Row],[Revenue]]</f>
        <v>1</v>
      </c>
      <c r="G8" s="5">
        <v>228.27600000000001</v>
      </c>
      <c r="H8" s="5">
        <v>369.93599999999998</v>
      </c>
      <c r="I8" s="17">
        <f>Table4[[#This Row],[OperatingProfit]]/Table4[[#This Row],[Revenue]]</f>
        <v>0.38159715953541556</v>
      </c>
      <c r="J8" s="5">
        <v>155.40199999999999</v>
      </c>
      <c r="K8" s="17">
        <f>Table4[[#This Row],[NetProfit]]/Table4[[#This Row],[Revenue]]</f>
        <v>0.25977747019451297</v>
      </c>
      <c r="L8" s="5">
        <v>179.595</v>
      </c>
      <c r="M8" s="17">
        <f>Table4[[#This Row],[CashFromOps]]/Table4[[#This Row],[Revenue]]</f>
        <v>0.30021965457062044</v>
      </c>
      <c r="N8" s="5">
        <v>-13.452999999999999</v>
      </c>
      <c r="O8" s="17">
        <f>ABS(Table4[[#This Row],[CAPEX]])/Table4[[#This Row],[Revenue]]</f>
        <v>2.2488682941833329E-2</v>
      </c>
      <c r="P8" s="5">
        <v>166.142</v>
      </c>
      <c r="Q8" s="17">
        <f>Table4[[#This Row],[FCF]]/Table4[[#This Row],[Revenue]]</f>
        <v>0.27773097162878713</v>
      </c>
      <c r="R8" s="5">
        <v>-25.614000000000001</v>
      </c>
      <c r="S8" s="17">
        <f>ABS(Table4[[#This Row],[Dividends]])/Table4[[#This Row],[Revenue]]</f>
        <v>4.2817596437383407E-2</v>
      </c>
    </row>
    <row r="9" spans="2:19" x14ac:dyDescent="0.25">
      <c r="B9" t="s">
        <v>76</v>
      </c>
      <c r="C9" s="5">
        <v>725.31100000000004</v>
      </c>
      <c r="D9" s="5">
        <v>0</v>
      </c>
      <c r="E9" s="5">
        <v>725.31100000000004</v>
      </c>
      <c r="F9" s="16">
        <f>Table4[[#This Row],[GrossProfit]]/Table4[[#This Row],[Revenue]]</f>
        <v>1</v>
      </c>
      <c r="G9" s="5">
        <v>171.89500000000001</v>
      </c>
      <c r="H9" s="5">
        <v>553.41600000000005</v>
      </c>
      <c r="I9" s="17">
        <f>Table4[[#This Row],[OperatingProfit]]/Table4[[#This Row],[Revenue]]</f>
        <v>0.23699488908895633</v>
      </c>
      <c r="J9" s="5">
        <v>143.14099999999999</v>
      </c>
      <c r="K9" s="17">
        <f>Table4[[#This Row],[NetProfit]]/Table4[[#This Row],[Revenue]]</f>
        <v>0.19735120520714561</v>
      </c>
      <c r="L9" s="5">
        <v>231.358</v>
      </c>
      <c r="M9" s="17">
        <f>Table4[[#This Row],[CashFromOps]]/Table4[[#This Row],[Revenue]]</f>
        <v>0.31897765234499409</v>
      </c>
      <c r="N9" s="5">
        <v>-25.591999999999999</v>
      </c>
      <c r="O9" s="17">
        <f>ABS(Table4[[#This Row],[CAPEX]])/Table4[[#This Row],[Revenue]]</f>
        <v>3.5284174650598153E-2</v>
      </c>
      <c r="P9" s="5">
        <v>205.76599999999999</v>
      </c>
      <c r="Q9" s="17">
        <f>Table4[[#This Row],[FCF]]/Table4[[#This Row],[Revenue]]</f>
        <v>0.2836934776943959</v>
      </c>
      <c r="R9" s="5">
        <v>-63.66</v>
      </c>
      <c r="S9" s="17">
        <f>ABS(Table4[[#This Row],[Dividends]])/Table4[[#This Row],[Revenue]]</f>
        <v>8.7769246571470713E-2</v>
      </c>
    </row>
    <row r="10" spans="2:19" x14ac:dyDescent="0.25">
      <c r="B10" t="s">
        <v>77</v>
      </c>
      <c r="C10" s="5">
        <v>1191.386</v>
      </c>
      <c r="D10" s="5">
        <v>64.611000000000004</v>
      </c>
      <c r="E10" s="5">
        <v>1126.7750000000001</v>
      </c>
      <c r="F10" s="16">
        <f>Table4[[#This Row],[GrossProfit]]/Table4[[#This Row],[Revenue]]</f>
        <v>0.94576820610616552</v>
      </c>
      <c r="G10" s="5">
        <v>340.541</v>
      </c>
      <c r="H10" s="5">
        <v>786.23400000000004</v>
      </c>
      <c r="I10" s="17">
        <f>Table4[[#This Row],[OperatingProfit]]/Table4[[#This Row],[Revenue]]</f>
        <v>0.28583599270093824</v>
      </c>
      <c r="J10" s="5">
        <v>233.90799999999999</v>
      </c>
      <c r="K10" s="17">
        <f>Table4[[#This Row],[NetProfit]]/Table4[[#This Row],[Revenue]]</f>
        <v>0.19633267471667451</v>
      </c>
      <c r="L10" s="5">
        <v>254.93700000000001</v>
      </c>
      <c r="M10" s="17">
        <f>Table4[[#This Row],[CashFromOps]]/Table4[[#This Row],[Revenue]]</f>
        <v>0.21398354521540461</v>
      </c>
      <c r="N10" s="5">
        <v>-55.154000000000003</v>
      </c>
      <c r="O10" s="17">
        <f>ABS(Table4[[#This Row],[CAPEX]])/Table4[[#This Row],[Revenue]]</f>
        <v>4.6293980288504316E-2</v>
      </c>
      <c r="P10" s="5">
        <v>199.78299999999999</v>
      </c>
      <c r="Q10" s="17">
        <f>Table4[[#This Row],[FCF]]/Table4[[#This Row],[Revenue]]</f>
        <v>0.16768956492690026</v>
      </c>
      <c r="R10" s="5">
        <v>-76.605999999999995</v>
      </c>
      <c r="S10" s="17">
        <f>ABS(Table4[[#This Row],[Dividends]])/Table4[[#This Row],[Revenue]]</f>
        <v>6.4299899444848263E-2</v>
      </c>
    </row>
    <row r="11" spans="2:19" x14ac:dyDescent="0.25">
      <c r="B11" t="s">
        <v>78</v>
      </c>
      <c r="C11" s="5">
        <v>2098</v>
      </c>
      <c r="D11" s="5">
        <v>173</v>
      </c>
      <c r="E11" s="5">
        <v>1925</v>
      </c>
      <c r="F11" s="16">
        <f>Table4[[#This Row],[GrossProfit]]/Table4[[#This Row],[Revenue]]</f>
        <v>0.91754051477597709</v>
      </c>
      <c r="G11" s="5">
        <v>506</v>
      </c>
      <c r="H11" s="5">
        <v>1419</v>
      </c>
      <c r="I11" s="17">
        <f>Table4[[#This Row],[OperatingProfit]]/Table4[[#This Row],[Revenue]]</f>
        <v>0.24118207816968543</v>
      </c>
      <c r="J11" s="5">
        <v>323</v>
      </c>
      <c r="K11" s="17">
        <f>Table4[[#This Row],[NetProfit]]/Table4[[#This Row],[Revenue]]</f>
        <v>0.15395614871306007</v>
      </c>
      <c r="L11" s="5">
        <v>721</v>
      </c>
      <c r="M11" s="17">
        <f>Table4[[#This Row],[CashFromOps]]/Table4[[#This Row],[Revenue]]</f>
        <v>0.34366062917063872</v>
      </c>
      <c r="N11" s="5">
        <v>-84</v>
      </c>
      <c r="O11" s="17">
        <f>ABS(Table4[[#This Row],[CAPEX]])/Table4[[#This Row],[Revenue]]</f>
        <v>4.0038131553860823E-2</v>
      </c>
      <c r="P11" s="5">
        <v>637</v>
      </c>
      <c r="Q11" s="17">
        <f>Table4[[#This Row],[FCF]]/Table4[[#This Row],[Revenue]]</f>
        <v>0.3036224976167779</v>
      </c>
      <c r="R11" s="5">
        <v>-136</v>
      </c>
      <c r="S11" s="17">
        <f>ABS(Table4[[#This Row],[Dividends]])/Table4[[#This Row],[Revenue]]</f>
        <v>6.4823641563393708E-2</v>
      </c>
    </row>
    <row r="12" spans="2:19" x14ac:dyDescent="0.25">
      <c r="B12" t="s">
        <v>79</v>
      </c>
      <c r="C12" s="5">
        <v>4845</v>
      </c>
      <c r="D12" s="5">
        <v>539</v>
      </c>
      <c r="E12" s="5">
        <v>4306</v>
      </c>
      <c r="F12" s="16">
        <f>Table4[[#This Row],[GrossProfit]]/Table4[[#This Row],[Revenue]]</f>
        <v>0.88875128998968012</v>
      </c>
      <c r="G12" s="5">
        <v>1294</v>
      </c>
      <c r="H12" s="5">
        <v>3012</v>
      </c>
      <c r="I12" s="17">
        <f>Table4[[#This Row],[OperatingProfit]]/Table4[[#This Row],[Revenue]]</f>
        <v>0.26707946336429311</v>
      </c>
      <c r="J12" s="5">
        <v>993</v>
      </c>
      <c r="K12" s="17">
        <f>Table4[[#This Row],[NetProfit]]/Table4[[#This Row],[Revenue]]</f>
        <v>0.20495356037151702</v>
      </c>
      <c r="L12" s="5">
        <v>587</v>
      </c>
      <c r="M12" s="17">
        <f>Table4[[#This Row],[CashFromOps]]/Table4[[#This Row],[Revenue]]</f>
        <v>0.12115583075335397</v>
      </c>
      <c r="N12" s="5">
        <v>-111</v>
      </c>
      <c r="O12" s="17">
        <f>ABS(Table4[[#This Row],[CAPEX]])/Table4[[#This Row],[Revenue]]</f>
        <v>2.2910216718266253E-2</v>
      </c>
      <c r="P12" s="5">
        <v>476</v>
      </c>
      <c r="Q12" s="17">
        <f>Table4[[#This Row],[FCF]]/Table4[[#This Row],[Revenue]]</f>
        <v>9.8245614035087719E-2</v>
      </c>
      <c r="R12" s="5">
        <v>-353</v>
      </c>
      <c r="S12" s="17">
        <f>ABS(Table4[[#This Row],[Dividends]])/Table4[[#This Row],[Revenue]]</f>
        <v>7.2858617131062953E-2</v>
      </c>
    </row>
    <row r="13" spans="2:19" x14ac:dyDescent="0.25">
      <c r="B13" t="s">
        <v>80</v>
      </c>
      <c r="C13" s="5">
        <v>5064</v>
      </c>
      <c r="D13" s="5">
        <v>591</v>
      </c>
      <c r="E13" s="5">
        <v>4473</v>
      </c>
      <c r="F13" s="16">
        <f>Table4[[#This Row],[GrossProfit]]/Table4[[#This Row],[Revenue]]</f>
        <v>0.88329383886255919</v>
      </c>
      <c r="G13" s="5">
        <v>1631</v>
      </c>
      <c r="H13" s="5">
        <v>2842</v>
      </c>
      <c r="I13" s="17">
        <f>Table4[[#This Row],[OperatingProfit]]/Table4[[#This Row],[Revenue]]</f>
        <v>0.32207740916271721</v>
      </c>
      <c r="J13" s="5">
        <v>784</v>
      </c>
      <c r="K13" s="17">
        <f>Table4[[#This Row],[NetProfit]]/Table4[[#This Row],[Revenue]]</f>
        <v>0.15481832543443919</v>
      </c>
      <c r="L13" s="5">
        <v>1916</v>
      </c>
      <c r="M13" s="17">
        <f>Table4[[#This Row],[CashFromOps]]/Table4[[#This Row],[Revenue]]</f>
        <v>0.37835703001579779</v>
      </c>
      <c r="N13" s="5">
        <v>-136</v>
      </c>
      <c r="O13" s="17">
        <f>ABS(Table4[[#This Row],[CAPEX]])/Table4[[#This Row],[Revenue]]</f>
        <v>2.6856240126382307E-2</v>
      </c>
      <c r="P13" s="5">
        <v>1780</v>
      </c>
      <c r="Q13" s="17">
        <f>Table4[[#This Row],[FCF]]/Table4[[#This Row],[Revenue]]</f>
        <v>0.35150078988941547</v>
      </c>
      <c r="R13" s="5">
        <v>-419</v>
      </c>
      <c r="S13" s="17">
        <f>ABS(Table4[[#This Row],[Dividends]])/Table4[[#This Row],[Revenue]]</f>
        <v>8.2740916271721962E-2</v>
      </c>
    </row>
    <row r="14" spans="2:19" x14ac:dyDescent="0.25">
      <c r="B14" t="s">
        <v>81</v>
      </c>
      <c r="C14" s="5">
        <v>4700</v>
      </c>
      <c r="D14" s="5">
        <v>477</v>
      </c>
      <c r="E14" s="5">
        <v>4223</v>
      </c>
      <c r="F14" s="16">
        <f>Table4[[#This Row],[GrossProfit]]/Table4[[#This Row],[Revenue]]</f>
        <v>0.89851063829787237</v>
      </c>
      <c r="G14" s="5">
        <v>1300</v>
      </c>
      <c r="H14" s="5">
        <v>2923</v>
      </c>
      <c r="I14" s="17">
        <f>Table4[[#This Row],[OperatingProfit]]/Table4[[#This Row],[Revenue]]</f>
        <v>0.27659574468085107</v>
      </c>
      <c r="J14" s="5">
        <v>875</v>
      </c>
      <c r="K14" s="17">
        <f>Table4[[#This Row],[NetProfit]]/Table4[[#This Row],[Revenue]]</f>
        <v>0.18617021276595744</v>
      </c>
      <c r="L14" s="5">
        <v>1399</v>
      </c>
      <c r="M14" s="17">
        <f>Table4[[#This Row],[CashFromOps]]/Table4[[#This Row],[Revenue]]</f>
        <v>0.29765957446808511</v>
      </c>
      <c r="N14" s="5">
        <v>-67</v>
      </c>
      <c r="O14" s="17">
        <f>ABS(Table4[[#This Row],[CAPEX]])/Table4[[#This Row],[Revenue]]</f>
        <v>1.425531914893617E-2</v>
      </c>
      <c r="P14" s="5">
        <v>1332</v>
      </c>
      <c r="Q14" s="17">
        <f>Table4[[#This Row],[FCF]]/Table4[[#This Row],[Revenue]]</f>
        <v>0.28340425531914892</v>
      </c>
      <c r="R14" s="5">
        <v>-422</v>
      </c>
      <c r="S14" s="17">
        <f>ABS(Table4[[#This Row],[Dividends]])/Table4[[#This Row],[Revenue]]</f>
        <v>8.9787234042553191E-2</v>
      </c>
    </row>
    <row r="15" spans="2:19" x14ac:dyDescent="0.25">
      <c r="B15" t="s">
        <v>82</v>
      </c>
      <c r="C15" s="5">
        <v>8612</v>
      </c>
      <c r="D15" s="5">
        <v>4100</v>
      </c>
      <c r="E15" s="5">
        <v>4512</v>
      </c>
      <c r="F15" s="16">
        <f>Table4[[#This Row],[GrossProfit]]/Table4[[#This Row],[Revenue]]</f>
        <v>0.52392011147236417</v>
      </c>
      <c r="G15" s="5">
        <v>2998</v>
      </c>
      <c r="H15" s="5">
        <v>1514</v>
      </c>
      <c r="I15" s="17">
        <f>Table4[[#This Row],[OperatingProfit]]/Table4[[#This Row],[Revenue]]</f>
        <v>0.34811890385508593</v>
      </c>
      <c r="J15" s="5">
        <v>2063</v>
      </c>
      <c r="K15" s="17">
        <f>Table4[[#This Row],[NetProfit]]/Table4[[#This Row],[Revenue]]</f>
        <v>0.23954946586158848</v>
      </c>
      <c r="L15" s="5">
        <v>2488</v>
      </c>
      <c r="M15" s="17">
        <f>Table4[[#This Row],[CashFromOps]]/Table4[[#This Row],[Revenue]]</f>
        <v>0.28889921040408734</v>
      </c>
      <c r="N15" s="5">
        <v>-131</v>
      </c>
      <c r="O15" s="17">
        <f>ABS(Table4[[#This Row],[CAPEX]])/Table4[[#This Row],[Revenue]]</f>
        <v>1.5211333023687877E-2</v>
      </c>
      <c r="P15" s="5">
        <v>2357</v>
      </c>
      <c r="Q15" s="17">
        <f>Table4[[#This Row],[FCF]]/Table4[[#This Row],[Revenue]]</f>
        <v>0.27368787738039946</v>
      </c>
      <c r="R15" s="5">
        <v>-776</v>
      </c>
      <c r="S15" s="17">
        <f>ABS(Table4[[#This Row],[Dividends]])/Table4[[#This Row],[Revenue]]</f>
        <v>9.0106827682303756E-2</v>
      </c>
    </row>
    <row r="16" spans="2:19" x14ac:dyDescent="0.25">
      <c r="B16" t="s">
        <v>83</v>
      </c>
      <c r="C16" s="5">
        <v>9081</v>
      </c>
      <c r="D16" s="5">
        <v>4229</v>
      </c>
      <c r="E16" s="5">
        <v>4852</v>
      </c>
      <c r="F16" s="16">
        <f>Table4[[#This Row],[GrossProfit]]/Table4[[#This Row],[Revenue]]</f>
        <v>0.53430238960466914</v>
      </c>
      <c r="G16" s="5">
        <v>3281</v>
      </c>
      <c r="H16" s="5">
        <v>1571</v>
      </c>
      <c r="I16" s="17">
        <f>Table4[[#This Row],[OperatingProfit]]/Table4[[#This Row],[Revenue]]</f>
        <v>0.36130382116506993</v>
      </c>
      <c r="J16" s="5">
        <v>2337</v>
      </c>
      <c r="K16" s="17">
        <f>Table4[[#This Row],[NetProfit]]/Table4[[#This Row],[Revenue]]</f>
        <v>0.25735051205814335</v>
      </c>
      <c r="L16" s="5">
        <v>2826</v>
      </c>
      <c r="M16" s="17">
        <f>Table4[[#This Row],[CashFromOps]]/Table4[[#This Row],[Revenue]]</f>
        <v>0.31119920713577798</v>
      </c>
      <c r="N16" s="5">
        <v>-247</v>
      </c>
      <c r="O16" s="17">
        <f>ABS(Table4[[#This Row],[CAPEX]])/Table4[[#This Row],[Revenue]]</f>
        <v>2.7199647615901334E-2</v>
      </c>
      <c r="P16" s="5">
        <v>2579</v>
      </c>
      <c r="Q16" s="17">
        <f>Table4[[#This Row],[FCF]]/Table4[[#This Row],[Revenue]]</f>
        <v>0.28399955951987665</v>
      </c>
      <c r="R16" s="5">
        <v>-1014</v>
      </c>
      <c r="S16" s="17">
        <f>ABS(Table4[[#This Row],[Dividends]])/Table4[[#This Row],[Revenue]]</f>
        <v>0.11166171126527916</v>
      </c>
    </row>
    <row r="17" spans="2:19" x14ac:dyDescent="0.25">
      <c r="B17" t="s">
        <v>84</v>
      </c>
      <c r="C17" s="5">
        <v>9337</v>
      </c>
      <c r="D17" s="5">
        <v>4297</v>
      </c>
      <c r="E17" s="5">
        <v>5040</v>
      </c>
      <c r="F17" s="16">
        <f>Table4[[#This Row],[GrossProfit]]/Table4[[#This Row],[Revenue]]</f>
        <v>0.53978794045196532</v>
      </c>
      <c r="G17" s="5">
        <v>3524</v>
      </c>
      <c r="H17" s="5">
        <v>1516</v>
      </c>
      <c r="I17" s="17">
        <f>Table4[[#This Row],[OperatingProfit]]/Table4[[#This Row],[Revenue]]</f>
        <v>0.37742315518903286</v>
      </c>
      <c r="J17" s="5">
        <v>2458</v>
      </c>
      <c r="K17" s="17">
        <f>Table4[[#This Row],[NetProfit]]/Table4[[#This Row],[Revenue]]</f>
        <v>0.26325372175216877</v>
      </c>
      <c r="L17" s="5">
        <v>2240</v>
      </c>
      <c r="M17" s="17">
        <f>Table4[[#This Row],[CashFromOps]]/Table4[[#This Row],[Revenue]]</f>
        <v>0.23990575131198458</v>
      </c>
      <c r="N17" s="5">
        <v>-150</v>
      </c>
      <c r="O17" s="17">
        <f>ABS(Table4[[#This Row],[CAPEX]])/Table4[[#This Row],[Revenue]]</f>
        <v>1.606511727535611E-2</v>
      </c>
      <c r="P17" s="5">
        <v>2090</v>
      </c>
      <c r="Q17" s="17">
        <f>Table4[[#This Row],[FCF]]/Table4[[#This Row],[Revenue]]</f>
        <v>0.22384063403662846</v>
      </c>
      <c r="R17" s="5">
        <v>-1060</v>
      </c>
      <c r="S17" s="17">
        <f>ABS(Table4[[#This Row],[Dividends]])/Table4[[#This Row],[Revenue]]</f>
        <v>0.11352682874584985</v>
      </c>
    </row>
    <row r="18" spans="2:19" x14ac:dyDescent="0.25">
      <c r="B18" t="s">
        <v>85</v>
      </c>
      <c r="C18" s="5">
        <v>10180</v>
      </c>
      <c r="D18" s="5">
        <v>4622</v>
      </c>
      <c r="E18" s="5">
        <v>5558</v>
      </c>
      <c r="F18" s="16">
        <f>Table4[[#This Row],[GrossProfit]]/Table4[[#This Row],[Revenue]]</f>
        <v>0.54597249508840862</v>
      </c>
      <c r="G18" s="5">
        <v>3981</v>
      </c>
      <c r="H18" s="5">
        <v>1577</v>
      </c>
      <c r="I18" s="17">
        <f>Table4[[#This Row],[OperatingProfit]]/Table4[[#This Row],[Revenue]]</f>
        <v>0.39106090373280944</v>
      </c>
      <c r="J18" s="5">
        <v>2932</v>
      </c>
      <c r="K18" s="17">
        <f>Table4[[#This Row],[NetProfit]]/Table4[[#This Row],[Revenue]]</f>
        <v>0.28801571709233792</v>
      </c>
      <c r="L18" s="5">
        <v>3642</v>
      </c>
      <c r="M18" s="17">
        <f>Table4[[#This Row],[CashFromOps]]/Table4[[#This Row],[Revenue]]</f>
        <v>0.35776031434184674</v>
      </c>
      <c r="N18" s="5">
        <v>-94</v>
      </c>
      <c r="O18" s="17">
        <f>ABS(Table4[[#This Row],[CAPEX]])/Table4[[#This Row],[Revenue]]</f>
        <v>9.2337917485265219E-3</v>
      </c>
      <c r="P18" s="5">
        <v>3548</v>
      </c>
      <c r="Q18" s="17">
        <f>Table4[[#This Row],[FCF]]/Table4[[#This Row],[Revenue]]</f>
        <v>0.34852652259332023</v>
      </c>
      <c r="R18" s="5">
        <v>-1168</v>
      </c>
      <c r="S18" s="17">
        <f>ABS(Table4[[#This Row],[Dividends]])/Table4[[#This Row],[Revenue]]</f>
        <v>0.11473477406679765</v>
      </c>
    </row>
    <row r="19" spans="2:19" x14ac:dyDescent="0.25">
      <c r="B19" t="s">
        <v>86</v>
      </c>
      <c r="C19" s="5">
        <v>11081</v>
      </c>
      <c r="D19" s="5">
        <v>4997</v>
      </c>
      <c r="E19" s="5">
        <v>6084</v>
      </c>
      <c r="F19" s="16">
        <f>Table4[[#This Row],[GrossProfit]]/Table4[[#This Row],[Revenue]]</f>
        <v>0.5490479198628283</v>
      </c>
      <c r="G19" s="5">
        <v>4524</v>
      </c>
      <c r="H19" s="5">
        <v>1560</v>
      </c>
      <c r="I19" s="17">
        <f>Table4[[#This Row],[OperatingProfit]]/Table4[[#This Row],[Revenue]]</f>
        <v>0.40826640194928254</v>
      </c>
      <c r="J19" s="5">
        <v>3294</v>
      </c>
      <c r="K19" s="17">
        <f>Table4[[#This Row],[NetProfit]]/Table4[[#This Row],[Revenue]]</f>
        <v>0.29726558974821765</v>
      </c>
      <c r="L19" s="5">
        <v>3087</v>
      </c>
      <c r="M19" s="17">
        <f>Table4[[#This Row],[CashFromOps]]/Table4[[#This Row],[Revenue]]</f>
        <v>0.27858496525584331</v>
      </c>
      <c r="N19" s="5">
        <v>-66</v>
      </c>
      <c r="O19" s="17">
        <f>ABS(Table4[[#This Row],[CAPEX]])/Table4[[#This Row],[Revenue]]</f>
        <v>5.9561411424961649E-3</v>
      </c>
      <c r="P19" s="5">
        <v>3021</v>
      </c>
      <c r="Q19" s="17">
        <f>Table4[[#This Row],[FCF]]/Table4[[#This Row],[Revenue]]</f>
        <v>0.27262882411334716</v>
      </c>
      <c r="R19" s="5">
        <v>-1338</v>
      </c>
      <c r="S19" s="17">
        <f>ABS(Table4[[#This Row],[Dividends]])/Table4[[#This Row],[Revenue]]</f>
        <v>0.12074722497969498</v>
      </c>
    </row>
    <row r="20" spans="2:19" x14ac:dyDescent="0.25">
      <c r="B20" t="s">
        <v>87</v>
      </c>
      <c r="C20" s="5">
        <v>11401</v>
      </c>
      <c r="D20" s="5">
        <v>5229</v>
      </c>
      <c r="E20" s="5">
        <v>6172</v>
      </c>
      <c r="F20" s="16">
        <f>Table4[[#This Row],[GrossProfit]]/Table4[[#This Row],[Revenue]]</f>
        <v>0.54135602140163142</v>
      </c>
      <c r="G20" s="5">
        <v>4664</v>
      </c>
      <c r="H20" s="5">
        <v>1508</v>
      </c>
      <c r="I20" s="17">
        <f>Table4[[#This Row],[OperatingProfit]]/Table4[[#This Row],[Revenue]]</f>
        <v>0.40908692219980702</v>
      </c>
      <c r="J20" s="5">
        <v>3345</v>
      </c>
      <c r="K20" s="17">
        <f>Table4[[#This Row],[NetProfit]]/Table4[[#This Row],[Revenue]]</f>
        <v>0.29339531620033332</v>
      </c>
      <c r="L20" s="5">
        <v>3004</v>
      </c>
      <c r="M20" s="17">
        <f>Table4[[#This Row],[CashFromOps]]/Table4[[#This Row],[Revenue]]</f>
        <v>0.26348565915270589</v>
      </c>
      <c r="N20" s="5">
        <v>-221</v>
      </c>
      <c r="O20" s="17">
        <f>ABS(Table4[[#This Row],[CAPEX]])/Table4[[#This Row],[Revenue]]</f>
        <v>1.9384264538198404E-2</v>
      </c>
      <c r="P20" s="5">
        <v>2783</v>
      </c>
      <c r="Q20" s="17">
        <f>Table4[[#This Row],[FCF]]/Table4[[#This Row],[Revenue]]</f>
        <v>0.2441013946145075</v>
      </c>
      <c r="R20" s="5">
        <v>-1476</v>
      </c>
      <c r="S20" s="17">
        <f>ABS(Table4[[#This Row],[Dividends]])/Table4[[#This Row],[Revenue]]</f>
        <v>0.12946232786597667</v>
      </c>
    </row>
    <row r="21" spans="2:19" x14ac:dyDescent="0.25">
      <c r="B21" t="s">
        <v>88</v>
      </c>
      <c r="C21" s="5">
        <v>12261</v>
      </c>
      <c r="D21" s="5">
        <v>6243</v>
      </c>
      <c r="E21" s="5">
        <v>6018</v>
      </c>
      <c r="F21" s="16">
        <f>Table4[[#This Row],[GrossProfit]]/Table4[[#This Row],[Revenue]]</f>
        <v>0.4908245656961096</v>
      </c>
      <c r="G21" s="5">
        <v>4633</v>
      </c>
      <c r="H21" s="5">
        <v>1385</v>
      </c>
      <c r="I21" s="17">
        <f>Table4[[#This Row],[OperatingProfit]]/Table4[[#This Row],[Revenue]]</f>
        <v>0.37786477448821465</v>
      </c>
      <c r="J21" s="5">
        <v>3168</v>
      </c>
      <c r="K21" s="17">
        <f>Table4[[#This Row],[NetProfit]]/Table4[[#This Row],[Revenue]]</f>
        <v>0.25838022999755322</v>
      </c>
      <c r="L21" s="5">
        <v>2273</v>
      </c>
      <c r="M21" s="17">
        <f>Table4[[#This Row],[CashFromOps]]/Table4[[#This Row],[Revenue]]</f>
        <v>0.18538455264660306</v>
      </c>
      <c r="N21" s="5">
        <v>-119</v>
      </c>
      <c r="O21" s="17">
        <f>ABS(Table4[[#This Row],[CAPEX]])/Table4[[#This Row],[Revenue]]</f>
        <v>9.7055705081151612E-3</v>
      </c>
      <c r="P21" s="5">
        <v>2154</v>
      </c>
      <c r="Q21" s="17">
        <f>Table4[[#This Row],[FCF]]/Table4[[#This Row],[Revenue]]</f>
        <v>0.1756789821384879</v>
      </c>
      <c r="R21" s="5">
        <v>-1545</v>
      </c>
      <c r="S21" s="17">
        <f>ABS(Table4[[#This Row],[Dividends]])/Table4[[#This Row],[Revenue]]</f>
        <v>0.12600929777342795</v>
      </c>
    </row>
    <row r="22" spans="2:19" x14ac:dyDescent="0.25">
      <c r="B22" t="s">
        <v>89</v>
      </c>
      <c r="C22" s="5">
        <v>13600</v>
      </c>
      <c r="D22" s="5">
        <v>6811</v>
      </c>
      <c r="E22" s="5">
        <v>6789</v>
      </c>
      <c r="F22" s="16">
        <f>Table4[[#This Row],[GrossProfit]]/Table4[[#This Row],[Revenue]]</f>
        <v>0.49919117647058825</v>
      </c>
      <c r="G22" s="5">
        <v>5267</v>
      </c>
      <c r="H22" s="5">
        <v>1522</v>
      </c>
      <c r="I22" s="17">
        <f>Table4[[#This Row],[OperatingProfit]]/Table4[[#This Row],[Revenue]]</f>
        <v>0.38727941176470587</v>
      </c>
      <c r="J22" s="5">
        <v>4952</v>
      </c>
      <c r="K22" s="17">
        <f>Table4[[#This Row],[NetProfit]]/Table4[[#This Row],[Revenue]]</f>
        <v>0.36411764705882355</v>
      </c>
      <c r="L22" s="5">
        <v>3950</v>
      </c>
      <c r="M22" s="17">
        <f>Table4[[#This Row],[CashFromOps]]/Table4[[#This Row],[Revenue]]</f>
        <v>0.29044117647058826</v>
      </c>
      <c r="N22" s="5">
        <v>-155</v>
      </c>
      <c r="O22" s="17">
        <f>ABS(Table4[[#This Row],[CAPEX]])/Table4[[#This Row],[Revenue]]</f>
        <v>1.1397058823529411E-2</v>
      </c>
      <c r="P22" s="5">
        <v>3795</v>
      </c>
      <c r="Q22" s="17">
        <f>Table4[[#This Row],[FCF]]/Table4[[#This Row],[Revenue]]</f>
        <v>0.27904411764705883</v>
      </c>
      <c r="R22" s="5">
        <v>-1662</v>
      </c>
      <c r="S22" s="17">
        <f>ABS(Table4[[#This Row],[Dividends]])/Table4[[#This Row],[Revenue]]</f>
        <v>0.12220588235294118</v>
      </c>
    </row>
    <row r="23" spans="2:19" x14ac:dyDescent="0.25">
      <c r="B23" t="s">
        <v>90</v>
      </c>
      <c r="C23" s="5">
        <v>14198</v>
      </c>
      <c r="D23" s="5">
        <v>6993</v>
      </c>
      <c r="E23" s="5">
        <v>7205</v>
      </c>
      <c r="F23" s="16">
        <f>Table4[[#This Row],[GrossProfit]]/Table4[[#This Row],[Revenue]]</f>
        <v>0.50746584025919139</v>
      </c>
      <c r="G23" s="5">
        <v>5517</v>
      </c>
      <c r="H23" s="5">
        <v>1688</v>
      </c>
      <c r="I23" s="17">
        <f>Table4[[#This Row],[OperatingProfit]]/Table4[[#This Row],[Revenue]]</f>
        <v>0.38857585575433162</v>
      </c>
      <c r="J23" s="5">
        <v>4305</v>
      </c>
      <c r="K23" s="17">
        <f>Table4[[#This Row],[NetProfit]]/Table4[[#This Row],[Revenue]]</f>
        <v>0.30321171996055785</v>
      </c>
      <c r="L23" s="5">
        <v>3075</v>
      </c>
      <c r="M23" s="17">
        <f>Table4[[#This Row],[CashFromOps]]/Table4[[#This Row],[Revenue]]</f>
        <v>0.21657979997182703</v>
      </c>
      <c r="N23" s="5">
        <v>-204</v>
      </c>
      <c r="O23" s="17">
        <f>ABS(Table4[[#This Row],[CAPEX]])/Table4[[#This Row],[Revenue]]</f>
        <v>1.4368220876179744E-2</v>
      </c>
      <c r="P23" s="5">
        <v>2871</v>
      </c>
      <c r="Q23" s="17">
        <f>Table4[[#This Row],[FCF]]/Table4[[#This Row],[Revenue]]</f>
        <v>0.20221157909564727</v>
      </c>
      <c r="R23" s="5">
        <v>-1968</v>
      </c>
      <c r="S23" s="17">
        <f>ABS(Table4[[#This Row],[Dividends]])/Table4[[#This Row],[Revenue]]</f>
        <v>0.13861107198196929</v>
      </c>
    </row>
    <row r="24" spans="2:19" x14ac:dyDescent="0.25">
      <c r="B24" t="s">
        <v>91</v>
      </c>
      <c r="C24" s="5">
        <v>14539</v>
      </c>
      <c r="D24" s="5">
        <v>7133</v>
      </c>
      <c r="E24" s="5">
        <v>7406</v>
      </c>
      <c r="F24" s="16">
        <f>Table4[[#This Row],[GrossProfit]]/Table4[[#This Row],[Revenue]]</f>
        <v>0.50938854116514198</v>
      </c>
      <c r="G24" s="5">
        <v>5551</v>
      </c>
      <c r="H24" s="5">
        <v>1855</v>
      </c>
      <c r="I24" s="17">
        <f>Table4[[#This Row],[OperatingProfit]]/Table4[[#This Row],[Revenue]]</f>
        <v>0.38180067404910928</v>
      </c>
      <c r="J24" s="5">
        <v>4476</v>
      </c>
      <c r="K24" s="17">
        <f>Table4[[#This Row],[NetProfit]]/Table4[[#This Row],[Revenue]]</f>
        <v>0.30786161359103104</v>
      </c>
      <c r="L24" s="5">
        <v>2884</v>
      </c>
      <c r="M24" s="17">
        <f>Table4[[#This Row],[CashFromOps]]/Table4[[#This Row],[Revenue]]</f>
        <v>0.19836302359171881</v>
      </c>
      <c r="N24" s="5">
        <v>-254</v>
      </c>
      <c r="O24" s="17">
        <f>ABS(Table4[[#This Row],[CAPEX]])/Table4[[#This Row],[Revenue]]</f>
        <v>1.7470252424513378E-2</v>
      </c>
      <c r="P24" s="5">
        <v>2630</v>
      </c>
      <c r="Q24" s="17">
        <f>Table4[[#This Row],[FCF]]/Table4[[#This Row],[Revenue]]</f>
        <v>0.18089277116720545</v>
      </c>
      <c r="R24" s="5">
        <v>-2096</v>
      </c>
      <c r="S24" s="17">
        <f>ABS(Table4[[#This Row],[Dividends]])/Table4[[#This Row],[Revenue]]</f>
        <v>0.14416397276291354</v>
      </c>
    </row>
    <row r="25" spans="2:19" x14ac:dyDescent="0.25">
      <c r="B25" t="s">
        <v>92</v>
      </c>
      <c r="C25" s="5">
        <v>16205</v>
      </c>
      <c r="D25" s="5">
        <v>7939</v>
      </c>
      <c r="E25" s="5">
        <v>8266</v>
      </c>
      <c r="F25" s="16">
        <f>Table4[[#This Row],[GrossProfit]]/Table4[[#This Row],[Revenue]]</f>
        <v>0.51008947855600129</v>
      </c>
      <c r="G25" s="5">
        <v>6313</v>
      </c>
      <c r="H25" s="5">
        <v>1953</v>
      </c>
      <c r="I25" s="17">
        <f>Table4[[#This Row],[OperatingProfit]]/Table4[[#This Row],[Revenue]]</f>
        <v>0.38957112002468375</v>
      </c>
      <c r="J25" s="5">
        <v>4932</v>
      </c>
      <c r="K25" s="17">
        <f>Table4[[#This Row],[NetProfit]]/Table4[[#This Row],[Revenue]]</f>
        <v>0.30435050910212896</v>
      </c>
      <c r="L25" s="5">
        <v>3743</v>
      </c>
      <c r="M25" s="17">
        <f>Table4[[#This Row],[CashFromOps]]/Table4[[#This Row],[Revenue]]</f>
        <v>0.23097809318111695</v>
      </c>
      <c r="N25" s="5">
        <v>-194</v>
      </c>
      <c r="O25" s="17">
        <f>ABS(Table4[[#This Row],[CAPEX]])/Table4[[#This Row],[Revenue]]</f>
        <v>1.1971613699475471E-2</v>
      </c>
      <c r="P25" s="5">
        <v>3549</v>
      </c>
      <c r="Q25" s="17">
        <f>Table4[[#This Row],[FCF]]/Table4[[#This Row],[Revenue]]</f>
        <v>0.21900647948164148</v>
      </c>
      <c r="R25" s="5">
        <v>-2260</v>
      </c>
      <c r="S25" s="17">
        <f>ABS(Table4[[#This Row],[Dividends]])/Table4[[#This Row],[Revenue]]</f>
        <v>0.1394631286639926</v>
      </c>
    </row>
    <row r="26" spans="2:19" x14ac:dyDescent="0.25">
      <c r="B26" t="s">
        <v>93</v>
      </c>
      <c r="C26" s="5">
        <v>19374</v>
      </c>
      <c r="D26" s="5">
        <v>9556</v>
      </c>
      <c r="E26" s="5">
        <v>9818</v>
      </c>
      <c r="F26" s="16">
        <f>Table4[[#This Row],[GrossProfit]]/Table4[[#This Row],[Revenue]]</f>
        <v>0.50676163931041607</v>
      </c>
      <c r="G26" s="5">
        <v>7488</v>
      </c>
      <c r="H26" s="5">
        <v>2330</v>
      </c>
      <c r="I26" s="17">
        <f>Table4[[#This Row],[OperatingProfit]]/Table4[[#This Row],[Revenue]]</f>
        <v>0.38649736760607001</v>
      </c>
      <c r="J26" s="5">
        <v>5901</v>
      </c>
      <c r="K26" s="17">
        <f>Table4[[#This Row],[NetProfit]]/Table4[[#This Row],[Revenue]]</f>
        <v>0.30458346237225148</v>
      </c>
      <c r="L26" s="5">
        <v>4944</v>
      </c>
      <c r="M26" s="17">
        <f>Table4[[#This Row],[CashFromOps]]/Table4[[#This Row],[Revenue]]</f>
        <v>0.25518736450913593</v>
      </c>
      <c r="N26" s="5">
        <v>-341</v>
      </c>
      <c r="O26" s="17">
        <f>ABS(Table4[[#This Row],[CAPEX]])/Table4[[#This Row],[Revenue]]</f>
        <v>1.7600908433983691E-2</v>
      </c>
      <c r="P26" s="5">
        <v>4603</v>
      </c>
      <c r="Q26" s="17">
        <f>Table4[[#This Row],[FCF]]/Table4[[#This Row],[Revenue]]</f>
        <v>0.23758645607515227</v>
      </c>
      <c r="R26" s="5">
        <v>-2547</v>
      </c>
      <c r="S26" s="17">
        <f>ABS(Table4[[#This Row],[Dividends]])/Table4[[#This Row],[Revenue]]</f>
        <v>0.1314648497986993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27"/>
  <sheetViews>
    <sheetView workbookViewId="0">
      <selection activeCell="H27" sqref="H27"/>
    </sheetView>
  </sheetViews>
  <sheetFormatPr defaultRowHeight="15" x14ac:dyDescent="0.25"/>
  <cols>
    <col min="2" max="2" width="12.42578125" customWidth="1"/>
    <col min="3" max="3" width="11.57031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70</v>
      </c>
      <c r="C3" s="5">
        <v>339.48200000000003</v>
      </c>
      <c r="D3" s="30" t="e">
        <f>(Table3[[#This Row],[Revenue]]-C2)/C2</f>
        <v>#VALUE!</v>
      </c>
      <c r="E3" s="5">
        <v>-12.3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0</v>
      </c>
      <c r="J3" s="30" t="e">
        <f>(Table3[[#This Row],[MarketValue]]-I2)/I2</f>
        <v>#VALUE!</v>
      </c>
      <c r="K3">
        <v>53.682000000000002</v>
      </c>
      <c r="L3" s="30" t="e">
        <f>(Table3[[#This Row],[SharesOutstanding]]-K2)/K2</f>
        <v>#VALUE!</v>
      </c>
    </row>
    <row r="4" spans="2:12" x14ac:dyDescent="0.25">
      <c r="B4" t="s">
        <v>71</v>
      </c>
      <c r="C4" s="5">
        <v>380.98099999999999</v>
      </c>
      <c r="D4" s="30">
        <f>(Table3[[#This Row],[Revenue]]-C3)/C3</f>
        <v>0.12224212182089172</v>
      </c>
      <c r="E4" s="5">
        <v>0</v>
      </c>
      <c r="F4" s="30">
        <f>(Table3[[#This Row],[Dividend]]-E3)/E3</f>
        <v>-1</v>
      </c>
      <c r="G4" s="5">
        <v>0</v>
      </c>
      <c r="H4" s="30" t="e">
        <f>(Table3[[#This Row],[DivPerShare]]-G3)/G3</f>
        <v>#DIV/0!</v>
      </c>
      <c r="I4" s="5">
        <v>1097.8219999999999</v>
      </c>
      <c r="J4" s="30" t="e">
        <f>(Table3[[#This Row],[MarketValue]]-I3)/I3</f>
        <v>#DIV/0!</v>
      </c>
      <c r="K4">
        <v>57.268999999999998</v>
      </c>
      <c r="L4" s="30">
        <f>(Table3[[#This Row],[SharesOutstanding]]-K3)/K3</f>
        <v>6.6819418054468838E-2</v>
      </c>
    </row>
    <row r="5" spans="2:12" x14ac:dyDescent="0.25">
      <c r="B5" t="s">
        <v>72</v>
      </c>
      <c r="C5" s="5">
        <v>476.87200000000001</v>
      </c>
      <c r="D5" s="30">
        <f>(Table3[[#This Row],[Revenue]]-C4)/C4</f>
        <v>0.25169496641564809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2687.8739999999998</v>
      </c>
      <c r="J5" s="30">
        <f>(Table3[[#This Row],[MarketValue]]-I4)/I4</f>
        <v>1.4483695899699587</v>
      </c>
      <c r="K5">
        <v>64.590999999999994</v>
      </c>
      <c r="L5" s="30">
        <f>(Table3[[#This Row],[SharesOutstanding]]-K4)/K4</f>
        <v>0.12785276502121559</v>
      </c>
    </row>
    <row r="6" spans="2:12" x14ac:dyDescent="0.25">
      <c r="B6" t="s">
        <v>73</v>
      </c>
      <c r="C6" s="5">
        <v>533.14400000000001</v>
      </c>
      <c r="D6" s="30">
        <f>(Table3[[#This Row],[Revenue]]-C5)/C5</f>
        <v>0.11800231508664796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2688.232</v>
      </c>
      <c r="J6" s="30">
        <f>(Table3[[#This Row],[MarketValue]]-I5)/I5</f>
        <v>1.3319076712679784E-4</v>
      </c>
      <c r="K6">
        <v>64.926000000000002</v>
      </c>
      <c r="L6" s="30">
        <f>(Table3[[#This Row],[SharesOutstanding]]-K5)/K5</f>
        <v>5.1864810886966912E-3</v>
      </c>
    </row>
    <row r="7" spans="2:12" x14ac:dyDescent="0.25">
      <c r="B7" t="s">
        <v>74</v>
      </c>
      <c r="C7" s="5">
        <v>576.97699999999998</v>
      </c>
      <c r="D7" s="30">
        <f>(Table3[[#This Row],[Revenue]]-C6)/C6</f>
        <v>8.2216061701904125E-2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2557.69</v>
      </c>
      <c r="J7" s="30">
        <f>(Table3[[#This Row],[MarketValue]]-I6)/I6</f>
        <v>-4.8560540905695608E-2</v>
      </c>
      <c r="K7">
        <v>65.308000000000007</v>
      </c>
      <c r="L7" s="30">
        <f>(Table3[[#This Row],[SharesOutstanding]]-K6)/K6</f>
        <v>5.883621353541031E-3</v>
      </c>
    </row>
    <row r="8" spans="2:12" x14ac:dyDescent="0.25">
      <c r="B8" t="s">
        <v>75</v>
      </c>
      <c r="C8" s="5">
        <v>598.21199999999999</v>
      </c>
      <c r="D8" s="30">
        <f>(Table3[[#This Row],[Revenue]]-C7)/C7</f>
        <v>3.680389339609727E-2</v>
      </c>
      <c r="E8" s="5">
        <v>-25.614000000000001</v>
      </c>
      <c r="F8" s="30" t="e">
        <f>(Table3[[#This Row],[Dividend]]-E7)/E7</f>
        <v>#DIV/0!</v>
      </c>
      <c r="G8" s="5">
        <v>0.4</v>
      </c>
      <c r="H8" s="30" t="e">
        <f>(Table3[[#This Row],[DivPerShare]]-G7)/G7</f>
        <v>#DIV/0!</v>
      </c>
      <c r="I8" s="5">
        <v>3404.192</v>
      </c>
      <c r="J8" s="30">
        <f>(Table3[[#This Row],[MarketValue]]-I7)/I7</f>
        <v>0.33096348658359687</v>
      </c>
      <c r="K8">
        <v>65.86</v>
      </c>
      <c r="L8" s="30">
        <f>(Table3[[#This Row],[SharesOutstanding]]-K7)/K7</f>
        <v>8.4522569976112037E-3</v>
      </c>
    </row>
    <row r="9" spans="2:12" x14ac:dyDescent="0.25">
      <c r="B9" t="s">
        <v>76</v>
      </c>
      <c r="C9" s="5">
        <v>725.31100000000004</v>
      </c>
      <c r="D9" s="30">
        <f>(Table3[[#This Row],[Revenue]]-C8)/C8</f>
        <v>0.21246481180584817</v>
      </c>
      <c r="E9" s="5">
        <v>-63.66</v>
      </c>
      <c r="F9" s="30">
        <f>(Table3[[#This Row],[Dividend]]-E8)/E8</f>
        <v>1.4853595689857106</v>
      </c>
      <c r="G9" s="5">
        <v>1</v>
      </c>
      <c r="H9" s="30">
        <f>(Table3[[#This Row],[DivPerShare]]-G8)/G8</f>
        <v>1.4999999999999998</v>
      </c>
      <c r="I9" s="5">
        <v>4918.835</v>
      </c>
      <c r="J9" s="30">
        <f>(Table3[[#This Row],[MarketValue]]-I8)/I8</f>
        <v>0.44493465703462087</v>
      </c>
      <c r="K9">
        <v>65.959999999999994</v>
      </c>
      <c r="L9" s="30">
        <f>(Table3[[#This Row],[SharesOutstanding]]-K8)/K8</f>
        <v>1.5183723048890726E-3</v>
      </c>
    </row>
    <row r="10" spans="2:12" x14ac:dyDescent="0.25">
      <c r="B10" t="s">
        <v>77</v>
      </c>
      <c r="C10" s="5">
        <v>1191.386</v>
      </c>
      <c r="D10" s="30">
        <f>(Table3[[#This Row],[Revenue]]-C9)/C9</f>
        <v>0.64258642154882517</v>
      </c>
      <c r="E10" s="5">
        <v>-76.605999999999995</v>
      </c>
      <c r="F10" s="30">
        <f>(Table3[[#This Row],[Dividend]]-E9)/E9</f>
        <v>0.20336160854539739</v>
      </c>
      <c r="G10" s="5">
        <v>1.2</v>
      </c>
      <c r="H10" s="30">
        <f>(Table3[[#This Row],[DivPerShare]]-G9)/G9</f>
        <v>0.19999999999999996</v>
      </c>
      <c r="I10" s="5">
        <v>6942.8280000000004</v>
      </c>
      <c r="J10" s="30">
        <f>(Table3[[#This Row],[MarketValue]]-I9)/I9</f>
        <v>0.41147812439327613</v>
      </c>
      <c r="K10">
        <v>66.875</v>
      </c>
      <c r="L10" s="30">
        <f>(Table3[[#This Row],[SharesOutstanding]]-K9)/K9</f>
        <v>1.3872043662826052E-2</v>
      </c>
    </row>
    <row r="11" spans="2:12" x14ac:dyDescent="0.25">
      <c r="B11" t="s">
        <v>78</v>
      </c>
      <c r="C11" s="5">
        <v>2098</v>
      </c>
      <c r="D11" s="30">
        <f>(Table3[[#This Row],[Revenue]]-C10)/C10</f>
        <v>0.76097419308267855</v>
      </c>
      <c r="E11" s="5">
        <v>-136</v>
      </c>
      <c r="F11" s="30">
        <f>(Table3[[#This Row],[Dividend]]-E10)/E10</f>
        <v>0.77531786021982629</v>
      </c>
      <c r="G11" s="5">
        <v>1.68</v>
      </c>
      <c r="H11" s="30">
        <f>(Table3[[#This Row],[DivPerShare]]-G10)/G10</f>
        <v>0.4</v>
      </c>
      <c r="I11" s="5">
        <v>17682.526999999998</v>
      </c>
      <c r="J11" s="30">
        <f>(Table3[[#This Row],[MarketValue]]-I10)/I10</f>
        <v>1.5468767194002209</v>
      </c>
      <c r="K11">
        <v>83.358000000000004</v>
      </c>
      <c r="L11" s="30">
        <f>(Table3[[#This Row],[SharesOutstanding]]-K10)/K10</f>
        <v>0.24647476635514023</v>
      </c>
    </row>
    <row r="12" spans="2:12" x14ac:dyDescent="0.25">
      <c r="B12" t="s">
        <v>79</v>
      </c>
      <c r="C12" s="5">
        <v>4845</v>
      </c>
      <c r="D12" s="30">
        <f>(Table3[[#This Row],[Revenue]]-C11)/C11</f>
        <v>1.3093422306959008</v>
      </c>
      <c r="E12" s="5">
        <v>-353</v>
      </c>
      <c r="F12" s="30">
        <f>(Table3[[#This Row],[Dividend]]-E11)/E11</f>
        <v>1.5955882352941178</v>
      </c>
      <c r="G12" s="5">
        <v>2.68</v>
      </c>
      <c r="H12" s="30">
        <f>(Table3[[#This Row],[DivPerShare]]-G11)/G11</f>
        <v>0.59523809523809534</v>
      </c>
      <c r="I12" s="5">
        <v>25426.954000000002</v>
      </c>
      <c r="J12" s="30">
        <f>(Table3[[#This Row],[MarketValue]]-I11)/I11</f>
        <v>0.43797060227873563</v>
      </c>
      <c r="K12">
        <v>131.37799999999999</v>
      </c>
      <c r="L12" s="30">
        <f>(Table3[[#This Row],[SharesOutstanding]]-K11)/K11</f>
        <v>0.57606948343290365</v>
      </c>
    </row>
    <row r="13" spans="2:12" x14ac:dyDescent="0.25">
      <c r="B13" t="s">
        <v>80</v>
      </c>
      <c r="C13" s="5">
        <v>5064</v>
      </c>
      <c r="D13" s="30">
        <f>(Table3[[#This Row],[Revenue]]-C12)/C12</f>
        <v>4.5201238390092879E-2</v>
      </c>
      <c r="E13" s="5">
        <v>-419</v>
      </c>
      <c r="F13" s="30">
        <f>(Table3[[#This Row],[Dividend]]-E12)/E12</f>
        <v>0.18696883852691218</v>
      </c>
      <c r="G13" s="5">
        <v>3.12</v>
      </c>
      <c r="H13" s="30">
        <f>(Table3[[#This Row],[DivPerShare]]-G12)/G12</f>
        <v>0.16417910447761191</v>
      </c>
      <c r="I13" s="5">
        <v>15852.773999999999</v>
      </c>
      <c r="J13" s="30">
        <f>(Table3[[#This Row],[MarketValue]]-I12)/I12</f>
        <v>-0.3765366468984056</v>
      </c>
      <c r="K13">
        <v>131.37700000000001</v>
      </c>
      <c r="L13" s="30">
        <f>(Table3[[#This Row],[SharesOutstanding]]-K12)/K12</f>
        <v>-7.6116244727150152E-6</v>
      </c>
    </row>
    <row r="14" spans="2:12" x14ac:dyDescent="0.25">
      <c r="B14" t="s">
        <v>81</v>
      </c>
      <c r="C14" s="5">
        <v>4700</v>
      </c>
      <c r="D14" s="30">
        <f>(Table3[[#This Row],[Revenue]]-C13)/C13</f>
        <v>-7.1879936808846759E-2</v>
      </c>
      <c r="E14" s="5">
        <v>-422</v>
      </c>
      <c r="F14" s="30">
        <f>(Table3[[#This Row],[Dividend]]-E13)/E13</f>
        <v>7.1599045346062056E-3</v>
      </c>
      <c r="G14" s="5">
        <v>3.12</v>
      </c>
      <c r="H14" s="30">
        <f>(Table3[[#This Row],[DivPerShare]]-G13)/G13</f>
        <v>0</v>
      </c>
      <c r="I14" s="5">
        <v>43840.752999999997</v>
      </c>
      <c r="J14" s="30">
        <f>(Table3[[#This Row],[MarketValue]]-I13)/I13</f>
        <v>1.7654941021678603</v>
      </c>
      <c r="K14">
        <v>139.48099999999999</v>
      </c>
      <c r="L14" s="30">
        <f>(Table3[[#This Row],[SharesOutstanding]]-K13)/K13</f>
        <v>6.1685074251961791E-2</v>
      </c>
    </row>
    <row r="15" spans="2:12" x14ac:dyDescent="0.25">
      <c r="B15" t="s">
        <v>82</v>
      </c>
      <c r="C15" s="5">
        <v>8612</v>
      </c>
      <c r="D15" s="30">
        <f>(Table3[[#This Row],[Revenue]]-C14)/C14</f>
        <v>0.8323404255319149</v>
      </c>
      <c r="E15" s="5">
        <v>-776</v>
      </c>
      <c r="F15" s="30">
        <f>(Table3[[#This Row],[Dividend]]-E14)/E14</f>
        <v>0.83886255924170616</v>
      </c>
      <c r="G15" s="5">
        <v>4</v>
      </c>
      <c r="H15" s="30">
        <f>(Table3[[#This Row],[DivPerShare]]-G14)/G14</f>
        <v>0.28205128205128199</v>
      </c>
      <c r="I15" s="5">
        <v>36437.370999999999</v>
      </c>
      <c r="J15" s="30">
        <f>(Table3[[#This Row],[MarketValue]]-I14)/I14</f>
        <v>-0.16886986407373064</v>
      </c>
      <c r="K15">
        <v>192.69200000000001</v>
      </c>
      <c r="L15" s="30">
        <f>(Table3[[#This Row],[SharesOutstanding]]-K14)/K14</f>
        <v>0.38149281981058364</v>
      </c>
    </row>
    <row r="16" spans="2:12" x14ac:dyDescent="0.25">
      <c r="B16" t="s">
        <v>83</v>
      </c>
      <c r="C16" s="5">
        <v>9081</v>
      </c>
      <c r="D16" s="30">
        <f>(Table3[[#This Row],[Revenue]]-C15)/C15</f>
        <v>5.4458894565722248E-2</v>
      </c>
      <c r="E16" s="5">
        <v>-1014</v>
      </c>
      <c r="F16" s="30">
        <f>(Table3[[#This Row],[Dividend]]-E15)/E15</f>
        <v>0.30670103092783507</v>
      </c>
      <c r="G16" s="5">
        <v>5.5</v>
      </c>
      <c r="H16" s="30">
        <f>(Table3[[#This Row],[DivPerShare]]-G15)/G15</f>
        <v>0.375</v>
      </c>
      <c r="I16" s="5">
        <v>31781.795999999998</v>
      </c>
      <c r="J16" s="30">
        <f>(Table3[[#This Row],[MarketValue]]-I15)/I15</f>
        <v>-0.12776923450377364</v>
      </c>
      <c r="K16">
        <v>187.11600000000001</v>
      </c>
      <c r="L16" s="30">
        <f>(Table3[[#This Row],[SharesOutstanding]]-K15)/K15</f>
        <v>-2.8937371556681094E-2</v>
      </c>
    </row>
    <row r="17" spans="2:12" x14ac:dyDescent="0.25">
      <c r="B17" t="s">
        <v>84</v>
      </c>
      <c r="C17" s="5">
        <v>9337</v>
      </c>
      <c r="D17" s="30">
        <f>(Table3[[#This Row],[Revenue]]-C16)/C16</f>
        <v>2.8190727893403811E-2</v>
      </c>
      <c r="E17" s="5">
        <v>-1060</v>
      </c>
      <c r="F17" s="30">
        <f>(Table3[[#This Row],[Dividend]]-E16)/E16</f>
        <v>4.5364891518737675E-2</v>
      </c>
      <c r="G17" s="5">
        <v>6</v>
      </c>
      <c r="H17" s="30">
        <f>(Table3[[#This Row],[DivPerShare]]-G16)/G16</f>
        <v>9.0909090909090912E-2</v>
      </c>
      <c r="I17" s="5">
        <v>35392.059000000001</v>
      </c>
      <c r="J17" s="30">
        <f>(Table3[[#This Row],[MarketValue]]-I16)/I16</f>
        <v>0.11359531097613246</v>
      </c>
      <c r="K17">
        <v>178.018</v>
      </c>
      <c r="L17" s="30">
        <f>(Table3[[#This Row],[SharesOutstanding]]-K16)/K16</f>
        <v>-4.8622245024476859E-2</v>
      </c>
    </row>
    <row r="18" spans="2:12" x14ac:dyDescent="0.25">
      <c r="B18" t="s">
        <v>85</v>
      </c>
      <c r="C18" s="5">
        <v>10180</v>
      </c>
      <c r="D18" s="30">
        <f>(Table3[[#This Row],[Revenue]]-C17)/C17</f>
        <v>9.0285959087501338E-2</v>
      </c>
      <c r="E18" s="5">
        <v>-1168</v>
      </c>
      <c r="F18" s="30">
        <f>(Table3[[#This Row],[Dividend]]-E17)/E17</f>
        <v>0.10188679245283019</v>
      </c>
      <c r="G18" s="5">
        <v>6.72</v>
      </c>
      <c r="H18" s="30">
        <f>(Table3[[#This Row],[DivPerShare]]-G17)/G17</f>
        <v>0.11999999999999995</v>
      </c>
      <c r="I18" s="5">
        <v>53396.400999999998</v>
      </c>
      <c r="J18" s="30">
        <f>(Table3[[#This Row],[MarketValue]]-I17)/I17</f>
        <v>0.50871134680239982</v>
      </c>
      <c r="K18">
        <v>173.82900000000001</v>
      </c>
      <c r="L18" s="30">
        <f>(Table3[[#This Row],[SharesOutstanding]]-K17)/K17</f>
        <v>-2.3531328292644524E-2</v>
      </c>
    </row>
    <row r="19" spans="2:12" x14ac:dyDescent="0.25">
      <c r="B19" t="s">
        <v>86</v>
      </c>
      <c r="C19" s="5">
        <v>11081</v>
      </c>
      <c r="D19" s="30">
        <f>(Table3[[#This Row],[Revenue]]-C18)/C18</f>
        <v>8.8506876227897838E-2</v>
      </c>
      <c r="E19" s="5">
        <v>-1338</v>
      </c>
      <c r="F19" s="30">
        <f>(Table3[[#This Row],[Dividend]]-E18)/E18</f>
        <v>0.14554794520547945</v>
      </c>
      <c r="G19" s="5">
        <v>7.72</v>
      </c>
      <c r="H19" s="30">
        <f>(Table3[[#This Row],[DivPerShare]]-G18)/G18</f>
        <v>0.14880952380952381</v>
      </c>
      <c r="I19" s="5">
        <v>59684.63</v>
      </c>
      <c r="J19" s="30">
        <f>(Table3[[#This Row],[MarketValue]]-I18)/I18</f>
        <v>0.11776503438874091</v>
      </c>
      <c r="K19">
        <v>171.11199999999999</v>
      </c>
      <c r="L19" s="30">
        <f>(Table3[[#This Row],[SharesOutstanding]]-K18)/K18</f>
        <v>-1.5630303344091104E-2</v>
      </c>
    </row>
    <row r="20" spans="2:12" x14ac:dyDescent="0.25">
      <c r="B20" t="s">
        <v>87</v>
      </c>
      <c r="C20" s="5">
        <v>11401</v>
      </c>
      <c r="D20" s="30">
        <f>(Table3[[#This Row],[Revenue]]-C19)/C19</f>
        <v>2.8878260084829889E-2</v>
      </c>
      <c r="E20" s="5">
        <v>-1476</v>
      </c>
      <c r="F20" s="30">
        <f>(Table3[[#This Row],[Dividend]]-E19)/E19</f>
        <v>0.1031390134529148</v>
      </c>
      <c r="G20" s="5">
        <v>8.7200000000000006</v>
      </c>
      <c r="H20" s="30">
        <f>(Table3[[#This Row],[DivPerShare]]-G19)/G19</f>
        <v>0.12953367875647681</v>
      </c>
      <c r="I20" s="5">
        <v>56388.75</v>
      </c>
      <c r="J20" s="30">
        <f>(Table3[[#This Row],[MarketValue]]-I19)/I19</f>
        <v>-5.5221587199250417E-2</v>
      </c>
      <c r="K20">
        <v>169.03899999999999</v>
      </c>
      <c r="L20" s="30">
        <f>(Table3[[#This Row],[SharesOutstanding]]-K19)/K19</f>
        <v>-1.2114872130534431E-2</v>
      </c>
    </row>
    <row r="21" spans="2:12" x14ac:dyDescent="0.25">
      <c r="B21" t="s">
        <v>88</v>
      </c>
      <c r="C21" s="5">
        <v>12261</v>
      </c>
      <c r="D21" s="30">
        <f>(Table3[[#This Row],[Revenue]]-C20)/C20</f>
        <v>7.543197965090781E-2</v>
      </c>
      <c r="E21" s="5">
        <v>-1545</v>
      </c>
      <c r="F21" s="30">
        <f>(Table3[[#This Row],[Dividend]]-E20)/E20</f>
        <v>4.6747967479674794E-2</v>
      </c>
      <c r="G21" s="5">
        <v>9.16</v>
      </c>
      <c r="H21" s="30">
        <f>(Table3[[#This Row],[DivPerShare]]-G20)/G20</f>
        <v>5.0458715596330216E-2</v>
      </c>
      <c r="I21" s="5">
        <v>62074.065000000002</v>
      </c>
      <c r="J21" s="30">
        <f>(Table3[[#This Row],[MarketValue]]-I20)/I20</f>
        <v>0.10082356853095702</v>
      </c>
      <c r="K21">
        <v>166.58</v>
      </c>
      <c r="L21" s="30">
        <f>(Table3[[#This Row],[SharesOutstanding]]-K20)/K20</f>
        <v>-1.4546938872094458E-2</v>
      </c>
    </row>
    <row r="22" spans="2:12" x14ac:dyDescent="0.25">
      <c r="B22" t="s">
        <v>89</v>
      </c>
      <c r="C22" s="5">
        <v>13600</v>
      </c>
      <c r="D22" s="30">
        <f>(Table3[[#This Row],[Revenue]]-C21)/C21</f>
        <v>0.10920805807030422</v>
      </c>
      <c r="E22" s="5">
        <v>-1662</v>
      </c>
      <c r="F22" s="30">
        <f>(Table3[[#This Row],[Dividend]]-E21)/E21</f>
        <v>7.5728155339805828E-2</v>
      </c>
      <c r="G22" s="5">
        <v>10</v>
      </c>
      <c r="H22" s="30">
        <f>(Table3[[#This Row],[DivPerShare]]-G21)/G21</f>
        <v>9.170305676855893E-2</v>
      </c>
      <c r="I22" s="5">
        <v>82731.453999999998</v>
      </c>
      <c r="J22" s="30">
        <f>(Table3[[#This Row],[MarketValue]]-I21)/I21</f>
        <v>0.33278614828914449</v>
      </c>
      <c r="K22">
        <v>164.41499999999999</v>
      </c>
      <c r="L22" s="30">
        <f>(Table3[[#This Row],[SharesOutstanding]]-K21)/K21</f>
        <v>-1.299675831432357E-2</v>
      </c>
    </row>
    <row r="23" spans="2:12" x14ac:dyDescent="0.25">
      <c r="B23" t="s">
        <v>90</v>
      </c>
      <c r="C23" s="5">
        <v>14198</v>
      </c>
      <c r="D23" s="30">
        <f>(Table3[[#This Row],[Revenue]]-C22)/C22</f>
        <v>4.3970588235294115E-2</v>
      </c>
      <c r="E23" s="5">
        <v>-1968</v>
      </c>
      <c r="F23" s="30">
        <f>(Table3[[#This Row],[Dividend]]-E22)/E22</f>
        <v>0.18411552346570398</v>
      </c>
      <c r="G23" s="5">
        <v>12.02</v>
      </c>
      <c r="H23" s="30">
        <f>(Table3[[#This Row],[DivPerShare]]-G22)/G22</f>
        <v>0.20199999999999996</v>
      </c>
      <c r="I23" s="5">
        <v>62269.826000000001</v>
      </c>
      <c r="J23" s="30">
        <f>(Table3[[#This Row],[MarketValue]]-I22)/I22</f>
        <v>-0.24732585988395656</v>
      </c>
      <c r="K23">
        <v>161.94900000000001</v>
      </c>
      <c r="L23" s="30">
        <f>(Table3[[#This Row],[SharesOutstanding]]-K22)/K22</f>
        <v>-1.4998631511723261E-2</v>
      </c>
    </row>
    <row r="24" spans="2:12" x14ac:dyDescent="0.25">
      <c r="B24" t="s">
        <v>91</v>
      </c>
      <c r="C24" s="5">
        <v>14539</v>
      </c>
      <c r="D24" s="30">
        <f>(Table3[[#This Row],[Revenue]]-C23)/C23</f>
        <v>2.4017467248908297E-2</v>
      </c>
      <c r="E24" s="5">
        <v>-2096</v>
      </c>
      <c r="F24" s="30">
        <f>(Table3[[#This Row],[Dividend]]-E23)/E23</f>
        <v>6.5040650406504072E-2</v>
      </c>
      <c r="G24" s="5">
        <v>13.2</v>
      </c>
      <c r="H24" s="30">
        <f>(Table3[[#This Row],[DivPerShare]]-G23)/G23</f>
        <v>9.8169717138103144E-2</v>
      </c>
      <c r="I24" s="5">
        <v>78018.536999999997</v>
      </c>
      <c r="J24" s="30">
        <f>(Table3[[#This Row],[MarketValue]]-I23)/I23</f>
        <v>0.25291079181753284</v>
      </c>
      <c r="K24">
        <v>157.46</v>
      </c>
      <c r="L24" s="30">
        <f>(Table3[[#This Row],[SharesOutstanding]]-K23)/K23</f>
        <v>-2.7718602770007865E-2</v>
      </c>
    </row>
    <row r="25" spans="2:12" x14ac:dyDescent="0.25">
      <c r="B25" t="s">
        <v>92</v>
      </c>
      <c r="C25" s="5">
        <v>16205</v>
      </c>
      <c r="D25" s="30">
        <f>(Table3[[#This Row],[Revenue]]-C24)/C24</f>
        <v>0.11458834857968224</v>
      </c>
      <c r="E25" s="5">
        <v>-2260</v>
      </c>
      <c r="F25" s="30">
        <f>(Table3[[#This Row],[Dividend]]-E24)/E24</f>
        <v>7.8244274809160311E-2</v>
      </c>
      <c r="G25" s="5">
        <v>14.52</v>
      </c>
      <c r="H25" s="30">
        <f>(Table3[[#This Row],[DivPerShare]]-G24)/G24</f>
        <v>0.10000000000000003</v>
      </c>
      <c r="I25" s="5">
        <v>110058.66099999999</v>
      </c>
      <c r="J25" s="30">
        <f>(Table3[[#This Row],[MarketValue]]-I24)/I24</f>
        <v>0.41067322244199472</v>
      </c>
      <c r="K25">
        <v>154.84100000000001</v>
      </c>
      <c r="L25" s="30">
        <f>(Table3[[#This Row],[SharesOutstanding]]-K24)/K24</f>
        <v>-1.6632795630636351E-2</v>
      </c>
    </row>
    <row r="26" spans="2:12" x14ac:dyDescent="0.25">
      <c r="B26" t="s">
        <v>93</v>
      </c>
      <c r="C26" s="5">
        <v>19374</v>
      </c>
      <c r="D26" s="30">
        <f>(Table3[[#This Row],[Revenue]]-C25)/C25</f>
        <v>0.19555692687442147</v>
      </c>
      <c r="E26" s="5">
        <v>-2547</v>
      </c>
      <c r="F26" s="30">
        <f>(Table3[[#This Row],[Dividend]]-E25)/E25</f>
        <v>0.12699115044247788</v>
      </c>
      <c r="G26" s="5">
        <v>16.52</v>
      </c>
      <c r="H26" s="30">
        <f>(Table3[[#This Row],[DivPerShare]]-G25)/G25</f>
        <v>0.13774104683195593</v>
      </c>
      <c r="I26" s="5">
        <v>138875.80300000001</v>
      </c>
      <c r="J26" s="30">
        <f>(Table3[[#This Row],[MarketValue]]-I25)/I25</f>
        <v>0.26183438666403569</v>
      </c>
      <c r="K26">
        <v>154.404</v>
      </c>
      <c r="L26" s="30">
        <f>(Table3[[#This Row],[SharesOutstanding]]-K25)/K25</f>
        <v>-2.8222499208866631E-3</v>
      </c>
    </row>
    <row r="27" spans="2:12" x14ac:dyDescent="0.25">
      <c r="C27" s="5"/>
      <c r="D27" s="29"/>
      <c r="E27" s="5"/>
      <c r="F27" s="29"/>
      <c r="G27" s="5">
        <v>19.52</v>
      </c>
      <c r="H27" s="30">
        <f>(Table3[[#This Row],[DivPerShare]]-G26)/G26</f>
        <v>0.18159806295399517</v>
      </c>
      <c r="I27" s="5"/>
      <c r="J27" s="30"/>
      <c r="L27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26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70</v>
      </c>
      <c r="C3" s="5">
        <v>34.213999999999999</v>
      </c>
      <c r="D3" s="5">
        <v>-0.2</v>
      </c>
      <c r="E3" s="5">
        <v>-12.3</v>
      </c>
      <c r="F3" s="5">
        <f>Table6[[#This Row],[Issues]]+Table6[[#This Row],[BuyBack]]+Table6[[#This Row],[Dividend]]</f>
        <v>21.713999999999995</v>
      </c>
      <c r="I3" t="s">
        <v>70</v>
      </c>
      <c r="J3" s="5">
        <v>53.734999999999999</v>
      </c>
      <c r="K3" s="5">
        <v>45.320999999999998</v>
      </c>
      <c r="L3" s="5">
        <v>113.45</v>
      </c>
      <c r="M3" s="5">
        <v>2.5</v>
      </c>
      <c r="N3" s="5">
        <v>-0.2</v>
      </c>
      <c r="O3" s="5">
        <v>116.396</v>
      </c>
      <c r="P3" s="5">
        <v>324.38799999999998</v>
      </c>
      <c r="Q3" s="5">
        <v>309</v>
      </c>
      <c r="R3" s="5">
        <v>25.593</v>
      </c>
    </row>
    <row r="4" spans="2:18" x14ac:dyDescent="0.25">
      <c r="B4" t="s">
        <v>71</v>
      </c>
      <c r="C4" s="5">
        <v>118.245</v>
      </c>
      <c r="D4" s="5">
        <v>-0.55000000000000004</v>
      </c>
      <c r="E4" s="5">
        <v>0</v>
      </c>
      <c r="F4" s="5">
        <f>Table6[[#This Row],[Issues]]+Table6[[#This Row],[BuyBack]]+Table6[[#This Row],[Dividend]]</f>
        <v>117.69500000000001</v>
      </c>
      <c r="I4" t="s">
        <v>71</v>
      </c>
      <c r="J4" s="5">
        <v>116.32599999999999</v>
      </c>
      <c r="K4" s="5">
        <v>97.400999999999996</v>
      </c>
      <c r="L4" s="5">
        <v>157.12899999999999</v>
      </c>
      <c r="M4" s="5">
        <v>0</v>
      </c>
      <c r="N4" s="5">
        <v>0</v>
      </c>
      <c r="O4" s="5">
        <v>222.96600000000001</v>
      </c>
      <c r="P4" s="5">
        <v>224.61600000000001</v>
      </c>
      <c r="Q4" s="5">
        <v>119</v>
      </c>
      <c r="R4" s="5">
        <v>48.055999999999997</v>
      </c>
    </row>
    <row r="5" spans="2:18" x14ac:dyDescent="0.25">
      <c r="B5" t="s">
        <v>72</v>
      </c>
      <c r="C5" s="5">
        <v>1.1379999999999999</v>
      </c>
      <c r="D5" s="5">
        <v>-1.6E-2</v>
      </c>
      <c r="E5" s="5">
        <v>0</v>
      </c>
      <c r="F5" s="5">
        <f>Table6[[#This Row],[Issues]]+Table6[[#This Row],[BuyBack]]+Table6[[#This Row],[Dividend]]</f>
        <v>1.1219999999999999</v>
      </c>
      <c r="I5" t="s">
        <v>72</v>
      </c>
      <c r="J5" s="5">
        <v>108.607</v>
      </c>
      <c r="K5" s="5">
        <v>75.846000000000004</v>
      </c>
      <c r="L5" s="5">
        <v>192.59</v>
      </c>
      <c r="M5" s="5">
        <v>0</v>
      </c>
      <c r="N5" s="5">
        <v>-1.6E-2</v>
      </c>
      <c r="O5" s="5">
        <v>275.87400000000002</v>
      </c>
      <c r="P5" s="5">
        <v>261.12900000000002</v>
      </c>
      <c r="Q5" s="5">
        <v>157</v>
      </c>
      <c r="R5" s="5">
        <v>11.762</v>
      </c>
    </row>
    <row r="6" spans="2:18" x14ac:dyDescent="0.25">
      <c r="B6" t="s">
        <v>73</v>
      </c>
      <c r="C6" s="5">
        <v>1.94</v>
      </c>
      <c r="D6" s="5">
        <v>-7.407</v>
      </c>
      <c r="E6" s="5">
        <v>0</v>
      </c>
      <c r="F6" s="5">
        <f>Table6[[#This Row],[Issues]]+Table6[[#This Row],[BuyBack]]+Table6[[#This Row],[Dividend]]</f>
        <v>-5.4670000000000005</v>
      </c>
      <c r="I6" t="s">
        <v>73</v>
      </c>
      <c r="J6" s="5">
        <v>167.37299999999999</v>
      </c>
      <c r="K6" s="5">
        <v>126.89400000000001</v>
      </c>
      <c r="L6" s="5">
        <v>186.45099999999999</v>
      </c>
      <c r="M6" s="5">
        <v>0</v>
      </c>
      <c r="N6" s="5">
        <v>-0.60399999999999998</v>
      </c>
      <c r="O6" s="5">
        <v>186.45099999999999</v>
      </c>
      <c r="P6" s="5">
        <v>498.02699999999999</v>
      </c>
      <c r="Q6" s="5">
        <v>0</v>
      </c>
      <c r="R6" s="5">
        <v>198.36099999999999</v>
      </c>
    </row>
    <row r="7" spans="2:18" x14ac:dyDescent="0.25">
      <c r="B7" t="s">
        <v>74</v>
      </c>
      <c r="C7" s="5">
        <v>5.0380000000000003</v>
      </c>
      <c r="D7" s="5">
        <v>-12.444000000000001</v>
      </c>
      <c r="E7" s="5">
        <v>0</v>
      </c>
      <c r="F7" s="5">
        <f>Table6[[#This Row],[Issues]]+Table6[[#This Row],[BuyBack]]+Table6[[#This Row],[Dividend]]</f>
        <v>-7.4060000000000006</v>
      </c>
      <c r="I7" t="s">
        <v>74</v>
      </c>
      <c r="J7" s="5">
        <v>172.04499999999999</v>
      </c>
      <c r="K7" s="5">
        <v>129.21799999999999</v>
      </c>
      <c r="L7" s="5">
        <v>255.23400000000001</v>
      </c>
      <c r="M7" s="5">
        <v>0</v>
      </c>
      <c r="N7" s="5">
        <v>-5.431</v>
      </c>
      <c r="O7" s="5">
        <v>369.30399999999997</v>
      </c>
      <c r="P7" s="5">
        <v>494.88400000000001</v>
      </c>
      <c r="Q7" s="5">
        <v>211</v>
      </c>
      <c r="R7" s="5">
        <v>18.533999999999999</v>
      </c>
    </row>
    <row r="8" spans="2:18" x14ac:dyDescent="0.25">
      <c r="B8" t="s">
        <v>75</v>
      </c>
      <c r="C8" s="5">
        <v>7.5380000000000003</v>
      </c>
      <c r="D8" s="5">
        <v>-83.418000000000006</v>
      </c>
      <c r="E8" s="5">
        <v>-25.614000000000001</v>
      </c>
      <c r="F8" s="5">
        <f>Table6[[#This Row],[Issues]]+Table6[[#This Row],[BuyBack]]+Table6[[#This Row],[Dividend]]</f>
        <v>-101.49400000000001</v>
      </c>
      <c r="I8" t="s">
        <v>75</v>
      </c>
      <c r="J8" s="5">
        <v>179.595</v>
      </c>
      <c r="K8" s="5">
        <v>166.142</v>
      </c>
      <c r="L8" s="5">
        <v>315.94099999999997</v>
      </c>
      <c r="M8" s="5">
        <v>0</v>
      </c>
      <c r="N8" s="5">
        <v>-50.082999999999998</v>
      </c>
      <c r="O8" s="5">
        <v>443.25700000000001</v>
      </c>
      <c r="P8" s="5">
        <v>523.96600000000001</v>
      </c>
      <c r="Q8" s="5">
        <v>233</v>
      </c>
      <c r="R8" s="5">
        <v>19.675999999999998</v>
      </c>
    </row>
    <row r="9" spans="2:18" x14ac:dyDescent="0.25">
      <c r="B9" t="s">
        <v>76</v>
      </c>
      <c r="C9" s="5">
        <v>15.369</v>
      </c>
      <c r="D9" s="5">
        <v>-57.606999999999999</v>
      </c>
      <c r="E9" s="5">
        <v>-63.66</v>
      </c>
      <c r="F9" s="5">
        <f>Table6[[#This Row],[Issues]]+Table6[[#This Row],[BuyBack]]+Table6[[#This Row],[Dividend]]</f>
        <v>-105.898</v>
      </c>
      <c r="I9" t="s">
        <v>76</v>
      </c>
      <c r="J9" s="5">
        <v>231.358</v>
      </c>
      <c r="K9" s="5">
        <v>205.76599999999999</v>
      </c>
      <c r="L9" s="5">
        <v>457.673</v>
      </c>
      <c r="M9" s="5">
        <v>0</v>
      </c>
      <c r="N9" s="5">
        <v>-51.353999999999999</v>
      </c>
      <c r="O9" s="5">
        <v>612.61699999999996</v>
      </c>
      <c r="P9" s="5">
        <v>532.61800000000005</v>
      </c>
      <c r="Q9" s="5">
        <v>342</v>
      </c>
      <c r="R9" s="5">
        <v>17.713999999999999</v>
      </c>
    </row>
    <row r="10" spans="2:18" x14ac:dyDescent="0.25">
      <c r="B10" t="s">
        <v>77</v>
      </c>
      <c r="C10" s="5">
        <v>15.847</v>
      </c>
      <c r="D10" s="5">
        <v>-77.465999999999994</v>
      </c>
      <c r="E10" s="5">
        <v>-76.605999999999995</v>
      </c>
      <c r="F10" s="5">
        <f>Table6[[#This Row],[Issues]]+Table6[[#This Row],[BuyBack]]+Table6[[#This Row],[Dividend]]</f>
        <v>-138.22499999999999</v>
      </c>
      <c r="I10" t="s">
        <v>77</v>
      </c>
      <c r="J10" s="5">
        <v>254.93700000000001</v>
      </c>
      <c r="K10" s="5">
        <v>199.78299999999999</v>
      </c>
      <c r="L10" s="5">
        <v>484.22300000000001</v>
      </c>
      <c r="M10" s="5">
        <v>298.66800000000001</v>
      </c>
      <c r="N10" s="5">
        <v>-59.057000000000002</v>
      </c>
      <c r="O10" s="5">
        <v>1122.4690000000001</v>
      </c>
      <c r="P10" s="5">
        <v>725.53099999999995</v>
      </c>
      <c r="Q10" s="5">
        <v>587</v>
      </c>
      <c r="R10" s="5">
        <v>329.14299999999997</v>
      </c>
    </row>
    <row r="11" spans="2:18" x14ac:dyDescent="0.25">
      <c r="B11" t="s">
        <v>78</v>
      </c>
      <c r="C11" s="5">
        <v>6</v>
      </c>
      <c r="D11" s="5">
        <v>-31</v>
      </c>
      <c r="E11" s="5">
        <v>-136</v>
      </c>
      <c r="F11" s="5">
        <f>Table6[[#This Row],[Issues]]+Table6[[#This Row],[BuyBack]]+Table6[[#This Row],[Dividend]]</f>
        <v>-161</v>
      </c>
      <c r="I11" t="s">
        <v>78</v>
      </c>
      <c r="J11" s="5">
        <v>721</v>
      </c>
      <c r="K11" s="5">
        <v>637</v>
      </c>
      <c r="L11" s="5">
        <v>1160.3040000000001</v>
      </c>
      <c r="M11" s="5">
        <v>0</v>
      </c>
      <c r="N11" s="5">
        <v>-57.353999999999999</v>
      </c>
      <c r="O11" s="5">
        <v>2415.096</v>
      </c>
      <c r="P11" s="5">
        <v>18054.396000000001</v>
      </c>
      <c r="Q11" s="5">
        <v>2048.9479999999999</v>
      </c>
      <c r="R11" s="5">
        <v>6529.5720000000001</v>
      </c>
    </row>
    <row r="12" spans="2:18" x14ac:dyDescent="0.25">
      <c r="B12" t="s">
        <v>79</v>
      </c>
      <c r="C12" s="5">
        <v>7</v>
      </c>
      <c r="D12" s="5">
        <v>-383</v>
      </c>
      <c r="E12" s="5">
        <v>-353</v>
      </c>
      <c r="F12" s="5">
        <f>Table6[[#This Row],[Issues]]+Table6[[#This Row],[BuyBack]]+Table6[[#This Row],[Dividend]]</f>
        <v>-729</v>
      </c>
      <c r="I12" t="s">
        <v>79</v>
      </c>
      <c r="J12" s="5">
        <v>587</v>
      </c>
      <c r="K12" s="5">
        <v>476</v>
      </c>
      <c r="L12" s="5">
        <v>1656</v>
      </c>
      <c r="M12" s="5">
        <v>0</v>
      </c>
      <c r="N12" s="5">
        <v>-184</v>
      </c>
      <c r="O12" s="5">
        <v>3067</v>
      </c>
      <c r="P12" s="5">
        <v>19494</v>
      </c>
      <c r="Q12" s="5">
        <v>2290</v>
      </c>
      <c r="R12" s="5">
        <v>8097</v>
      </c>
    </row>
    <row r="13" spans="2:18" x14ac:dyDescent="0.25">
      <c r="B13" t="s">
        <v>80</v>
      </c>
      <c r="C13" s="5">
        <v>6</v>
      </c>
      <c r="D13" s="5">
        <v>-46</v>
      </c>
      <c r="E13" s="5">
        <v>-419</v>
      </c>
      <c r="F13" s="5">
        <f>Table6[[#This Row],[Issues]]+Table6[[#This Row],[BuyBack]]+Table6[[#This Row],[Dividend]]</f>
        <v>-459</v>
      </c>
      <c r="I13" t="s">
        <v>80</v>
      </c>
      <c r="J13" s="5">
        <v>1916</v>
      </c>
      <c r="K13" s="5">
        <v>1780</v>
      </c>
      <c r="L13" s="5">
        <v>2032</v>
      </c>
      <c r="M13" s="5">
        <v>0</v>
      </c>
      <c r="N13" s="5">
        <v>-58</v>
      </c>
      <c r="O13" s="5">
        <v>3242</v>
      </c>
      <c r="P13" s="5">
        <v>16682</v>
      </c>
      <c r="Q13" s="5">
        <v>1674</v>
      </c>
      <c r="R13" s="5">
        <v>5690</v>
      </c>
    </row>
    <row r="14" spans="2:18" x14ac:dyDescent="0.25">
      <c r="B14" t="s">
        <v>81</v>
      </c>
      <c r="C14" s="5">
        <v>2804</v>
      </c>
      <c r="D14" s="5">
        <v>-46</v>
      </c>
      <c r="E14" s="5">
        <v>-422</v>
      </c>
      <c r="F14" s="5">
        <f>Table6[[#This Row],[Issues]]+Table6[[#This Row],[BuyBack]]+Table6[[#This Row],[Dividend]]</f>
        <v>2336</v>
      </c>
      <c r="I14" t="s">
        <v>81</v>
      </c>
      <c r="J14" s="5">
        <v>1399</v>
      </c>
      <c r="K14" s="5">
        <v>1332</v>
      </c>
      <c r="L14" s="5">
        <v>4708</v>
      </c>
      <c r="M14" s="5">
        <v>0</v>
      </c>
      <c r="N14" s="5">
        <v>-3</v>
      </c>
      <c r="O14" s="5">
        <v>6615</v>
      </c>
      <c r="P14" s="5">
        <v>171509</v>
      </c>
      <c r="Q14" s="5">
        <v>5061</v>
      </c>
      <c r="R14" s="5">
        <v>148461</v>
      </c>
    </row>
    <row r="15" spans="2:18" x14ac:dyDescent="0.25">
      <c r="B15" t="s">
        <v>82</v>
      </c>
      <c r="C15" s="5">
        <v>6</v>
      </c>
      <c r="D15" s="5">
        <v>-264</v>
      </c>
      <c r="E15" s="5">
        <v>-776</v>
      </c>
      <c r="F15" s="5">
        <f>Table6[[#This Row],[Issues]]+Table6[[#This Row],[BuyBack]]+Table6[[#This Row],[Dividend]]</f>
        <v>-1034</v>
      </c>
      <c r="I15" t="s">
        <v>82</v>
      </c>
      <c r="J15" s="5">
        <v>2488</v>
      </c>
      <c r="K15" s="5">
        <v>2357</v>
      </c>
      <c r="L15" s="5">
        <v>3460</v>
      </c>
      <c r="M15" s="5">
        <v>0</v>
      </c>
      <c r="N15" s="5">
        <v>-111</v>
      </c>
      <c r="O15" s="5">
        <v>5705</v>
      </c>
      <c r="P15" s="5">
        <v>172754</v>
      </c>
      <c r="Q15" s="5">
        <v>2745</v>
      </c>
      <c r="R15" s="5">
        <v>149380</v>
      </c>
    </row>
    <row r="16" spans="2:18" x14ac:dyDescent="0.25">
      <c r="B16" t="s">
        <v>83</v>
      </c>
      <c r="C16" s="5">
        <v>5</v>
      </c>
      <c r="D16" s="5">
        <v>-2885</v>
      </c>
      <c r="E16" s="5">
        <v>-1014</v>
      </c>
      <c r="F16" s="5">
        <f>Table6[[#This Row],[Issues]]+Table6[[#This Row],[BuyBack]]+Table6[[#This Row],[Dividend]]</f>
        <v>-3894</v>
      </c>
      <c r="I16" t="s">
        <v>83</v>
      </c>
      <c r="J16" s="5">
        <v>2826</v>
      </c>
      <c r="K16" s="5">
        <v>2579</v>
      </c>
      <c r="L16" s="5">
        <v>3560</v>
      </c>
      <c r="M16" s="5">
        <v>0</v>
      </c>
      <c r="N16" s="5">
        <v>-219</v>
      </c>
      <c r="O16" s="5">
        <v>28219</v>
      </c>
      <c r="P16" s="5">
        <v>151677</v>
      </c>
      <c r="Q16" s="5">
        <v>1045</v>
      </c>
      <c r="R16" s="5">
        <v>153489</v>
      </c>
    </row>
    <row r="17" spans="2:18" x14ac:dyDescent="0.25">
      <c r="B17" t="s">
        <v>84</v>
      </c>
      <c r="C17" s="5">
        <v>7</v>
      </c>
      <c r="D17" s="5">
        <v>-1645</v>
      </c>
      <c r="E17" s="5">
        <v>-1060</v>
      </c>
      <c r="F17" s="5">
        <f>Table6[[#This Row],[Issues]]+Table6[[#This Row],[BuyBack]]+Table6[[#This Row],[Dividend]]</f>
        <v>-2698</v>
      </c>
      <c r="I17" t="s">
        <v>84</v>
      </c>
      <c r="J17" s="5">
        <v>2240</v>
      </c>
      <c r="K17" s="5">
        <v>2090</v>
      </c>
      <c r="L17" s="5">
        <v>4903</v>
      </c>
      <c r="M17" s="5">
        <v>0</v>
      </c>
      <c r="N17" s="5">
        <v>-432</v>
      </c>
      <c r="O17" s="5">
        <v>32438</v>
      </c>
      <c r="P17" s="5">
        <v>168013</v>
      </c>
      <c r="Q17" s="5">
        <v>1155</v>
      </c>
      <c r="R17" s="5">
        <v>173679</v>
      </c>
    </row>
    <row r="18" spans="2:18" x14ac:dyDescent="0.25">
      <c r="B18" t="s">
        <v>85</v>
      </c>
      <c r="C18" s="5">
        <v>7</v>
      </c>
      <c r="D18" s="5">
        <v>-1243</v>
      </c>
      <c r="E18" s="5">
        <v>-1168</v>
      </c>
      <c r="F18" s="5">
        <f>Table6[[#This Row],[Issues]]+Table6[[#This Row],[BuyBack]]+Table6[[#This Row],[Dividend]]</f>
        <v>-2404</v>
      </c>
      <c r="I18" t="s">
        <v>85</v>
      </c>
      <c r="J18" s="5">
        <v>3642</v>
      </c>
      <c r="K18" s="5">
        <v>3548</v>
      </c>
      <c r="L18" s="5">
        <v>4551</v>
      </c>
      <c r="M18" s="5">
        <v>0</v>
      </c>
      <c r="N18" s="5">
        <v>-1210</v>
      </c>
      <c r="O18" s="5">
        <v>30911</v>
      </c>
      <c r="P18" s="5">
        <v>188962</v>
      </c>
      <c r="Q18" s="5">
        <v>1084</v>
      </c>
      <c r="R18" s="5">
        <v>192119</v>
      </c>
    </row>
    <row r="19" spans="2:18" x14ac:dyDescent="0.25">
      <c r="B19" t="s">
        <v>86</v>
      </c>
      <c r="C19" s="5">
        <v>0</v>
      </c>
      <c r="D19" s="5">
        <v>-1344</v>
      </c>
      <c r="E19" s="5">
        <v>-1338</v>
      </c>
      <c r="F19" s="5">
        <f>Table6[[#This Row],[Issues]]+Table6[[#This Row],[BuyBack]]+Table6[[#This Row],[Dividend]]</f>
        <v>-2682</v>
      </c>
      <c r="I19" t="s">
        <v>86</v>
      </c>
      <c r="J19" s="5">
        <v>3087</v>
      </c>
      <c r="K19" s="5">
        <v>3021</v>
      </c>
      <c r="L19" s="5">
        <v>6001</v>
      </c>
      <c r="M19" s="5">
        <v>0</v>
      </c>
      <c r="N19" s="5">
        <v>-1894</v>
      </c>
      <c r="O19" s="5">
        <v>45095</v>
      </c>
      <c r="P19" s="5">
        <v>194697</v>
      </c>
      <c r="Q19" s="5">
        <v>1035</v>
      </c>
      <c r="R19" s="5">
        <v>211237</v>
      </c>
    </row>
    <row r="20" spans="2:18" x14ac:dyDescent="0.25">
      <c r="B20" t="s">
        <v>87</v>
      </c>
      <c r="C20" s="5">
        <v>0</v>
      </c>
      <c r="D20" s="5">
        <v>-1331</v>
      </c>
      <c r="E20" s="5">
        <v>-1476</v>
      </c>
      <c r="F20" s="5">
        <f>Table6[[#This Row],[Issues]]+Table6[[#This Row],[BuyBack]]+Table6[[#This Row],[Dividend]]</f>
        <v>-2807</v>
      </c>
      <c r="I20" t="s">
        <v>87</v>
      </c>
      <c r="J20" s="5">
        <v>3004</v>
      </c>
      <c r="K20" s="5">
        <v>2783</v>
      </c>
      <c r="L20" s="5">
        <v>6231</v>
      </c>
      <c r="M20" s="5">
        <v>0</v>
      </c>
      <c r="N20" s="5">
        <v>-2489</v>
      </c>
      <c r="O20" s="5">
        <v>40834</v>
      </c>
      <c r="P20" s="5">
        <v>184427</v>
      </c>
      <c r="Q20" s="5">
        <v>1068</v>
      </c>
      <c r="R20" s="5">
        <v>195149</v>
      </c>
    </row>
    <row r="21" spans="2:18" x14ac:dyDescent="0.25">
      <c r="B21" t="s">
        <v>88</v>
      </c>
      <c r="C21" s="5">
        <v>0</v>
      </c>
      <c r="D21" s="5">
        <v>-1399</v>
      </c>
      <c r="E21" s="5">
        <v>-1545</v>
      </c>
      <c r="F21" s="5">
        <f>Table6[[#This Row],[Issues]]+Table6[[#This Row],[BuyBack]]+Table6[[#This Row],[Dividend]]</f>
        <v>-2944</v>
      </c>
      <c r="I21" t="s">
        <v>88</v>
      </c>
      <c r="J21" s="5">
        <v>2273</v>
      </c>
      <c r="K21" s="5">
        <v>2154</v>
      </c>
      <c r="L21" s="5">
        <v>6175</v>
      </c>
      <c r="M21" s="5">
        <v>0</v>
      </c>
      <c r="N21" s="5">
        <v>-3185</v>
      </c>
      <c r="O21" s="5">
        <v>37090</v>
      </c>
      <c r="P21" s="5">
        <v>183087</v>
      </c>
      <c r="Q21" s="5">
        <v>880</v>
      </c>
      <c r="R21" s="5">
        <v>189953</v>
      </c>
    </row>
    <row r="22" spans="2:18" x14ac:dyDescent="0.25">
      <c r="B22" t="s">
        <v>89</v>
      </c>
      <c r="C22" s="5">
        <v>0</v>
      </c>
      <c r="D22" s="5">
        <v>-1421</v>
      </c>
      <c r="E22" s="5">
        <v>-1662</v>
      </c>
      <c r="F22" s="5">
        <f>Table6[[#This Row],[Issues]]+Table6[[#This Row],[BuyBack]]+Table6[[#This Row],[Dividend]]</f>
        <v>-3083</v>
      </c>
      <c r="I22" t="s">
        <v>89</v>
      </c>
      <c r="J22" s="5">
        <v>3950</v>
      </c>
      <c r="K22" s="5">
        <v>3795</v>
      </c>
      <c r="L22" s="5">
        <v>7038</v>
      </c>
      <c r="M22" s="5">
        <v>0</v>
      </c>
      <c r="N22" s="5">
        <v>-3967</v>
      </c>
      <c r="O22" s="5">
        <v>35420</v>
      </c>
      <c r="P22" s="5">
        <v>184821</v>
      </c>
      <c r="Q22" s="5">
        <v>1161</v>
      </c>
      <c r="R22" s="5">
        <v>186816</v>
      </c>
    </row>
    <row r="23" spans="2:18" x14ac:dyDescent="0.25">
      <c r="B23" t="s">
        <v>90</v>
      </c>
      <c r="C23" s="5">
        <v>0</v>
      </c>
      <c r="D23" s="5">
        <v>-2087</v>
      </c>
      <c r="E23" s="5">
        <v>-1968</v>
      </c>
      <c r="F23" s="5">
        <f>Table6[[#This Row],[Issues]]+Table6[[#This Row],[BuyBack]]+Table6[[#This Row],[Dividend]]</f>
        <v>-4055</v>
      </c>
      <c r="I23" t="s">
        <v>90</v>
      </c>
      <c r="J23" s="5">
        <v>3075</v>
      </c>
      <c r="K23" s="5">
        <v>2871</v>
      </c>
      <c r="L23" s="5">
        <v>6488</v>
      </c>
      <c r="M23" s="5">
        <v>0</v>
      </c>
      <c r="N23" s="5">
        <v>-5387</v>
      </c>
      <c r="O23" s="5">
        <v>29800</v>
      </c>
      <c r="P23" s="5">
        <v>129773</v>
      </c>
      <c r="Q23" s="5">
        <v>1292</v>
      </c>
      <c r="R23" s="5">
        <v>124741</v>
      </c>
    </row>
    <row r="24" spans="2:18" x14ac:dyDescent="0.25">
      <c r="B24" t="s">
        <v>91</v>
      </c>
      <c r="C24" s="5">
        <v>0</v>
      </c>
      <c r="D24" s="5">
        <v>-1911</v>
      </c>
      <c r="E24" s="5">
        <v>-2096</v>
      </c>
      <c r="F24" s="5">
        <f>Table6[[#This Row],[Issues]]+Table6[[#This Row],[BuyBack]]+Table6[[#This Row],[Dividend]]</f>
        <v>-4007</v>
      </c>
      <c r="I24" t="s">
        <v>91</v>
      </c>
      <c r="J24" s="5">
        <v>2884</v>
      </c>
      <c r="K24" s="5">
        <v>2630</v>
      </c>
      <c r="L24" s="5">
        <v>4829</v>
      </c>
      <c r="M24" s="5">
        <v>0</v>
      </c>
      <c r="N24" s="5">
        <v>-6732</v>
      </c>
      <c r="O24" s="5">
        <v>23474</v>
      </c>
      <c r="P24" s="5">
        <v>145148</v>
      </c>
      <c r="Q24" s="5">
        <v>1167</v>
      </c>
      <c r="R24" s="5">
        <v>132526</v>
      </c>
    </row>
    <row r="25" spans="2:18" x14ac:dyDescent="0.25">
      <c r="B25" t="s">
        <v>92</v>
      </c>
      <c r="C25" s="5">
        <v>0</v>
      </c>
      <c r="D25" s="5">
        <v>-1809</v>
      </c>
      <c r="E25" s="5">
        <v>-2260</v>
      </c>
      <c r="F25" s="5">
        <f>Table6[[#This Row],[Issues]]+Table6[[#This Row],[BuyBack]]+Table6[[#This Row],[Dividend]]</f>
        <v>-4069</v>
      </c>
      <c r="I25" t="s">
        <v>92</v>
      </c>
      <c r="J25" s="5">
        <v>3743</v>
      </c>
      <c r="K25" s="5">
        <v>3549</v>
      </c>
      <c r="L25" s="5">
        <v>8664</v>
      </c>
      <c r="M25" s="5">
        <v>0</v>
      </c>
      <c r="N25" s="5">
        <v>-8009</v>
      </c>
      <c r="O25" s="5">
        <v>28706</v>
      </c>
      <c r="P25" s="5">
        <v>148276</v>
      </c>
      <c r="Q25" s="5">
        <v>1028</v>
      </c>
      <c r="R25" s="5">
        <v>138298</v>
      </c>
    </row>
    <row r="26" spans="2:18" x14ac:dyDescent="0.25">
      <c r="B26" t="s">
        <v>93</v>
      </c>
      <c r="C26" s="5">
        <v>0</v>
      </c>
      <c r="D26" s="5">
        <v>-1485</v>
      </c>
      <c r="E26" s="5">
        <v>-2547</v>
      </c>
      <c r="F26" s="5">
        <f>Table6[[#This Row],[Issues]]+Table6[[#This Row],[BuyBack]]+Table6[[#This Row],[Dividend]]</f>
        <v>-4032</v>
      </c>
      <c r="I26" t="s">
        <v>93</v>
      </c>
      <c r="J26" s="5">
        <v>4944</v>
      </c>
      <c r="K26" s="5">
        <v>4603</v>
      </c>
      <c r="L26" s="5">
        <v>9323</v>
      </c>
      <c r="M26" s="5">
        <v>0</v>
      </c>
      <c r="N26" s="5">
        <v>-9087</v>
      </c>
      <c r="O26" s="5">
        <v>20193</v>
      </c>
      <c r="P26" s="5">
        <v>132455</v>
      </c>
      <c r="Q26" s="5">
        <v>1397</v>
      </c>
      <c r="R26" s="5">
        <v>112358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11" sqref="D11"/>
    </sheetView>
  </sheetViews>
  <sheetFormatPr defaultRowHeight="15" x14ac:dyDescent="0.25"/>
  <sheetData>
    <row r="2" spans="3:12" x14ac:dyDescent="0.25">
      <c r="C2" s="32" t="s">
        <v>58</v>
      </c>
      <c r="D2" s="32"/>
      <c r="G2" s="33" t="s">
        <v>63</v>
      </c>
      <c r="H2" s="33"/>
      <c r="K2" s="34" t="s">
        <v>64</v>
      </c>
      <c r="L2" s="35"/>
    </row>
    <row r="3" spans="3:12" x14ac:dyDescent="0.25">
      <c r="C3" s="32"/>
      <c r="D3" s="32"/>
      <c r="G3" s="33"/>
      <c r="H3" s="33"/>
      <c r="K3" s="35"/>
      <c r="L3" s="35"/>
    </row>
    <row r="4" spans="3:12" x14ac:dyDescent="0.25">
      <c r="C4" s="18" t="s">
        <v>59</v>
      </c>
      <c r="D4" s="19">
        <v>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0.12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22"/>
  <sheetViews>
    <sheetView workbookViewId="0">
      <selection activeCell="L5" sqref="L5"/>
    </sheetView>
  </sheetViews>
  <sheetFormatPr defaultRowHeight="15" x14ac:dyDescent="0.25"/>
  <cols>
    <col min="3" max="3" width="10" customWidth="1"/>
    <col min="4" max="4" width="14.42578125" customWidth="1"/>
    <col min="13" max="20" width="10.5703125" bestFit="1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69</v>
      </c>
      <c r="I2" s="36" t="s">
        <v>94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2003</v>
      </c>
      <c r="C3" s="5">
        <v>0.4</v>
      </c>
      <c r="D3" s="1">
        <v>45.564999999999998</v>
      </c>
      <c r="E3" s="2">
        <f>Table7[[#This Row],[Coupon]]/Table7[[#This Row],[PriceMedian]]</f>
        <v>8.7786678371557132E-3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5">
        <v>1</v>
      </c>
      <c r="D4" s="1">
        <v>63.365000000000002</v>
      </c>
      <c r="E4" s="2">
        <f>Table7[[#This Row],[Coupon]]/Table7[[#This Row],[PriceMedian]]</f>
        <v>1.5781582892764143E-2</v>
      </c>
      <c r="I4" t="s">
        <v>66</v>
      </c>
      <c r="J4" s="5">
        <v>19.52</v>
      </c>
      <c r="K4" s="5">
        <f>(J4*$J6)+J4</f>
        <v>21.472000000000001</v>
      </c>
      <c r="L4" s="5">
        <f t="shared" ref="L4:T4" si="0">(K4*$J6)+K4</f>
        <v>23.619200000000003</v>
      </c>
      <c r="M4" s="5">
        <f t="shared" si="0"/>
        <v>25.981120000000004</v>
      </c>
      <c r="N4" s="5">
        <f t="shared" si="0"/>
        <v>28.579232000000005</v>
      </c>
      <c r="O4" s="5">
        <f t="shared" si="0"/>
        <v>31.437155200000007</v>
      </c>
      <c r="P4" s="5">
        <f t="shared" si="0"/>
        <v>34.580870720000007</v>
      </c>
      <c r="Q4" s="5">
        <f t="shared" si="0"/>
        <v>38.038957792000005</v>
      </c>
      <c r="R4" s="5">
        <f t="shared" si="0"/>
        <v>41.842853571200003</v>
      </c>
      <c r="S4" s="5">
        <f t="shared" si="0"/>
        <v>46.027138928319999</v>
      </c>
      <c r="T4" s="5">
        <f t="shared" si="0"/>
        <v>50.629852821151999</v>
      </c>
    </row>
    <row r="5" spans="2:20" x14ac:dyDescent="0.25">
      <c r="B5">
        <v>2005</v>
      </c>
      <c r="C5" s="5">
        <v>1.2</v>
      </c>
      <c r="D5" s="1">
        <v>81.5</v>
      </c>
      <c r="E5" s="2">
        <f>Table7[[#This Row],[Coupon]]/Table7[[#This Row],[PriceMedian]]</f>
        <v>1.4723926380368098E-2</v>
      </c>
      <c r="I5" t="s">
        <v>67</v>
      </c>
      <c r="J5" s="5">
        <v>697</v>
      </c>
      <c r="K5" s="1">
        <f>K4/$J7</f>
        <v>858.88</v>
      </c>
      <c r="L5" s="1">
        <f t="shared" ref="L5:T5" si="1">L4/$J7</f>
        <v>944.76800000000003</v>
      </c>
      <c r="M5" s="1">
        <f t="shared" si="1"/>
        <v>1039.2448000000002</v>
      </c>
      <c r="N5" s="1">
        <f t="shared" si="1"/>
        <v>1143.1692800000001</v>
      </c>
      <c r="O5" s="1">
        <f t="shared" si="1"/>
        <v>1257.4862080000003</v>
      </c>
      <c r="P5" s="1">
        <f t="shared" si="1"/>
        <v>1383.2348288000003</v>
      </c>
      <c r="Q5" s="1">
        <f t="shared" si="1"/>
        <v>1521.5583116800001</v>
      </c>
      <c r="R5" s="1">
        <f t="shared" si="1"/>
        <v>1673.7141428479999</v>
      </c>
      <c r="S5" s="1">
        <f t="shared" si="1"/>
        <v>1841.0855571328</v>
      </c>
      <c r="T5" s="1">
        <f t="shared" si="1"/>
        <v>2025.1941128460799</v>
      </c>
    </row>
    <row r="6" spans="2:20" x14ac:dyDescent="0.25">
      <c r="B6">
        <v>2006</v>
      </c>
      <c r="C6" s="5">
        <v>1.68</v>
      </c>
      <c r="D6" s="1">
        <v>139.88999999999999</v>
      </c>
      <c r="E6" s="2">
        <f>Table7[[#This Row],[Coupon]]/Table7[[#This Row],[PriceMedian]]</f>
        <v>1.2009435985417115E-2</v>
      </c>
      <c r="I6" t="s">
        <v>68</v>
      </c>
      <c r="J6" s="28">
        <v>0.1</v>
      </c>
    </row>
    <row r="7" spans="2:20" x14ac:dyDescent="0.25">
      <c r="B7">
        <v>2007</v>
      </c>
      <c r="C7" s="5">
        <v>2.68</v>
      </c>
      <c r="D7" s="1">
        <v>163.44999999999999</v>
      </c>
      <c r="E7" s="2">
        <f>Table7[[#This Row],[Coupon]]/Table7[[#This Row],[PriceMedian]]</f>
        <v>1.6396451514224537E-2</v>
      </c>
      <c r="I7" t="s">
        <v>95</v>
      </c>
      <c r="J7" s="2">
        <v>2.5000000000000001E-2</v>
      </c>
    </row>
    <row r="8" spans="2:20" x14ac:dyDescent="0.25">
      <c r="B8">
        <v>2008</v>
      </c>
      <c r="C8" s="5">
        <v>3.12</v>
      </c>
      <c r="D8" s="1">
        <v>202.36</v>
      </c>
      <c r="E8" s="2">
        <f>Table7[[#This Row],[Coupon]]/Table7[[#This Row],[PriceMedian]]</f>
        <v>1.541806681162285E-2</v>
      </c>
      <c r="I8" t="s">
        <v>69</v>
      </c>
      <c r="J8" s="2">
        <f>J4/$J5</f>
        <v>2.8005738880918219E-2</v>
      </c>
      <c r="K8" s="2">
        <f t="shared" ref="K8:T8" si="2">K4/$J5</f>
        <v>3.0806312769010046E-2</v>
      </c>
      <c r="L8" s="2">
        <f t="shared" si="2"/>
        <v>3.3886944045911055E-2</v>
      </c>
      <c r="M8" s="2">
        <f t="shared" si="2"/>
        <v>3.7275638450502156E-2</v>
      </c>
      <c r="N8" s="2">
        <f t="shared" si="2"/>
        <v>4.1003202295552377E-2</v>
      </c>
      <c r="O8" s="2">
        <f t="shared" si="2"/>
        <v>4.510352252510761E-2</v>
      </c>
      <c r="P8" s="2">
        <f t="shared" si="2"/>
        <v>4.9613874777618375E-2</v>
      </c>
      <c r="Q8" s="2">
        <f t="shared" si="2"/>
        <v>5.4575262255380209E-2</v>
      </c>
      <c r="R8" s="2">
        <f t="shared" si="2"/>
        <v>6.0032788480918226E-2</v>
      </c>
      <c r="S8" s="2">
        <f t="shared" si="2"/>
        <v>6.6036067329010045E-2</v>
      </c>
      <c r="T8" s="2">
        <f t="shared" si="2"/>
        <v>7.2639674061911047E-2</v>
      </c>
    </row>
    <row r="9" spans="2:20" x14ac:dyDescent="0.25">
      <c r="B9">
        <v>2009</v>
      </c>
      <c r="C9" s="5">
        <v>3.12</v>
      </c>
      <c r="D9" s="1">
        <v>175.36</v>
      </c>
      <c r="E9" s="2">
        <f>Table7[[#This Row],[Coupon]]/Table7[[#This Row],[PriceMedian]]</f>
        <v>1.7791970802919707E-2</v>
      </c>
    </row>
    <row r="10" spans="2:20" x14ac:dyDescent="0.25">
      <c r="B10">
        <v>2010</v>
      </c>
      <c r="C10" s="5">
        <v>4</v>
      </c>
      <c r="D10" s="1">
        <v>171.37</v>
      </c>
      <c r="E10" s="2">
        <f>Table7[[#This Row],[Coupon]]/Table7[[#This Row],[PriceMedian]]</f>
        <v>2.3341308280329112E-2</v>
      </c>
    </row>
    <row r="11" spans="2:20" x14ac:dyDescent="0.25">
      <c r="B11">
        <v>2011</v>
      </c>
      <c r="C11" s="5">
        <v>5.5</v>
      </c>
      <c r="D11" s="1">
        <v>185.76</v>
      </c>
      <c r="E11" s="2">
        <f>Table7[[#This Row],[Coupon]]/Table7[[#This Row],[PriceMedian]]</f>
        <v>2.9608096468561586E-2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0" x14ac:dyDescent="0.25">
      <c r="B12">
        <v>2012</v>
      </c>
      <c r="C12" s="5">
        <v>6</v>
      </c>
      <c r="D12" s="1">
        <v>186.58499999999901</v>
      </c>
      <c r="E12" s="2">
        <f>Table7[[#This Row],[Coupon]]/Table7[[#This Row],[PriceMedian]]</f>
        <v>3.2156925797893893E-2</v>
      </c>
    </row>
    <row r="13" spans="2:20" x14ac:dyDescent="0.25">
      <c r="B13">
        <v>2013</v>
      </c>
      <c r="C13" s="5">
        <v>6.72</v>
      </c>
      <c r="D13" s="1">
        <v>269.73500000000001</v>
      </c>
      <c r="E13" s="2">
        <f>Table7[[#This Row],[Coupon]]/Table7[[#This Row],[PriceMedian]]</f>
        <v>2.4913340871596194E-2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2014</v>
      </c>
      <c r="C14" s="5">
        <v>7.72</v>
      </c>
      <c r="D14" s="1">
        <v>315.159999999999</v>
      </c>
      <c r="E14" s="2">
        <f>Table7[[#This Row],[Coupon]]/Table7[[#This Row],[PriceMedian]]</f>
        <v>2.4495494352075212E-2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5">
        <v>8.7200000000000006</v>
      </c>
      <c r="D15" s="1">
        <v>352.164999999999</v>
      </c>
      <c r="E15" s="2">
        <f>Table7[[#This Row],[Coupon]]/Table7[[#This Row],[PriceMedian]]</f>
        <v>2.4761120497494144E-2</v>
      </c>
      <c r="J15" s="28"/>
    </row>
    <row r="16" spans="2:20" x14ac:dyDescent="0.25">
      <c r="B16">
        <v>2016</v>
      </c>
      <c r="C16" s="5">
        <v>9.16</v>
      </c>
      <c r="D16" s="1">
        <v>356.17999999999898</v>
      </c>
      <c r="E16" s="2">
        <f>Table7[[#This Row],[Coupon]]/Table7[[#This Row],[PriceMedian]]</f>
        <v>2.5717333932281504E-2</v>
      </c>
      <c r="J16" s="2"/>
    </row>
    <row r="17" spans="2:20" x14ac:dyDescent="0.25">
      <c r="B17">
        <v>2017</v>
      </c>
      <c r="C17" s="5">
        <v>10</v>
      </c>
      <c r="D17" s="1">
        <v>419.31</v>
      </c>
      <c r="E17" s="2">
        <f>Table7[[#This Row],[Coupon]]/Table7[[#This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5">
        <v>12.02</v>
      </c>
      <c r="D18" s="1">
        <v>508.51</v>
      </c>
      <c r="E18" s="2">
        <f>Table7[[#This Row],[Coupon]]/Table7[[#This Row],[PriceMedian]]</f>
        <v>2.3637686574501975E-2</v>
      </c>
    </row>
    <row r="19" spans="2:20" x14ac:dyDescent="0.25">
      <c r="B19">
        <v>2019</v>
      </c>
      <c r="C19" s="5">
        <v>13.2</v>
      </c>
      <c r="D19" s="1">
        <v>443.495</v>
      </c>
      <c r="E19" s="2">
        <f>Table7[[#This Row],[Coupon]]/Table7[[#This Row],[PriceMedian]]</f>
        <v>2.9763582453015251E-2</v>
      </c>
    </row>
    <row r="20" spans="2:20" x14ac:dyDescent="0.25">
      <c r="B20">
        <v>2020</v>
      </c>
      <c r="C20" s="5">
        <v>14.52</v>
      </c>
      <c r="D20" s="1">
        <v>555.23</v>
      </c>
      <c r="E20" s="2">
        <f>Table7[[#This Row],[Coupon]]/Table7[[#This Row],[PriceMedian]]</f>
        <v>2.6151324676260287E-2</v>
      </c>
    </row>
    <row r="21" spans="2:20" x14ac:dyDescent="0.25">
      <c r="B21">
        <v>2021</v>
      </c>
      <c r="C21" s="5">
        <v>16.52</v>
      </c>
      <c r="D21" s="1">
        <v>871.49</v>
      </c>
      <c r="E21" s="2">
        <f>Table7[[#This Row],[Coupon]]/Table7[[#This Row],[PriceMedian]]</f>
        <v>1.8956040803681053E-2</v>
      </c>
    </row>
    <row r="22" spans="2:20" x14ac:dyDescent="0.25">
      <c r="B22">
        <v>2022</v>
      </c>
      <c r="C22" s="5">
        <v>19.52</v>
      </c>
      <c r="D22" s="1">
        <v>756.02</v>
      </c>
      <c r="E22" s="2">
        <f>Table7[[#This Row],[Coupon]]/Table7[[#This Row],[PriceMedian]]</f>
        <v>2.5819422766593478E-2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Aesop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2022-05-04T16:41:06Z</dcterms:modified>
</cp:coreProperties>
</file>