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MSFT/"/>
    </mc:Choice>
  </mc:AlternateContent>
  <xr:revisionPtr revIDLastSave="55" documentId="8_{7A6CE446-B20A-4930-B45C-FBB31472D9BD}" xr6:coauthVersionLast="47" xr6:coauthVersionMax="47" xr10:uidLastSave="{D63191BE-9FEE-4E7D-A98A-2CD976F00B2C}"/>
  <bookViews>
    <workbookView xWindow="-90" yWindow="-16320" windowWidth="29040" windowHeight="15720" tabRatio="720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G23" i="10"/>
  <c r="H2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33" i="9"/>
  <c r="F33" i="9"/>
  <c r="J33" i="9"/>
  <c r="L33" i="9"/>
  <c r="H33" i="9"/>
  <c r="F27" i="2" l="1"/>
  <c r="F28" i="2"/>
  <c r="F29" i="2"/>
  <c r="F30" i="2"/>
  <c r="F31" i="2"/>
  <c r="F32" i="2"/>
  <c r="I27" i="2"/>
  <c r="I28" i="2"/>
  <c r="I29" i="2"/>
  <c r="I30" i="2"/>
  <c r="I31" i="2"/>
  <c r="I32" i="2"/>
  <c r="K27" i="2"/>
  <c r="K28" i="2"/>
  <c r="K29" i="2"/>
  <c r="K30" i="2"/>
  <c r="K31" i="2"/>
  <c r="K32" i="2"/>
  <c r="M27" i="2"/>
  <c r="M28" i="2"/>
  <c r="M29" i="2"/>
  <c r="M30" i="2"/>
  <c r="M31" i="2"/>
  <c r="M32" i="2"/>
  <c r="O27" i="2"/>
  <c r="O28" i="2"/>
  <c r="O29" i="2"/>
  <c r="O30" i="2"/>
  <c r="O31" i="2"/>
  <c r="O32" i="2"/>
  <c r="Q27" i="2"/>
  <c r="Q28" i="2"/>
  <c r="Q29" i="2"/>
  <c r="Q30" i="2"/>
  <c r="Q31" i="2"/>
  <c r="Q32" i="2"/>
  <c r="S27" i="2"/>
  <c r="S28" i="2"/>
  <c r="S29" i="2"/>
  <c r="S30" i="2"/>
  <c r="S31" i="2"/>
  <c r="S32" i="2"/>
  <c r="L27" i="9"/>
  <c r="L28" i="9"/>
  <c r="L29" i="9"/>
  <c r="L30" i="9"/>
  <c r="L31" i="9"/>
  <c r="L32" i="9"/>
  <c r="J27" i="9"/>
  <c r="J28" i="9"/>
  <c r="J29" i="9"/>
  <c r="J30" i="9"/>
  <c r="J31" i="9"/>
  <c r="J32" i="9"/>
  <c r="H28" i="9"/>
  <c r="H29" i="9"/>
  <c r="H30" i="9"/>
  <c r="H31" i="9"/>
  <c r="H32" i="9"/>
  <c r="F27" i="9"/>
  <c r="F28" i="9"/>
  <c r="F29" i="9"/>
  <c r="F30" i="9"/>
  <c r="F31" i="9"/>
  <c r="F32" i="9"/>
  <c r="D27" i="9"/>
  <c r="D28" i="9"/>
  <c r="D29" i="9"/>
  <c r="D30" i="9"/>
  <c r="D31" i="9"/>
  <c r="D3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H27" i="9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L8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V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M5" i="10" l="1"/>
  <c r="M8" i="10"/>
  <c r="U8" i="10"/>
  <c r="S5" i="10"/>
  <c r="V5" i="10"/>
  <c r="P8" i="10"/>
  <c r="T5" i="10"/>
  <c r="N8" i="10"/>
  <c r="R5" i="10"/>
  <c r="T8" i="10"/>
  <c r="Q5" i="10"/>
  <c r="S8" i="10"/>
  <c r="P5" i="10"/>
  <c r="R8" i="10"/>
  <c r="O5" i="10"/>
  <c r="Q8" i="10"/>
  <c r="N5" i="10"/>
  <c r="U5" i="10"/>
  <c r="O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</calcChain>
</file>

<file path=xl/sharedStrings.xml><?xml version="1.0" encoding="utf-8"?>
<sst xmlns="http://schemas.openxmlformats.org/spreadsheetml/2006/main" count="243" uniqueCount="104">
  <si>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</si>
  <si>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</si>
  <si>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</si>
  <si>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</si>
  <si>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</si>
  <si>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</si>
  <si>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</si>
  <si>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</si>
  <si>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</si>
  <si>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</si>
  <si>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</si>
  <si>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</si>
  <si>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</si>
  <si>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</si>
  <si>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</si>
  <si>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</si>
  <si>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</si>
  <si>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</si>
  <si>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</si>
  <si>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</si>
  <si>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</si>
  <si>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</si>
  <si>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</si>
  <si>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</si>
  <si>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</si>
  <si>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</si>
  <si>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</si>
  <si>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</si>
  <si>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</si>
  <si>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</si>
  <si>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</si>
  <si>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</si>
  <si>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</si>
  <si>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</si>
  <si>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</si>
  <si>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</si>
  <si>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</si>
  <si>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</si>
  <si>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</si>
  <si>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</si>
  <si>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</si>
  <si>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</si>
  <si>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</si>
  <si>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</si>
  <si>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</si>
  <si>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</si>
  <si>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</si>
  <si>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</si>
  <si>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</si>
  <si>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</si>
  <si>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</si>
  <si>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</si>
  <si>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</si>
  <si>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</si>
  <si>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</si>
  <si>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</si>
  <si>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</si>
  <si>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</si>
  <si>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</si>
  <si>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</si>
  <si>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</si>
  <si>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</si>
  <si>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</si>
  <si>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</si>
  <si>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</si>
  <si>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</si>
  <si>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</si>
  <si>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</si>
  <si>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</si>
  <si>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</si>
  <si>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1992-06</t>
  </si>
  <si>
    <t>1993-06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</si>
  <si>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</si>
  <si>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</si>
  <si>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</si>
  <si>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</si>
  <si>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</si>
  <si>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</si>
  <si>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</si>
  <si>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</si>
  <si>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</si>
  <si>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</si>
  <si>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</si>
  <si>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</si>
  <si>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</si>
  <si>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</si>
  <si>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</si>
  <si>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</si>
  <si>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</si>
  <si>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</si>
  <si>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</si>
  <si>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</si>
  <si>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</si>
  <si>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</si>
  <si>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</si>
  <si>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</si>
  <si>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</si>
  <si>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</si>
  <si>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</si>
  <si>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</si>
  <si>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[Analysis] [Div = ][Price Pivot][Growth]</t>
  </si>
  <si>
    <t>P/R</t>
  </si>
  <si>
    <t>CtoR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</si>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</sst>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2" fontId="0" fillId="0" borderId="0" xfId="0" applyNumberFormat="1"/>
    <xf numFmtId="44" fontId="0" fillId="0" borderId="0" xfId="2" applyNumberFormat="1" applyFont="1"/>
    <xf numFmtId="0" fontId="0" fillId="0" borderId="0" xfId="0" applyAlignme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42">
    <dxf>
      <numFmt numFmtId="2" formatCode="0.00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41"/>
    <tableColumn id="3" xr3:uid="{59C0C3F5-1927-4D3A-A9F5-9442547A4B36}" name="MaxPrice" dataDxfId="40"/>
    <tableColumn id="4" xr3:uid="{CE3C0130-A44E-4882-985C-70F35028953D}" name="PriceMean" dataDxfId="39"/>
    <tableColumn id="5" xr3:uid="{8EF5D246-211D-4EE5-99F0-22A9BA1261B6}" name="PriceMedian" dataDxfId="38"/>
    <tableColumn id="6" xr3:uid="{60F9DAEA-0E91-491A-918D-91BC5E3E4832}" name="LowYield" dataDxfId="37" dataCellStyle="Percent"/>
    <tableColumn id="7" xr3:uid="{131C0FD6-FF3D-40D2-86BF-0CA31FEFDFB4}" name="HighYield" dataDxfId="36" dataCellStyle="Percent"/>
    <tableColumn id="8" xr3:uid="{3A4DF5EF-35AA-4285-9F70-645E7BDAD0C5}" name="DivMean" dataDxfId="35" dataCellStyle="Percent"/>
    <tableColumn id="9" xr3:uid="{B95D3B00-F5E6-483D-8585-A79B6158BCB3}" name="DivMedian" dataDxfId="34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H23" totalsRowShown="0">
  <autoFilter ref="B2:H23" xr:uid="{8490A03C-34BE-4FD9-9BC7-365F63F357C5}"/>
  <tableColumns count="7">
    <tableColumn id="1" xr3:uid="{5FDF1320-5B10-468E-A1FB-4CC34F988AF8}" name="Year"/>
    <tableColumn id="2" xr3:uid="{2B1F9B0E-2EB4-4DD7-B95A-42CBBE4E9A26}" name="Coupon" dataCellStyle="Currency"/>
    <tableColumn id="5" xr3:uid="{D308901E-3D1D-4651-9545-7A88D9560738}" name="Revenue" dataDxfId="4" dataCellStyle="Currency"/>
    <tableColumn id="3" xr3:uid="{F8D5CBD2-C854-43E6-98C3-6FCD800ECAB2}" name="PriceMedian" dataDxfId="3" dataCellStyle="Currency"/>
    <tableColumn id="7" xr3:uid="{AEF28D91-88D1-4D6B-8C5A-9FAB8D0651EC}" name="YOC" dataDxfId="2" dataCellStyle="Percent">
      <calculatedColumnFormula>Table7[[#This Row],[Coupon]]/Table7[[#This Row],[PriceMedian]]</calculatedColumnFormula>
    </tableColumn>
    <tableColumn id="4" xr3:uid="{B71715D7-F5E8-42E7-93CA-1A9118BEE218}" name="CtoR" dataDxfId="1" dataCellStyle="Percent">
      <calculatedColumnFormula>Table7[[#This Row],[Coupon]]/Table7[[#This Row],[Revenue]]</calculatedColumnFormula>
    </tableColumn>
    <tableColumn id="6" xr3:uid="{0AAEB76C-BF5C-4E7E-832E-E2D6EFA2F774}" name="P/R" dataDxfId="0">
      <calculatedColumnFormula>Table7[[#This Row],[PriceMedian]]/Table7[[#This Row],[Revenue]]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33" dataCellStyle="Currency"/>
    <tableColumn id="3" xr3:uid="{0384F1EE-FFB5-407C-BEE1-9ACA12902632}" name="HighPrice" dataDxfId="32" dataCellStyle="Currency"/>
    <tableColumn id="4" xr3:uid="{CB7E9246-F4BD-4729-AEEF-6B492176E463}" name="RPS" dataCellStyle="Currency"/>
    <tableColumn id="5" xr3:uid="{38E590BD-6779-455E-AAD6-D6BF73040176}" name="LP/R" dataDxfId="31"/>
    <tableColumn id="6" xr3:uid="{A824D407-B985-4B0A-963D-1C4B29E61195}" name="HP/R" dataDxfId="30"/>
    <tableColumn id="7" xr3:uid="{8449A9C0-E2CF-4912-B46C-514654E50275}" name="FCFPS" dataCellStyle="Currency"/>
    <tableColumn id="8" xr3:uid="{05F0B1A5-314B-4E98-8ECF-282F17A63780}" name="LP/FCF" dataDxfId="29"/>
    <tableColumn id="9" xr3:uid="{2F81A370-4427-43EF-9614-E702E70853F8}" name="HP/FCF" dataDxfId="28"/>
    <tableColumn id="10" xr3:uid="{C216ACE0-25C2-44B8-9536-29C417ACD356}" name="EPS"/>
    <tableColumn id="11" xr3:uid="{0194C2E4-463D-4C97-B0B9-2713EB0DADE9}" name="LP/E" dataDxfId="27"/>
    <tableColumn id="12" xr3:uid="{7E27F257-4F4B-47A6-BE74-21F38CA09F32}" name="HP/E" dataDxfId="2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5" dataCellStyle="Percent">
      <calculatedColumnFormula>Table4[[#This Row],[GrossProfit]]/Table4[[#This Row],[Revenue]]</calculatedColumnFormula>
    </tableColumn>
    <tableColumn id="6" xr3:uid="{BBED7933-CE88-4919-98AC-D952F483A7DC}" name="OperatingProfit" dataDxfId="24" dataCellStyle="Currency"/>
    <tableColumn id="7" xr3:uid="{05C2A352-ECAB-468A-89F8-6C1DCCAB2D7C}" name="OPEX" dataDxfId="23" dataCellStyle="Currency"/>
    <tableColumn id="8" xr3:uid="{1FE6E753-9C99-4EE3-AF59-80A8E0984E8C}" name="OPM" dataDxfId="22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21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20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9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8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7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6">
      <calculatedColumnFormula>(Table3[[#This Row],[Revenue]]-C2)/C2</calculatedColumnFormula>
    </tableColumn>
    <tableColumn id="4" xr3:uid="{79A83570-1D08-4443-87B5-EFEA379F44BA}" name="Dividend" dataCellStyle="Currency"/>
    <tableColumn id="5" xr3:uid="{B08B3DDE-5371-43E8-88E6-73F4DB97A997}" name="DivGro" dataDxfId="15"/>
    <tableColumn id="6" xr3:uid="{D664DDA8-9C6C-4B70-A797-ED5F663E1A6C}" name="DivPerShare" dataCellStyle="Currency"/>
    <tableColumn id="7" xr3:uid="{94011229-06CB-408C-946F-E5B01E7FF392}" name="DPSGro" dataDxfId="14" dataCellStyle="Percent"/>
    <tableColumn id="8" xr3:uid="{2D92246E-BF59-46D6-A0EC-301AE06C6133}" name="MarketValue" dataCellStyle="Currency"/>
    <tableColumn id="9" xr3:uid="{E0E68D77-A6DE-4D09-841B-3422686E1A84}" name="MVGro" dataDxfId="13" dataCellStyle="Percent"/>
    <tableColumn id="10" xr3:uid="{B0D51114-3CC5-4A00-9EB3-FC1FE1BD06C4}" name="SharesOutstanding" dataCellStyle="Currency"/>
    <tableColumn id="11" xr3:uid="{58A6D5ED-FBAA-4549-8852-30F681A965E9}" name="ShareGro" dataDxfId="1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tabSelected="1" workbookViewId="0">
      <selection activeCell="H33" sqref="H33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2.2200000000000002</v>
      </c>
      <c r="D4" s="10">
        <v>3.01</v>
      </c>
      <c r="E4" s="1">
        <v>2.6088537549407</v>
      </c>
      <c r="F4" s="1">
        <v>2.61</v>
      </c>
      <c r="G4" s="11">
        <v>0</v>
      </c>
      <c r="H4" s="8">
        <v>0</v>
      </c>
      <c r="I4" s="2">
        <v>0</v>
      </c>
      <c r="J4" s="2">
        <v>0</v>
      </c>
      <c r="M4" t="s">
        <v>71</v>
      </c>
      <c r="N4" s="7">
        <v>2.13</v>
      </c>
      <c r="O4" s="12">
        <v>3.01</v>
      </c>
      <c r="P4" s="5">
        <v>0.39400000000000002</v>
      </c>
      <c r="Q4" s="15">
        <v>5.4060913705583697</v>
      </c>
      <c r="R4" s="13">
        <v>7.6395939086294398</v>
      </c>
      <c r="S4" s="5">
        <v>8.7999999999999995E-2</v>
      </c>
      <c r="T4" s="15">
        <v>24.2045454545454</v>
      </c>
      <c r="U4" s="13">
        <v>34.204545454545404</v>
      </c>
      <c r="V4" s="5">
        <v>0.1</v>
      </c>
      <c r="W4" s="15">
        <v>21.299999999999901</v>
      </c>
      <c r="X4" s="13">
        <v>30.099999999999898</v>
      </c>
    </row>
    <row r="5" spans="2:24" x14ac:dyDescent="0.25">
      <c r="B5">
        <v>1994</v>
      </c>
      <c r="C5" s="4">
        <v>2.46</v>
      </c>
      <c r="D5" s="10">
        <v>4.04</v>
      </c>
      <c r="E5" s="1">
        <v>3.20480158730158</v>
      </c>
      <c r="F5" s="1">
        <v>3.2450000000000001</v>
      </c>
      <c r="G5" s="11">
        <v>0</v>
      </c>
      <c r="H5" s="8">
        <v>0</v>
      </c>
      <c r="I5" s="2">
        <v>0</v>
      </c>
      <c r="J5" s="2">
        <v>0</v>
      </c>
      <c r="M5" t="s">
        <v>72</v>
      </c>
      <c r="N5" s="7">
        <v>2.2200000000000002</v>
      </c>
      <c r="O5" s="12">
        <v>3.41</v>
      </c>
      <c r="P5" s="5">
        <v>0.47599999999999998</v>
      </c>
      <c r="Q5" s="15">
        <v>4.6638655462184797</v>
      </c>
      <c r="R5" s="13">
        <v>7.1638655462184797</v>
      </c>
      <c r="S5" s="5">
        <v>0.13500000000000001</v>
      </c>
      <c r="T5" s="15">
        <v>16.4444444444444</v>
      </c>
      <c r="U5" s="13">
        <v>25.259259259259199</v>
      </c>
      <c r="V5" s="5">
        <v>0.11799999999999999</v>
      </c>
      <c r="W5" s="15">
        <v>18.8135593220339</v>
      </c>
      <c r="X5" s="13">
        <v>28.898305084745701</v>
      </c>
    </row>
    <row r="6" spans="2:24" x14ac:dyDescent="0.25">
      <c r="B6">
        <v>1995</v>
      </c>
      <c r="C6" s="4">
        <v>3.69</v>
      </c>
      <c r="D6" s="10">
        <v>6.81</v>
      </c>
      <c r="E6" s="1">
        <v>5.1898412698412697</v>
      </c>
      <c r="F6" s="1">
        <v>5.45</v>
      </c>
      <c r="G6" s="11">
        <v>0</v>
      </c>
      <c r="H6" s="8">
        <v>0</v>
      </c>
      <c r="I6" s="2">
        <v>0</v>
      </c>
      <c r="J6" s="2">
        <v>0</v>
      </c>
      <c r="M6" t="s">
        <v>73</v>
      </c>
      <c r="N6" s="7">
        <v>2.98</v>
      </c>
      <c r="O6" s="12">
        <v>5.74</v>
      </c>
      <c r="P6" s="5">
        <v>0.59199999999999997</v>
      </c>
      <c r="Q6" s="15">
        <v>5.0337837837837798</v>
      </c>
      <c r="R6" s="13">
        <v>9.6959459459459403</v>
      </c>
      <c r="S6" s="5">
        <v>0.14899999999999999</v>
      </c>
      <c r="T6" s="15">
        <v>20</v>
      </c>
      <c r="U6" s="13">
        <v>38.523489932885902</v>
      </c>
      <c r="V6" s="5">
        <v>0.14499999999999999</v>
      </c>
      <c r="W6" s="15">
        <v>20.551724137931</v>
      </c>
      <c r="X6" s="13">
        <v>39.586206896551701</v>
      </c>
    </row>
    <row r="7" spans="2:24" x14ac:dyDescent="0.25">
      <c r="B7">
        <v>1996</v>
      </c>
      <c r="C7" s="4">
        <v>5.01</v>
      </c>
      <c r="D7" s="10">
        <v>10.69</v>
      </c>
      <c r="E7" s="1">
        <v>7.54464566929133</v>
      </c>
      <c r="F7" s="1">
        <v>7.5049999999999999</v>
      </c>
      <c r="G7" s="11">
        <v>0</v>
      </c>
      <c r="H7" s="8">
        <v>0</v>
      </c>
      <c r="I7" s="2">
        <v>0</v>
      </c>
      <c r="J7" s="2">
        <v>0</v>
      </c>
      <c r="M7" t="s">
        <v>74</v>
      </c>
      <c r="N7" s="7">
        <v>5.01</v>
      </c>
      <c r="O7" s="12">
        <v>7.81</v>
      </c>
      <c r="P7" s="5">
        <v>0.84899999999999998</v>
      </c>
      <c r="Q7" s="15">
        <v>5.9010600706713703</v>
      </c>
      <c r="R7" s="13">
        <v>9.1990577149587693</v>
      </c>
      <c r="S7" s="5">
        <v>0.316</v>
      </c>
      <c r="T7" s="15">
        <v>15.8544303797468</v>
      </c>
      <c r="U7" s="13">
        <v>24.7151898734177</v>
      </c>
      <c r="V7" s="5">
        <v>0.215</v>
      </c>
      <c r="W7" s="15">
        <v>23.302325581395301</v>
      </c>
      <c r="X7" s="13">
        <v>36.325581395348799</v>
      </c>
    </row>
    <row r="8" spans="2:24" x14ac:dyDescent="0.25">
      <c r="B8">
        <v>1997</v>
      </c>
      <c r="C8" s="4">
        <v>10.199999999999999</v>
      </c>
      <c r="D8" s="10">
        <v>18.690000000000001</v>
      </c>
      <c r="E8" s="1">
        <v>15.1207114624506</v>
      </c>
      <c r="F8" s="1">
        <v>16.11</v>
      </c>
      <c r="G8" s="11">
        <v>0</v>
      </c>
      <c r="H8" s="8">
        <v>0</v>
      </c>
      <c r="I8" s="2">
        <v>0</v>
      </c>
      <c r="J8" s="2">
        <v>0</v>
      </c>
      <c r="M8" t="s">
        <v>75</v>
      </c>
      <c r="N8" s="7">
        <v>6.92</v>
      </c>
      <c r="O8" s="12">
        <v>16.77</v>
      </c>
      <c r="P8" s="5">
        <v>1.145</v>
      </c>
      <c r="Q8" s="15">
        <v>6.0436681222707396</v>
      </c>
      <c r="R8" s="13">
        <v>14.646288209606899</v>
      </c>
      <c r="S8" s="5">
        <v>0.40200000000000002</v>
      </c>
      <c r="T8" s="15">
        <v>17.2139303482587</v>
      </c>
      <c r="U8" s="13">
        <v>41.716417910447703</v>
      </c>
      <c r="V8" s="5">
        <v>0.33</v>
      </c>
      <c r="W8" s="15">
        <v>20.969696969696901</v>
      </c>
      <c r="X8" s="13">
        <v>50.818181818181799</v>
      </c>
    </row>
    <row r="9" spans="2:24" x14ac:dyDescent="0.25">
      <c r="B9">
        <v>1998</v>
      </c>
      <c r="C9" s="4">
        <v>16.14</v>
      </c>
      <c r="D9" s="10">
        <v>35.89</v>
      </c>
      <c r="E9" s="1">
        <v>24.630198412698402</v>
      </c>
      <c r="F9" s="1">
        <v>24.875</v>
      </c>
      <c r="G9" s="11">
        <v>0</v>
      </c>
      <c r="H9" s="8">
        <v>0</v>
      </c>
      <c r="I9" s="2">
        <v>0</v>
      </c>
      <c r="J9" s="2">
        <v>0</v>
      </c>
      <c r="M9" t="s">
        <v>76</v>
      </c>
      <c r="N9" s="7">
        <v>14.87</v>
      </c>
      <c r="O9" s="12">
        <v>27.09</v>
      </c>
      <c r="P9" s="5">
        <v>1.423</v>
      </c>
      <c r="Q9" s="15">
        <v>10.449754040758901</v>
      </c>
      <c r="R9" s="13">
        <v>19.037245256500299</v>
      </c>
      <c r="S9" s="5">
        <v>0.70699999999999996</v>
      </c>
      <c r="T9" s="15">
        <v>21.032531824610999</v>
      </c>
      <c r="U9" s="13">
        <v>38.316831683168303</v>
      </c>
      <c r="V9" s="5">
        <v>0.42</v>
      </c>
      <c r="W9" s="15">
        <v>35.404761904761898</v>
      </c>
      <c r="X9" s="13">
        <v>64.5</v>
      </c>
    </row>
    <row r="10" spans="2:24" x14ac:dyDescent="0.25">
      <c r="B10">
        <v>1999</v>
      </c>
      <c r="C10" s="4">
        <v>35.25</v>
      </c>
      <c r="D10" s="10">
        <v>59.56</v>
      </c>
      <c r="E10" s="1">
        <v>43.755198412698398</v>
      </c>
      <c r="F10" s="1">
        <v>43.484999999999999</v>
      </c>
      <c r="G10" s="11">
        <v>0</v>
      </c>
      <c r="H10" s="8">
        <v>0</v>
      </c>
      <c r="I10" s="2">
        <v>0</v>
      </c>
      <c r="J10" s="2">
        <v>0</v>
      </c>
      <c r="M10" t="s">
        <v>77</v>
      </c>
      <c r="N10" s="7">
        <v>22.8</v>
      </c>
      <c r="O10" s="12">
        <v>47.47</v>
      </c>
      <c r="P10" s="5">
        <v>1.8009999999999999</v>
      </c>
      <c r="Q10" s="15">
        <v>12.6596335369239</v>
      </c>
      <c r="R10" s="13">
        <v>26.357579122709598</v>
      </c>
      <c r="S10" s="5">
        <v>1.145</v>
      </c>
      <c r="T10" s="15">
        <v>19.9126637554585</v>
      </c>
      <c r="U10" s="13">
        <v>41.458515283842701</v>
      </c>
      <c r="V10" s="5">
        <v>0.71</v>
      </c>
      <c r="W10" s="15">
        <v>32.112676056338003</v>
      </c>
      <c r="X10" s="13">
        <v>66.8591549295774</v>
      </c>
    </row>
    <row r="11" spans="2:24" x14ac:dyDescent="0.25">
      <c r="B11">
        <v>2000</v>
      </c>
      <c r="C11" s="4">
        <v>20.75</v>
      </c>
      <c r="D11" s="10">
        <v>58.28</v>
      </c>
      <c r="E11" s="1">
        <v>38.101031746031701</v>
      </c>
      <c r="F11" s="1">
        <v>35.25</v>
      </c>
      <c r="G11" s="11">
        <v>0</v>
      </c>
      <c r="H11" s="8">
        <v>0</v>
      </c>
      <c r="I11" s="2">
        <v>0</v>
      </c>
      <c r="J11" s="2">
        <v>0</v>
      </c>
      <c r="M11" t="s">
        <v>78</v>
      </c>
      <c r="N11" s="7">
        <v>30.72</v>
      </c>
      <c r="O11" s="12">
        <v>59.56</v>
      </c>
      <c r="P11" s="5">
        <v>2.0739999999999998</v>
      </c>
      <c r="Q11" s="15">
        <v>14.811957569913201</v>
      </c>
      <c r="R11" s="13">
        <v>28.717454194792602</v>
      </c>
      <c r="S11" s="5">
        <v>0.95299999999999996</v>
      </c>
      <c r="T11" s="15">
        <v>32.235047219307397</v>
      </c>
      <c r="U11" s="13">
        <v>62.497376705141598</v>
      </c>
      <c r="V11" s="5">
        <v>0.85</v>
      </c>
      <c r="W11" s="15">
        <v>36.141176470588199</v>
      </c>
      <c r="X11" s="13">
        <v>70.070588235294096</v>
      </c>
    </row>
    <row r="12" spans="2:24" x14ac:dyDescent="0.25">
      <c r="B12">
        <v>2001</v>
      </c>
      <c r="C12" s="4">
        <v>21.69</v>
      </c>
      <c r="D12" s="10">
        <v>36.83</v>
      </c>
      <c r="E12" s="1">
        <v>31.277338709677402</v>
      </c>
      <c r="F12" s="1">
        <v>31.78</v>
      </c>
      <c r="G12" s="11">
        <v>0</v>
      </c>
      <c r="H12" s="8">
        <v>0</v>
      </c>
      <c r="I12" s="2">
        <v>0</v>
      </c>
      <c r="J12" s="2">
        <v>0</v>
      </c>
      <c r="M12" t="s">
        <v>79</v>
      </c>
      <c r="N12" s="7">
        <v>20.75</v>
      </c>
      <c r="O12" s="12">
        <v>41</v>
      </c>
      <c r="P12" s="5">
        <v>2.2690000000000001</v>
      </c>
      <c r="Q12" s="15">
        <v>9.14499779638607</v>
      </c>
      <c r="R12" s="13">
        <v>18.0696342000881</v>
      </c>
      <c r="S12" s="5">
        <v>1.105</v>
      </c>
      <c r="T12" s="15">
        <v>18.778280542986401</v>
      </c>
      <c r="U12" s="13">
        <v>37.104072398189999</v>
      </c>
      <c r="V12" s="5">
        <v>0.66</v>
      </c>
      <c r="W12" s="15">
        <v>31.439393939393899</v>
      </c>
      <c r="X12" s="13">
        <v>62.121212121212103</v>
      </c>
    </row>
    <row r="13" spans="2:24" x14ac:dyDescent="0.25">
      <c r="B13">
        <v>2002</v>
      </c>
      <c r="C13" s="4">
        <v>21.42</v>
      </c>
      <c r="D13" s="10">
        <v>34.93</v>
      </c>
      <c r="E13" s="1">
        <v>27.275238095238102</v>
      </c>
      <c r="F13" s="1">
        <v>26.92</v>
      </c>
      <c r="G13" s="11">
        <v>0</v>
      </c>
      <c r="H13" s="8">
        <v>0</v>
      </c>
      <c r="I13" s="2">
        <v>0</v>
      </c>
      <c r="J13" s="2">
        <v>0</v>
      </c>
      <c r="M13" t="s">
        <v>80</v>
      </c>
      <c r="N13" s="7">
        <v>24.31</v>
      </c>
      <c r="O13" s="12">
        <v>35.909999999999997</v>
      </c>
      <c r="P13" s="5">
        <v>2.5539999999999998</v>
      </c>
      <c r="Q13" s="15">
        <v>9.5184025058731407</v>
      </c>
      <c r="R13" s="13">
        <v>14.060297572435299</v>
      </c>
      <c r="S13" s="5">
        <v>1.2370000000000001</v>
      </c>
      <c r="T13" s="15">
        <v>19.652384801940102</v>
      </c>
      <c r="U13" s="13">
        <v>29.029911075181801</v>
      </c>
      <c r="V13" s="5">
        <v>0.7</v>
      </c>
      <c r="W13" s="15">
        <v>34.728571428571399</v>
      </c>
      <c r="X13" s="13">
        <v>51.3</v>
      </c>
    </row>
    <row r="14" spans="2:24" x14ac:dyDescent="0.25">
      <c r="B14">
        <v>2003</v>
      </c>
      <c r="C14" s="4">
        <v>22.79</v>
      </c>
      <c r="D14" s="10">
        <v>29.96</v>
      </c>
      <c r="E14" s="1">
        <v>26.105515873015801</v>
      </c>
      <c r="F14" s="1">
        <v>25.99</v>
      </c>
      <c r="G14" s="11">
        <v>0</v>
      </c>
      <c r="H14" s="8">
        <v>2.5498007968127401E-2</v>
      </c>
      <c r="I14" s="2">
        <v>1.32748711037536E-2</v>
      </c>
      <c r="J14" s="2">
        <v>1.24562105288677E-2</v>
      </c>
      <c r="M14" t="s">
        <v>81</v>
      </c>
      <c r="N14" s="7">
        <v>21.42</v>
      </c>
      <c r="O14" s="12">
        <v>29.12</v>
      </c>
      <c r="P14" s="5">
        <v>2.9580000000000002</v>
      </c>
      <c r="Q14" s="15">
        <v>7.2413793103448203</v>
      </c>
      <c r="R14" s="13">
        <v>9.8444895199459097</v>
      </c>
      <c r="S14" s="5">
        <v>1.37</v>
      </c>
      <c r="T14" s="15">
        <v>15.635036496350301</v>
      </c>
      <c r="U14" s="13">
        <v>21.255474452554701</v>
      </c>
      <c r="V14" s="5">
        <v>0.69</v>
      </c>
      <c r="W14" s="15">
        <v>31.043478260869499</v>
      </c>
      <c r="X14" s="13">
        <v>42.202898550724598</v>
      </c>
    </row>
    <row r="15" spans="2:24" x14ac:dyDescent="0.25">
      <c r="B15">
        <v>2004</v>
      </c>
      <c r="C15" s="4">
        <v>24.15</v>
      </c>
      <c r="D15" s="10">
        <v>29.98</v>
      </c>
      <c r="E15" s="1">
        <v>27.153174603174499</v>
      </c>
      <c r="F15" s="1">
        <v>27.23</v>
      </c>
      <c r="G15" s="11">
        <v>1.0673782521681101E-2</v>
      </c>
      <c r="H15" s="8">
        <v>2.6501035196687301E-2</v>
      </c>
      <c r="I15" s="2">
        <v>1.93795852324752E-2</v>
      </c>
      <c r="J15" s="2">
        <v>2.2816410886549399E-2</v>
      </c>
      <c r="M15" t="s">
        <v>82</v>
      </c>
      <c r="N15" s="7">
        <v>24.15</v>
      </c>
      <c r="O15" s="12">
        <v>29.96</v>
      </c>
      <c r="P15" s="5">
        <v>3.3809999999999998</v>
      </c>
      <c r="Q15" s="15">
        <v>7.1428571428571397</v>
      </c>
      <c r="R15" s="13">
        <v>8.8612836438923406</v>
      </c>
      <c r="S15" s="5">
        <v>1.2410000000000001</v>
      </c>
      <c r="T15" s="15">
        <v>19.460112812248099</v>
      </c>
      <c r="U15" s="13">
        <v>24.141821112006401</v>
      </c>
      <c r="V15" s="5">
        <v>0.75</v>
      </c>
      <c r="W15" s="15">
        <v>32.199999999999903</v>
      </c>
      <c r="X15" s="13">
        <v>39.946666666666601</v>
      </c>
    </row>
    <row r="16" spans="2:24" x14ac:dyDescent="0.25">
      <c r="B16">
        <v>2005</v>
      </c>
      <c r="C16" s="4">
        <v>23.92</v>
      </c>
      <c r="D16" s="10">
        <v>28.16</v>
      </c>
      <c r="E16" s="1">
        <v>25.873730158730101</v>
      </c>
      <c r="F16" s="1">
        <v>25.725000000000001</v>
      </c>
      <c r="G16" s="11">
        <v>1.13636363636363E-2</v>
      </c>
      <c r="H16" s="8">
        <v>1.3377926421404601E-2</v>
      </c>
      <c r="I16" s="2">
        <v>1.2386139738552401E-2</v>
      </c>
      <c r="J16" s="2">
        <v>1.24392618887731E-2</v>
      </c>
      <c r="M16" t="s">
        <v>83</v>
      </c>
      <c r="N16" s="7">
        <v>23.92</v>
      </c>
      <c r="O16" s="12">
        <v>29.98</v>
      </c>
      <c r="P16" s="5">
        <v>3.6480000000000001</v>
      </c>
      <c r="Q16" s="15">
        <v>6.5570175438596401</v>
      </c>
      <c r="R16" s="13">
        <v>8.2182017543859605</v>
      </c>
      <c r="S16" s="5">
        <v>1.448</v>
      </c>
      <c r="T16" s="15">
        <v>16.5193370165745</v>
      </c>
      <c r="U16" s="13">
        <v>20.704419889502699</v>
      </c>
      <c r="V16" s="5">
        <v>1.1200000000000001</v>
      </c>
      <c r="W16" s="15">
        <v>21.357142857142801</v>
      </c>
      <c r="X16" s="13">
        <v>26.7678571428571</v>
      </c>
    </row>
    <row r="17" spans="2:24" x14ac:dyDescent="0.25">
      <c r="B17">
        <v>2006</v>
      </c>
      <c r="C17" s="4">
        <v>21.51</v>
      </c>
      <c r="D17" s="10">
        <v>30.19</v>
      </c>
      <c r="E17" s="1">
        <v>26.300916334661299</v>
      </c>
      <c r="F17" s="1">
        <v>26.91</v>
      </c>
      <c r="G17" s="11">
        <v>1.1367673179396E-2</v>
      </c>
      <c r="H17" s="8">
        <v>1.67364016736401E-2</v>
      </c>
      <c r="I17" s="2">
        <v>1.37923279813057E-2</v>
      </c>
      <c r="J17" s="2">
        <v>1.3407821229050199E-2</v>
      </c>
      <c r="M17" t="s">
        <v>84</v>
      </c>
      <c r="N17" s="7">
        <v>21.51</v>
      </c>
      <c r="O17" s="12">
        <v>28.16</v>
      </c>
      <c r="P17" s="5">
        <v>4.2050000000000001</v>
      </c>
      <c r="Q17" s="15">
        <v>5.1153388822829902</v>
      </c>
      <c r="R17" s="13">
        <v>6.6967895362663397</v>
      </c>
      <c r="S17" s="5">
        <v>1.218</v>
      </c>
      <c r="T17" s="15">
        <v>17.660098522167399</v>
      </c>
      <c r="U17" s="13">
        <v>23.119868637109999</v>
      </c>
      <c r="V17" s="5">
        <v>1.2</v>
      </c>
      <c r="W17" s="15">
        <v>17.925000000000001</v>
      </c>
      <c r="X17" s="13">
        <v>23.466666666666601</v>
      </c>
    </row>
    <row r="18" spans="2:24" x14ac:dyDescent="0.25">
      <c r="B18">
        <v>2007</v>
      </c>
      <c r="C18" s="4">
        <v>26.72</v>
      </c>
      <c r="D18" s="10">
        <v>37.06</v>
      </c>
      <c r="E18" s="1">
        <v>30.448007968127499</v>
      </c>
      <c r="F18" s="1">
        <v>29.93</v>
      </c>
      <c r="G18" s="11">
        <v>1.0793308148947601E-2</v>
      </c>
      <c r="H18" s="8">
        <v>1.49700598802395E-2</v>
      </c>
      <c r="I18" s="2">
        <v>1.33602514229093E-2</v>
      </c>
      <c r="J18" s="2">
        <v>1.33734536944165E-2</v>
      </c>
      <c r="M18" t="s">
        <v>85</v>
      </c>
      <c r="N18" s="7">
        <v>22.26</v>
      </c>
      <c r="O18" s="12">
        <v>31.21</v>
      </c>
      <c r="P18" s="5">
        <v>5.1710000000000003</v>
      </c>
      <c r="Q18" s="15">
        <v>4.3047766389479696</v>
      </c>
      <c r="R18" s="13">
        <v>6.0355830593695599</v>
      </c>
      <c r="S18" s="5">
        <v>1.571</v>
      </c>
      <c r="T18" s="15">
        <v>14.169318905155899</v>
      </c>
      <c r="U18" s="13">
        <v>19.866327180140001</v>
      </c>
      <c r="V18" s="5">
        <v>1.42</v>
      </c>
      <c r="W18" s="15">
        <v>15.676056338028101</v>
      </c>
      <c r="X18" s="13">
        <v>21.978873239436599</v>
      </c>
    </row>
    <row r="19" spans="2:24" x14ac:dyDescent="0.25">
      <c r="B19">
        <v>2008</v>
      </c>
      <c r="C19" s="4">
        <v>17.53</v>
      </c>
      <c r="D19" s="10">
        <v>35.369999999999997</v>
      </c>
      <c r="E19" s="1">
        <v>26.647747035573001</v>
      </c>
      <c r="F19" s="1">
        <v>27.62</v>
      </c>
      <c r="G19" s="11">
        <v>1.24399208368674E-2</v>
      </c>
      <c r="H19" s="8">
        <v>2.9663434112949201E-2</v>
      </c>
      <c r="I19" s="2">
        <v>1.73837422322199E-2</v>
      </c>
      <c r="J19" s="2">
        <v>1.5930485155684199E-2</v>
      </c>
      <c r="M19" t="s">
        <v>86</v>
      </c>
      <c r="N19" s="7">
        <v>26.99</v>
      </c>
      <c r="O19" s="12">
        <v>37.06</v>
      </c>
      <c r="P19" s="5">
        <v>6.38</v>
      </c>
      <c r="Q19" s="15">
        <v>4.2304075235109702</v>
      </c>
      <c r="R19" s="13">
        <v>5.8087774294670798</v>
      </c>
      <c r="S19" s="5">
        <v>1.946</v>
      </c>
      <c r="T19" s="15">
        <v>13.869475847893099</v>
      </c>
      <c r="U19" s="13">
        <v>19.044193216855</v>
      </c>
      <c r="V19" s="5">
        <v>1.87</v>
      </c>
      <c r="W19" s="15">
        <v>14.433155080213901</v>
      </c>
      <c r="X19" s="13">
        <v>19.818181818181799</v>
      </c>
    </row>
    <row r="20" spans="2:24" x14ac:dyDescent="0.25">
      <c r="B20">
        <v>2009</v>
      </c>
      <c r="C20" s="4">
        <v>15.15</v>
      </c>
      <c r="D20" s="10">
        <v>31.39</v>
      </c>
      <c r="E20" s="1">
        <v>22.9767857142857</v>
      </c>
      <c r="F20" s="1">
        <v>23.395</v>
      </c>
      <c r="G20" s="11">
        <v>1.65657852819369E-2</v>
      </c>
      <c r="H20" s="8">
        <v>3.4323432343234303E-2</v>
      </c>
      <c r="I20" s="2">
        <v>2.3422762785369099E-2</v>
      </c>
      <c r="J20" s="2">
        <v>2.22269969564723E-2</v>
      </c>
      <c r="M20" t="s">
        <v>87</v>
      </c>
      <c r="N20" s="7">
        <v>15.15</v>
      </c>
      <c r="O20" s="12">
        <v>28.13</v>
      </c>
      <c r="P20" s="5">
        <v>6.4960000000000004</v>
      </c>
      <c r="Q20" s="15">
        <v>2.3322044334975298</v>
      </c>
      <c r="R20" s="13">
        <v>4.3303571428571397</v>
      </c>
      <c r="S20" s="5">
        <v>1.7689999999999999</v>
      </c>
      <c r="T20" s="15">
        <v>8.5641605426794793</v>
      </c>
      <c r="U20" s="13">
        <v>15.9016393442622</v>
      </c>
      <c r="V20" s="5">
        <v>1.62</v>
      </c>
      <c r="W20" s="15">
        <v>9.3518518518518494</v>
      </c>
      <c r="X20" s="13">
        <v>17.3641975308641</v>
      </c>
    </row>
    <row r="21" spans="2:24" x14ac:dyDescent="0.25">
      <c r="B21">
        <v>2010</v>
      </c>
      <c r="C21" s="4">
        <v>23.01</v>
      </c>
      <c r="D21" s="10">
        <v>31.39</v>
      </c>
      <c r="E21" s="1">
        <v>27.058571428571401</v>
      </c>
      <c r="F21" s="1">
        <v>26.824999999999999</v>
      </c>
      <c r="G21" s="11">
        <v>1.65657852819369E-2</v>
      </c>
      <c r="H21" s="8">
        <v>2.54777070063694E-2</v>
      </c>
      <c r="I21" s="2">
        <v>1.9914011618709399E-2</v>
      </c>
      <c r="J21" s="2">
        <v>2.0038535645471998E-2</v>
      </c>
      <c r="M21" t="s">
        <v>88</v>
      </c>
      <c r="N21" s="7">
        <v>22.39</v>
      </c>
      <c r="O21" s="12">
        <v>31.39</v>
      </c>
      <c r="P21" s="5">
        <v>6.9989999999999997</v>
      </c>
      <c r="Q21" s="15">
        <v>3.1990284326332299</v>
      </c>
      <c r="R21" s="13">
        <v>4.4849264180597199</v>
      </c>
      <c r="S21" s="5">
        <v>2.4750000000000001</v>
      </c>
      <c r="T21" s="15">
        <v>9.0464646464646403</v>
      </c>
      <c r="U21" s="13">
        <v>12.682828282828201</v>
      </c>
      <c r="V21" s="5">
        <v>2.1</v>
      </c>
      <c r="W21" s="15">
        <v>10.661904761904699</v>
      </c>
      <c r="X21" s="13">
        <v>14.947619047619</v>
      </c>
    </row>
    <row r="22" spans="2:24" x14ac:dyDescent="0.25">
      <c r="B22">
        <v>2011</v>
      </c>
      <c r="C22" s="4">
        <v>23.71</v>
      </c>
      <c r="D22" s="10">
        <v>28.87</v>
      </c>
      <c r="E22" s="1">
        <v>26.0523412698412</v>
      </c>
      <c r="F22" s="1">
        <v>25.9</v>
      </c>
      <c r="G22" s="11">
        <v>2.2168340838240298E-2</v>
      </c>
      <c r="H22" s="8">
        <v>3.2921810699588397E-2</v>
      </c>
      <c r="I22" s="2">
        <v>2.54113095077519E-2</v>
      </c>
      <c r="J22" s="2">
        <v>2.4801396009598999E-2</v>
      </c>
      <c r="M22" t="s">
        <v>89</v>
      </c>
      <c r="N22" s="7">
        <v>23.16</v>
      </c>
      <c r="O22" s="12">
        <v>28.87</v>
      </c>
      <c r="P22" s="5">
        <v>8.14</v>
      </c>
      <c r="Q22" s="15">
        <v>2.8452088452088402</v>
      </c>
      <c r="R22" s="13">
        <v>3.5466830466830399</v>
      </c>
      <c r="S22" s="5">
        <v>2.867</v>
      </c>
      <c r="T22" s="15">
        <v>8.0781304499476807</v>
      </c>
      <c r="U22" s="13">
        <v>10.069759330310401</v>
      </c>
      <c r="V22" s="5">
        <v>2.69</v>
      </c>
      <c r="W22" s="15">
        <v>8.6096654275092899</v>
      </c>
      <c r="X22" s="13">
        <v>10.7323420074349</v>
      </c>
    </row>
    <row r="23" spans="2:24" x14ac:dyDescent="0.25">
      <c r="B23">
        <v>2012</v>
      </c>
      <c r="C23" s="4">
        <v>26.37</v>
      </c>
      <c r="D23" s="10">
        <v>32.85</v>
      </c>
      <c r="E23" s="1">
        <v>29.8209599999999</v>
      </c>
      <c r="F23" s="1">
        <v>29.975000000000001</v>
      </c>
      <c r="G23" s="11">
        <v>2.4353120243531201E-2</v>
      </c>
      <c r="H23" s="8">
        <v>3.4888130451270302E-2</v>
      </c>
      <c r="I23" s="2">
        <v>2.7493984961270201E-2</v>
      </c>
      <c r="J23" s="2">
        <v>2.6688925987757298E-2</v>
      </c>
      <c r="M23" t="s">
        <v>90</v>
      </c>
      <c r="N23" s="7">
        <v>23.98</v>
      </c>
      <c r="O23" s="12">
        <v>32.85</v>
      </c>
      <c r="P23" s="5">
        <v>8.6669999999999998</v>
      </c>
      <c r="Q23" s="15">
        <v>2.7668166608976499</v>
      </c>
      <c r="R23" s="13">
        <v>3.7902388369678</v>
      </c>
      <c r="S23" s="5">
        <v>3.4470000000000001</v>
      </c>
      <c r="T23" s="15">
        <v>6.9567740063823598</v>
      </c>
      <c r="U23" s="13">
        <v>9.5300261096605698</v>
      </c>
      <c r="V23" s="5">
        <v>2</v>
      </c>
      <c r="W23" s="15">
        <v>11.99</v>
      </c>
      <c r="X23" s="13">
        <v>16.425000000000001</v>
      </c>
    </row>
    <row r="24" spans="2:24" x14ac:dyDescent="0.25">
      <c r="B24">
        <v>2013</v>
      </c>
      <c r="C24" s="4">
        <v>26.46</v>
      </c>
      <c r="D24" s="10">
        <v>38.94</v>
      </c>
      <c r="E24" s="1">
        <v>32.492023809523801</v>
      </c>
      <c r="F24" s="1">
        <v>33.015000000000001</v>
      </c>
      <c r="G24" s="11">
        <v>2.40963855421686E-2</v>
      </c>
      <c r="H24" s="8">
        <v>3.4769463340891898E-2</v>
      </c>
      <c r="I24" s="2">
        <v>2.9260076375654601E-2</v>
      </c>
      <c r="J24" s="2">
        <v>2.8871809316333399E-2</v>
      </c>
      <c r="M24" t="s">
        <v>91</v>
      </c>
      <c r="N24" s="7">
        <v>26.37</v>
      </c>
      <c r="O24" s="12">
        <v>35.67</v>
      </c>
      <c r="P24" s="5">
        <v>9.1910000000000007</v>
      </c>
      <c r="Q24" s="15">
        <v>2.8691110869328602</v>
      </c>
      <c r="R24" s="13">
        <v>3.88097051463388</v>
      </c>
      <c r="S24" s="5">
        <v>2.9020000000000001</v>
      </c>
      <c r="T24" s="15">
        <v>9.0868366643694003</v>
      </c>
      <c r="U24" s="13">
        <v>12.2915230875258</v>
      </c>
      <c r="V24" s="5">
        <v>2.58</v>
      </c>
      <c r="W24" s="15">
        <v>10.2209302325581</v>
      </c>
      <c r="X24" s="13">
        <v>13.8255813953488</v>
      </c>
    </row>
    <row r="25" spans="2:24" x14ac:dyDescent="0.25">
      <c r="B25">
        <v>2014</v>
      </c>
      <c r="C25" s="4">
        <v>34.979999999999997</v>
      </c>
      <c r="D25" s="10">
        <v>49.61</v>
      </c>
      <c r="E25" s="1">
        <v>42.453571428571401</v>
      </c>
      <c r="F25" s="1">
        <v>41.884999999999998</v>
      </c>
      <c r="G25" s="11">
        <v>2.25760935295303E-2</v>
      </c>
      <c r="H25" s="8">
        <v>3.2018296169239499E-2</v>
      </c>
      <c r="I25" s="2">
        <v>2.6907002071425701E-2</v>
      </c>
      <c r="J25" s="2">
        <v>2.6800671551370701E-2</v>
      </c>
      <c r="M25" t="s">
        <v>92</v>
      </c>
      <c r="N25" s="7">
        <v>31.15</v>
      </c>
      <c r="O25" s="12">
        <v>42.25</v>
      </c>
      <c r="P25" s="5">
        <v>10.337999999999999</v>
      </c>
      <c r="Q25" s="15">
        <v>3.0131553491971301</v>
      </c>
      <c r="R25" s="13">
        <v>4.0868639969046203</v>
      </c>
      <c r="S25" s="5">
        <v>3.2170000000000001</v>
      </c>
      <c r="T25" s="15">
        <v>9.6829344109418702</v>
      </c>
      <c r="U25" s="13">
        <v>13.133354056574399</v>
      </c>
      <c r="V25" s="5">
        <v>2.63</v>
      </c>
      <c r="W25" s="15">
        <v>11.844106463878299</v>
      </c>
      <c r="X25" s="13">
        <v>16.064638783269899</v>
      </c>
    </row>
    <row r="26" spans="2:24" x14ac:dyDescent="0.25">
      <c r="B26">
        <v>2015</v>
      </c>
      <c r="C26" s="4">
        <v>40.29</v>
      </c>
      <c r="D26" s="10">
        <v>56.55</v>
      </c>
      <c r="E26" s="1">
        <v>46.714285714285602</v>
      </c>
      <c r="F26" s="1">
        <v>46.23</v>
      </c>
      <c r="G26" s="11">
        <v>2.2578295702840399E-2</v>
      </c>
      <c r="H26" s="8">
        <v>3.0776867709108899E-2</v>
      </c>
      <c r="I26" s="2">
        <v>2.7205463561739598E-2</v>
      </c>
      <c r="J26" s="2">
        <v>2.68485693880346E-2</v>
      </c>
      <c r="M26" t="s">
        <v>93</v>
      </c>
      <c r="N26" s="7">
        <v>40.29</v>
      </c>
      <c r="O26" s="12">
        <v>49.61</v>
      </c>
      <c r="P26" s="5">
        <v>11.337999999999999</v>
      </c>
      <c r="Q26" s="15">
        <v>3.5535367789733598</v>
      </c>
      <c r="R26" s="13">
        <v>4.3755512436055701</v>
      </c>
      <c r="S26" s="5">
        <v>2.8740000000000001</v>
      </c>
      <c r="T26" s="15">
        <v>14.0187891440501</v>
      </c>
      <c r="U26" s="13">
        <v>17.261656228253301</v>
      </c>
      <c r="V26" s="5">
        <v>1.48</v>
      </c>
      <c r="W26" s="15">
        <v>27.222972972972901</v>
      </c>
      <c r="X26" s="13">
        <v>33.520270270270203</v>
      </c>
    </row>
    <row r="27" spans="2:24" x14ac:dyDescent="0.25">
      <c r="B27">
        <v>2016</v>
      </c>
      <c r="C27" s="4">
        <v>48.43</v>
      </c>
      <c r="D27" s="10">
        <v>63.62</v>
      </c>
      <c r="E27" s="1">
        <v>55.259325396825403</v>
      </c>
      <c r="F27" s="1">
        <v>55.104999999999997</v>
      </c>
      <c r="G27" s="11">
        <v>2.3606557377049101E-2</v>
      </c>
      <c r="H27" s="8">
        <v>2.9733636175923998E-2</v>
      </c>
      <c r="I27" s="2">
        <v>2.6430386601948099E-2</v>
      </c>
      <c r="J27" s="2">
        <v>2.6217705204956299E-2</v>
      </c>
      <c r="M27" t="s">
        <v>94</v>
      </c>
      <c r="N27" s="7">
        <v>40.47</v>
      </c>
      <c r="O27" s="12">
        <v>56.55</v>
      </c>
      <c r="P27" s="5">
        <v>11.375999999999999</v>
      </c>
      <c r="Q27" s="15">
        <v>3.5574894514767901</v>
      </c>
      <c r="R27" s="13">
        <v>4.9709915611814299</v>
      </c>
      <c r="S27" s="5">
        <v>3.1179999999999999</v>
      </c>
      <c r="T27" s="15">
        <v>12.9794740218088</v>
      </c>
      <c r="U27" s="13">
        <v>18.1366260423348</v>
      </c>
      <c r="V27" s="5">
        <v>2.56</v>
      </c>
      <c r="W27" s="15">
        <v>15.80859375</v>
      </c>
      <c r="X27" s="13">
        <v>22.08984375</v>
      </c>
    </row>
    <row r="28" spans="2:24" x14ac:dyDescent="0.25">
      <c r="B28">
        <v>2017</v>
      </c>
      <c r="C28" s="4">
        <v>62.3</v>
      </c>
      <c r="D28" s="10">
        <v>86.85</v>
      </c>
      <c r="E28" s="1">
        <v>71.925020080321204</v>
      </c>
      <c r="F28" s="1">
        <v>70.87</v>
      </c>
      <c r="G28" s="11">
        <v>1.8448438978240299E-2</v>
      </c>
      <c r="H28" s="8">
        <v>2.5040128410914901E-2</v>
      </c>
      <c r="I28" s="2">
        <v>2.2057048956379902E-2</v>
      </c>
      <c r="J28" s="2">
        <v>2.20121348948779E-2</v>
      </c>
      <c r="M28" t="s">
        <v>95</v>
      </c>
      <c r="N28" s="7">
        <v>51.16</v>
      </c>
      <c r="O28" s="12">
        <v>72.52</v>
      </c>
      <c r="P28" s="5">
        <v>12.33</v>
      </c>
      <c r="Q28" s="15">
        <v>4.1492295214922903</v>
      </c>
      <c r="R28" s="13">
        <v>5.88158961881589</v>
      </c>
      <c r="S28" s="5">
        <v>4.0060000000000002</v>
      </c>
      <c r="T28" s="15">
        <v>12.770843734398399</v>
      </c>
      <c r="U28" s="13">
        <v>18.102845731402802</v>
      </c>
      <c r="V28" s="5">
        <v>3.25</v>
      </c>
      <c r="W28" s="15">
        <v>15.741538461538401</v>
      </c>
      <c r="X28" s="13">
        <v>22.3138461538461</v>
      </c>
    </row>
    <row r="29" spans="2:24" x14ac:dyDescent="0.25">
      <c r="B29">
        <v>2018</v>
      </c>
      <c r="C29" s="4">
        <v>85.01</v>
      </c>
      <c r="D29" s="10">
        <v>115.61</v>
      </c>
      <c r="E29" s="1">
        <v>101.033984063744</v>
      </c>
      <c r="F29" s="1">
        <v>101.16</v>
      </c>
      <c r="G29" s="11">
        <v>1.45316149122048E-2</v>
      </c>
      <c r="H29" s="8">
        <v>1.97623808963651E-2</v>
      </c>
      <c r="I29" s="2">
        <v>1.6919319051767301E-2</v>
      </c>
      <c r="J29" s="2">
        <v>1.7033356990773501E-2</v>
      </c>
      <c r="M29" t="s">
        <v>96</v>
      </c>
      <c r="N29" s="7">
        <v>68.17</v>
      </c>
      <c r="O29" s="12">
        <v>102.49</v>
      </c>
      <c r="P29" s="5">
        <v>14.16</v>
      </c>
      <c r="Q29" s="15">
        <v>4.8142655367231599</v>
      </c>
      <c r="R29" s="13">
        <v>7.2379943502824799</v>
      </c>
      <c r="S29" s="5">
        <v>4.1379999999999999</v>
      </c>
      <c r="T29" s="15">
        <v>16.474142097631699</v>
      </c>
      <c r="U29" s="13">
        <v>24.7680038666022</v>
      </c>
      <c r="V29" s="5">
        <v>2.13</v>
      </c>
      <c r="W29" s="15">
        <v>32.004694835680702</v>
      </c>
      <c r="X29" s="13">
        <v>48.117370892018698</v>
      </c>
    </row>
    <row r="30" spans="2:24" x14ac:dyDescent="0.25">
      <c r="B30">
        <v>2019</v>
      </c>
      <c r="C30" s="4">
        <v>97.4</v>
      </c>
      <c r="D30" s="10">
        <v>158.96</v>
      </c>
      <c r="E30" s="1">
        <v>130.382063492063</v>
      </c>
      <c r="F30" s="1">
        <v>135.22</v>
      </c>
      <c r="G30" s="11">
        <v>1.22348560409601E-2</v>
      </c>
      <c r="H30" s="8">
        <v>1.8891170431211499E-2</v>
      </c>
      <c r="I30" s="2">
        <v>1.4453021118161701E-2</v>
      </c>
      <c r="J30" s="2">
        <v>1.3654155004406201E-2</v>
      </c>
      <c r="M30" t="s">
        <v>97</v>
      </c>
      <c r="N30" s="7">
        <v>94.13</v>
      </c>
      <c r="O30" s="12">
        <v>137.78</v>
      </c>
      <c r="P30" s="5">
        <v>16.231999999999999</v>
      </c>
      <c r="Q30" s="15">
        <v>5.7990389354361698</v>
      </c>
      <c r="R30" s="13">
        <v>8.4881715130606192</v>
      </c>
      <c r="S30" s="5">
        <v>4.9349999999999996</v>
      </c>
      <c r="T30" s="15">
        <v>19.0739614994934</v>
      </c>
      <c r="U30" s="13">
        <v>27.918946301925001</v>
      </c>
      <c r="V30" s="5">
        <v>5.0599999999999996</v>
      </c>
      <c r="W30" s="15">
        <v>18.602766798418902</v>
      </c>
      <c r="X30" s="13">
        <v>27.2292490118577</v>
      </c>
    </row>
    <row r="31" spans="2:24" x14ac:dyDescent="0.25">
      <c r="B31">
        <v>2020</v>
      </c>
      <c r="C31" s="4">
        <v>135.41999999999999</v>
      </c>
      <c r="D31" s="10">
        <v>231.65</v>
      </c>
      <c r="E31" s="1">
        <v>193.02612648221299</v>
      </c>
      <c r="F31" s="1">
        <v>201.91</v>
      </c>
      <c r="G31" s="11">
        <v>8.8063889488452403E-3</v>
      </c>
      <c r="H31" s="8">
        <v>1.50642445724412E-2</v>
      </c>
      <c r="I31" s="2">
        <v>1.0842113094173E-2</v>
      </c>
      <c r="J31" s="2">
        <v>1.0457516339869201E-2</v>
      </c>
      <c r="M31" t="s">
        <v>98</v>
      </c>
      <c r="N31" s="7">
        <v>132.21</v>
      </c>
      <c r="O31" s="12">
        <v>203.51</v>
      </c>
      <c r="P31" s="5">
        <v>18.614000000000001</v>
      </c>
      <c r="Q31" s="15">
        <v>7.1027183840120296</v>
      </c>
      <c r="R31" s="13">
        <v>10.933168582787101</v>
      </c>
      <c r="S31" s="5">
        <v>5.8879999999999999</v>
      </c>
      <c r="T31" s="15">
        <v>22.454144021739101</v>
      </c>
      <c r="U31" s="13">
        <v>34.563519021739097</v>
      </c>
      <c r="V31" s="5">
        <v>5.76</v>
      </c>
      <c r="W31" s="15">
        <v>22.953125</v>
      </c>
      <c r="X31" s="13">
        <v>35.3315972222222</v>
      </c>
    </row>
    <row r="32" spans="2:24" x14ac:dyDescent="0.25">
      <c r="B32">
        <v>2021</v>
      </c>
      <c r="C32" s="4">
        <v>212.25</v>
      </c>
      <c r="D32" s="10">
        <v>343.11</v>
      </c>
      <c r="E32" s="1">
        <v>276.16017374517298</v>
      </c>
      <c r="F32" s="1">
        <v>277.32</v>
      </c>
      <c r="G32" s="11">
        <v>6.5977438072516202E-3</v>
      </c>
      <c r="H32" s="8">
        <v>1.0553592461719601E-2</v>
      </c>
      <c r="I32" s="2">
        <v>8.3475312642557406E-3</v>
      </c>
      <c r="J32" s="2">
        <v>8.0773114092023597E-3</v>
      </c>
      <c r="M32" t="s">
        <v>99</v>
      </c>
      <c r="N32" s="7">
        <v>200.39</v>
      </c>
      <c r="O32" s="12">
        <v>271.39999999999998</v>
      </c>
      <c r="P32" s="5">
        <v>22.094000000000001</v>
      </c>
      <c r="Q32" s="15">
        <v>9.0698832262152607</v>
      </c>
      <c r="R32" s="13">
        <v>12.283877975921</v>
      </c>
      <c r="S32" s="5">
        <v>7.3760000000000003</v>
      </c>
      <c r="T32" s="15">
        <v>27.167841648589999</v>
      </c>
      <c r="U32" s="13">
        <v>36.795010845986901</v>
      </c>
      <c r="V32" s="5">
        <v>8.0500000000000007</v>
      </c>
      <c r="W32" s="15">
        <v>24.893167701863302</v>
      </c>
      <c r="X32" s="13">
        <v>33.714285714285701</v>
      </c>
    </row>
    <row r="33" spans="2:10" x14ac:dyDescent="0.25">
      <c r="B33">
        <v>2022</v>
      </c>
      <c r="C33" s="4">
        <v>270.22000000000003</v>
      </c>
      <c r="D33" s="10">
        <v>334.75</v>
      </c>
      <c r="E33" s="1">
        <v>297.73070588235299</v>
      </c>
      <c r="F33" s="1">
        <v>299.16000000000003</v>
      </c>
      <c r="G33" s="11">
        <v>7.4085138162808001E-3</v>
      </c>
      <c r="H33" s="8">
        <v>9.1777070535119503E-3</v>
      </c>
      <c r="I33" s="2">
        <v>8.3455432856365599E-3</v>
      </c>
      <c r="J33" s="2">
        <v>8.2898783259794002E-3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Q32" sqref="Q22:Q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12.28515625" bestFit="1" customWidth="1"/>
    <col min="15" max="15" width="14.85546875" customWidth="1"/>
    <col min="16" max="16" width="11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70</v>
      </c>
      <c r="C3" s="5">
        <v>2758.7</v>
      </c>
      <c r="D3" s="5">
        <v>354.1</v>
      </c>
      <c r="E3" s="5">
        <v>2404.6</v>
      </c>
      <c r="F3" s="16">
        <f>Table4[[#This Row],[GrossProfit]]/Table4[[#This Row],[Revenue]]</f>
        <v>0.87164244027984195</v>
      </c>
      <c r="G3" s="1">
        <v>996</v>
      </c>
      <c r="H3" s="1">
        <v>1408.6</v>
      </c>
      <c r="I3" s="17">
        <f>Table4[[#This Row],[OperatingProfit]]/Table4[[#This Row],[Revenue]]</f>
        <v>0.36103962011092183</v>
      </c>
      <c r="J3" s="5">
        <v>708.1</v>
      </c>
      <c r="K3" s="17">
        <f>Table4[[#This Row],[NetProfit]]/Table4[[#This Row],[Revenue]]</f>
        <v>0.25667887048247368</v>
      </c>
      <c r="L3" s="5">
        <v>907</v>
      </c>
      <c r="M3" s="17">
        <f>Table4[[#This Row],[CashFromOps]]/Table4[[#This Row],[Revenue]]</f>
        <v>0.32877804763113061</v>
      </c>
      <c r="N3" s="5">
        <v>-316.60000000000002</v>
      </c>
      <c r="O3" s="17">
        <f>ABS(Table4[[#This Row],[CAPEX]])/Table4[[#This Row],[Revenue]]</f>
        <v>0.11476420052923481</v>
      </c>
      <c r="P3" s="5">
        <v>590.4</v>
      </c>
      <c r="Q3" s="17">
        <f>Table4[[#This Row],[FCF]]/Table4[[#This Row],[Revenue]]</f>
        <v>0.21401384710189583</v>
      </c>
      <c r="R3" s="5">
        <v>0</v>
      </c>
      <c r="S3" s="17">
        <f>ABS(Table4[[#This Row],[Dividends]])/Table4[[#This Row],[Revenue]]</f>
        <v>0</v>
      </c>
    </row>
    <row r="4" spans="2:19" x14ac:dyDescent="0.25">
      <c r="B4" t="s">
        <v>71</v>
      </c>
      <c r="C4" s="5">
        <v>3753</v>
      </c>
      <c r="D4" s="5">
        <v>482</v>
      </c>
      <c r="E4" s="5">
        <v>3271</v>
      </c>
      <c r="F4" s="16">
        <f>Table4[[#This Row],[GrossProfit]]/Table4[[#This Row],[Revenue]]</f>
        <v>0.87156941113775643</v>
      </c>
      <c r="G4" s="1">
        <v>1326</v>
      </c>
      <c r="H4" s="1">
        <v>1945</v>
      </c>
      <c r="I4" s="17">
        <f>Table4[[#This Row],[OperatingProfit]]/Table4[[#This Row],[Revenue]]</f>
        <v>0.35331734612310151</v>
      </c>
      <c r="J4" s="5">
        <v>953</v>
      </c>
      <c r="K4" s="17">
        <f>Table4[[#This Row],[NetProfit]]/Table4[[#This Row],[Revenue]]</f>
        <v>0.25393018918198773</v>
      </c>
      <c r="L4" s="5">
        <v>1074</v>
      </c>
      <c r="M4" s="17">
        <f>Table4[[#This Row],[CashFromOps]]/Table4[[#This Row],[Revenue]]</f>
        <v>0.28617106314948043</v>
      </c>
      <c r="N4" s="5">
        <v>-236</v>
      </c>
      <c r="O4" s="17">
        <f>ABS(Table4[[#This Row],[CAPEX]])/Table4[[#This Row],[Revenue]]</f>
        <v>6.2883026911803891E-2</v>
      </c>
      <c r="P4" s="5">
        <v>838</v>
      </c>
      <c r="Q4" s="17">
        <f>Table4[[#This Row],[FCF]]/Table4[[#This Row],[Revenue]]</f>
        <v>0.22328803623767651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72</v>
      </c>
      <c r="C5" s="5">
        <v>4649</v>
      </c>
      <c r="D5" s="5">
        <v>526</v>
      </c>
      <c r="E5" s="5">
        <v>4123</v>
      </c>
      <c r="F5" s="16">
        <f>Table4[[#This Row],[GrossProfit]]/Table4[[#This Row],[Revenue]]</f>
        <v>0.88685738868573882</v>
      </c>
      <c r="G5" s="1">
        <v>1726</v>
      </c>
      <c r="H5" s="1">
        <v>2397</v>
      </c>
      <c r="I5" s="17">
        <f>Table4[[#This Row],[OperatingProfit]]/Table4[[#This Row],[Revenue]]</f>
        <v>0.37126263712626373</v>
      </c>
      <c r="J5" s="5">
        <v>1146</v>
      </c>
      <c r="K5" s="17">
        <f>Table4[[#This Row],[NetProfit]]/Table4[[#This Row],[Revenue]]</f>
        <v>0.24650462465046247</v>
      </c>
      <c r="L5" s="5">
        <v>1593</v>
      </c>
      <c r="M5" s="17">
        <f>Table4[[#This Row],[CashFromOps]]/Table4[[#This Row],[Revenue]]</f>
        <v>0.3426543342654334</v>
      </c>
      <c r="N5" s="5">
        <v>-278</v>
      </c>
      <c r="O5" s="17">
        <f>ABS(Table4[[#This Row],[CAPEX]])/Table4[[#This Row],[Revenue]]</f>
        <v>5.9797805979780599E-2</v>
      </c>
      <c r="P5" s="5">
        <v>1315</v>
      </c>
      <c r="Q5" s="17">
        <f>Table4[[#This Row],[FCF]]/Table4[[#This Row],[Revenue]]</f>
        <v>0.28285652828565283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73</v>
      </c>
      <c r="C6" s="5">
        <v>5937</v>
      </c>
      <c r="D6" s="5">
        <v>608</v>
      </c>
      <c r="E6" s="5">
        <v>5329</v>
      </c>
      <c r="F6" s="16">
        <f>Table4[[#This Row],[GrossProfit]]/Table4[[#This Row],[Revenue]]</f>
        <v>0.89759137611588347</v>
      </c>
      <c r="G6" s="1">
        <v>2038</v>
      </c>
      <c r="H6" s="1">
        <v>3291</v>
      </c>
      <c r="I6" s="17">
        <f>Table4[[#This Row],[OperatingProfit]]/Table4[[#This Row],[Revenue]]</f>
        <v>0.34327101229577228</v>
      </c>
      <c r="J6" s="5">
        <v>1453</v>
      </c>
      <c r="K6" s="17">
        <f>Table4[[#This Row],[NetProfit]]/Table4[[#This Row],[Revenue]]</f>
        <v>0.24473639885464038</v>
      </c>
      <c r="L6" s="5">
        <v>1990</v>
      </c>
      <c r="M6" s="17">
        <f>Table4[[#This Row],[CashFromOps]]/Table4[[#This Row],[Revenue]]</f>
        <v>0.33518612093649991</v>
      </c>
      <c r="N6" s="5">
        <v>-495</v>
      </c>
      <c r="O6" s="17">
        <f>ABS(Table4[[#This Row],[CAPEX]])/Table4[[#This Row],[Revenue]]</f>
        <v>8.3375442142496203E-2</v>
      </c>
      <c r="P6" s="5">
        <v>1495</v>
      </c>
      <c r="Q6" s="17">
        <f>Table4[[#This Row],[FCF]]/Table4[[#This Row],[Revenue]]</f>
        <v>0.25181067879400371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74</v>
      </c>
      <c r="C7" s="5">
        <v>8671</v>
      </c>
      <c r="D7" s="5">
        <v>708</v>
      </c>
      <c r="E7" s="5">
        <v>7963</v>
      </c>
      <c r="F7" s="16">
        <f>Table4[[#This Row],[GrossProfit]]/Table4[[#This Row],[Revenue]]</f>
        <v>0.91834851804866802</v>
      </c>
      <c r="G7" s="1">
        <v>3078</v>
      </c>
      <c r="H7" s="1">
        <v>4885</v>
      </c>
      <c r="I7" s="17">
        <f>Table4[[#This Row],[OperatingProfit]]/Table4[[#This Row],[Revenue]]</f>
        <v>0.35497635797485871</v>
      </c>
      <c r="J7" s="5">
        <v>2195</v>
      </c>
      <c r="K7" s="17">
        <f>Table4[[#This Row],[NetProfit]]/Table4[[#This Row],[Revenue]]</f>
        <v>0.25314265943951103</v>
      </c>
      <c r="L7" s="5">
        <v>3719</v>
      </c>
      <c r="M7" s="17">
        <f>Table4[[#This Row],[CashFromOps]]/Table4[[#This Row],[Revenue]]</f>
        <v>0.42890093414831049</v>
      </c>
      <c r="N7" s="5">
        <v>-494</v>
      </c>
      <c r="O7" s="17">
        <f>ABS(Table4[[#This Row],[CAPEX]])/Table4[[#This Row],[Revenue]]</f>
        <v>5.6971514242878558E-2</v>
      </c>
      <c r="P7" s="5">
        <v>3225</v>
      </c>
      <c r="Q7" s="17">
        <f>Table4[[#This Row],[FCF]]/Table4[[#This Row],[Revenue]]</f>
        <v>0.37192941990543188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75</v>
      </c>
      <c r="C8" s="5">
        <v>11936</v>
      </c>
      <c r="D8" s="5">
        <v>1613</v>
      </c>
      <c r="E8" s="5">
        <v>10323</v>
      </c>
      <c r="F8" s="16">
        <f>Table4[[#This Row],[GrossProfit]]/Table4[[#This Row],[Revenue]]</f>
        <v>0.86486260053619302</v>
      </c>
      <c r="G8" s="1">
        <v>4871</v>
      </c>
      <c r="H8" s="1">
        <v>5452</v>
      </c>
      <c r="I8" s="17">
        <f>Table4[[#This Row],[OperatingProfit]]/Table4[[#This Row],[Revenue]]</f>
        <v>0.40809316353887398</v>
      </c>
      <c r="J8" s="5">
        <v>3454</v>
      </c>
      <c r="K8" s="17">
        <f>Table4[[#This Row],[NetProfit]]/Table4[[#This Row],[Revenue]]</f>
        <v>0.28937667560321717</v>
      </c>
      <c r="L8" s="5">
        <v>4689</v>
      </c>
      <c r="M8" s="17">
        <f>Table4[[#This Row],[CashFromOps]]/Table4[[#This Row],[Revenue]]</f>
        <v>0.39284517426273458</v>
      </c>
      <c r="N8" s="5">
        <v>-499</v>
      </c>
      <c r="O8" s="17">
        <f>ABS(Table4[[#This Row],[CAPEX]])/Table4[[#This Row],[Revenue]]</f>
        <v>4.1806300268096515E-2</v>
      </c>
      <c r="P8" s="5">
        <v>4190</v>
      </c>
      <c r="Q8" s="17">
        <f>Table4[[#This Row],[FCF]]/Table4[[#This Row],[Revenue]]</f>
        <v>0.35103887399463807</v>
      </c>
      <c r="R8" s="5">
        <v>-15</v>
      </c>
      <c r="S8" s="17">
        <f>ABS(Table4[[#This Row],[Dividends]])/Table4[[#This Row],[Revenue]]</f>
        <v>1.2567024128686327E-3</v>
      </c>
    </row>
    <row r="9" spans="2:19" x14ac:dyDescent="0.25">
      <c r="B9" t="s">
        <v>76</v>
      </c>
      <c r="C9" s="5">
        <v>15262</v>
      </c>
      <c r="D9" s="5">
        <v>1436</v>
      </c>
      <c r="E9" s="5">
        <v>13826</v>
      </c>
      <c r="F9" s="16">
        <f>Table4[[#This Row],[GrossProfit]]/Table4[[#This Row],[Revenue]]</f>
        <v>0.90591010352509505</v>
      </c>
      <c r="G9" s="1">
        <v>6710</v>
      </c>
      <c r="H9" s="1">
        <v>7116</v>
      </c>
      <c r="I9" s="17">
        <f>Table4[[#This Row],[OperatingProfit]]/Table4[[#This Row],[Revenue]]</f>
        <v>0.43965404272048225</v>
      </c>
      <c r="J9" s="5">
        <v>4490</v>
      </c>
      <c r="K9" s="17">
        <f>Table4[[#This Row],[NetProfit]]/Table4[[#This Row],[Revenue]]</f>
        <v>0.2941947320141528</v>
      </c>
      <c r="L9" s="5">
        <v>8433</v>
      </c>
      <c r="M9" s="17">
        <f>Table4[[#This Row],[CashFromOps]]/Table4[[#This Row],[Revenue]]</f>
        <v>0.5525488140479623</v>
      </c>
      <c r="N9" s="5">
        <v>-846</v>
      </c>
      <c r="O9" s="17">
        <f>ABS(Table4[[#This Row],[CAPEX]])/Table4[[#This Row],[Revenue]]</f>
        <v>5.5431791377276898E-2</v>
      </c>
      <c r="P9" s="5">
        <v>7587</v>
      </c>
      <c r="Q9" s="17">
        <f>Table4[[#This Row],[FCF]]/Table4[[#This Row],[Revenue]]</f>
        <v>0.49711702267068536</v>
      </c>
      <c r="R9" s="5">
        <v>-28</v>
      </c>
      <c r="S9" s="17">
        <f>ABS(Table4[[#This Row],[Dividends]])/Table4[[#This Row],[Revenue]]</f>
        <v>1.8346219368365875E-3</v>
      </c>
    </row>
    <row r="10" spans="2:19" x14ac:dyDescent="0.25">
      <c r="B10" t="s">
        <v>77</v>
      </c>
      <c r="C10" s="5">
        <v>19747</v>
      </c>
      <c r="D10" s="5">
        <v>1804</v>
      </c>
      <c r="E10" s="5">
        <v>17943</v>
      </c>
      <c r="F10" s="16">
        <f>Table4[[#This Row],[GrossProfit]]/Table4[[#This Row],[Revenue]]</f>
        <v>0.90864435104066443</v>
      </c>
      <c r="G10" s="1">
        <v>10043</v>
      </c>
      <c r="H10" s="1">
        <v>7900</v>
      </c>
      <c r="I10" s="17">
        <f>Table4[[#This Row],[OperatingProfit]]/Table4[[#This Row],[Revenue]]</f>
        <v>0.50858358231630119</v>
      </c>
      <c r="J10" s="5">
        <v>7785</v>
      </c>
      <c r="K10" s="17">
        <f>Table4[[#This Row],[NetProfit]]/Table4[[#This Row],[Revenue]]</f>
        <v>0.39423709930622375</v>
      </c>
      <c r="L10" s="5">
        <v>13137</v>
      </c>
      <c r="M10" s="17">
        <f>Table4[[#This Row],[CashFromOps]]/Table4[[#This Row],[Revenue]]</f>
        <v>0.66526560996607076</v>
      </c>
      <c r="N10" s="5">
        <v>-583</v>
      </c>
      <c r="O10" s="17">
        <f>ABS(Table4[[#This Row],[CAPEX]])/Table4[[#This Row],[Revenue]]</f>
        <v>2.9523471919785285E-2</v>
      </c>
      <c r="P10" s="5">
        <v>12554</v>
      </c>
      <c r="Q10" s="17">
        <f>Table4[[#This Row],[FCF]]/Table4[[#This Row],[Revenue]]</f>
        <v>0.63574213804628554</v>
      </c>
      <c r="R10" s="5">
        <v>-28</v>
      </c>
      <c r="S10" s="17">
        <f>ABS(Table4[[#This Row],[Dividends]])/Table4[[#This Row],[Revenue]]</f>
        <v>1.4179369018078695E-3</v>
      </c>
    </row>
    <row r="11" spans="2:19" x14ac:dyDescent="0.25">
      <c r="B11" t="s">
        <v>78</v>
      </c>
      <c r="C11" s="5">
        <v>22956</v>
      </c>
      <c r="D11" s="5">
        <v>3002</v>
      </c>
      <c r="E11" s="5">
        <v>19954</v>
      </c>
      <c r="F11" s="16">
        <f>Table4[[#This Row],[GrossProfit]]/Table4[[#This Row],[Revenue]]</f>
        <v>0.86922808851716327</v>
      </c>
      <c r="G11" s="1">
        <v>11006</v>
      </c>
      <c r="H11" s="1">
        <v>8948</v>
      </c>
      <c r="I11" s="17">
        <f>Table4[[#This Row],[OperatingProfit]]/Table4[[#This Row],[Revenue]]</f>
        <v>0.47943892664227217</v>
      </c>
      <c r="J11" s="5">
        <v>9421</v>
      </c>
      <c r="K11" s="17">
        <f>Table4[[#This Row],[NetProfit]]/Table4[[#This Row],[Revenue]]</f>
        <v>0.4103937968287158</v>
      </c>
      <c r="L11" s="5">
        <v>11426</v>
      </c>
      <c r="M11" s="17">
        <f>Table4[[#This Row],[CashFromOps]]/Table4[[#This Row],[Revenue]]</f>
        <v>0.49773479700296219</v>
      </c>
      <c r="N11" s="5">
        <v>-879</v>
      </c>
      <c r="O11" s="17">
        <f>ABS(Table4[[#This Row],[CAPEX]])/Table4[[#This Row],[Revenue]]</f>
        <v>3.8290642969158392E-2</v>
      </c>
      <c r="P11" s="5">
        <v>10547</v>
      </c>
      <c r="Q11" s="17">
        <f>Table4[[#This Row],[FCF]]/Table4[[#This Row],[Revenue]]</f>
        <v>0.45944415403380379</v>
      </c>
      <c r="R11" s="5">
        <v>-13</v>
      </c>
      <c r="S11" s="17">
        <f>ABS(Table4[[#This Row],[Dividends]])/Table4[[#This Row],[Revenue]]</f>
        <v>5.6630074925945282E-4</v>
      </c>
    </row>
    <row r="12" spans="2:19" x14ac:dyDescent="0.25">
      <c r="B12" t="s">
        <v>79</v>
      </c>
      <c r="C12" s="5">
        <v>25296</v>
      </c>
      <c r="D12" s="5">
        <v>3455</v>
      </c>
      <c r="E12" s="5">
        <v>21841</v>
      </c>
      <c r="F12" s="16">
        <f>Table4[[#This Row],[GrossProfit]]/Table4[[#This Row],[Revenue]]</f>
        <v>0.86341714104996836</v>
      </c>
      <c r="G12" s="1">
        <v>11720</v>
      </c>
      <c r="H12" s="1">
        <v>10121</v>
      </c>
      <c r="I12" s="17">
        <f>Table4[[#This Row],[OperatingProfit]]/Table4[[#This Row],[Revenue]]</f>
        <v>0.46331435800126503</v>
      </c>
      <c r="J12" s="5">
        <v>7346</v>
      </c>
      <c r="K12" s="17">
        <f>Table4[[#This Row],[NetProfit]]/Table4[[#This Row],[Revenue]]</f>
        <v>0.29040164452877926</v>
      </c>
      <c r="L12" s="5">
        <v>13422</v>
      </c>
      <c r="M12" s="17">
        <f>Table4[[#This Row],[CashFromOps]]/Table4[[#This Row],[Revenue]]</f>
        <v>0.53059772296015184</v>
      </c>
      <c r="N12" s="5">
        <v>-1103</v>
      </c>
      <c r="O12" s="17">
        <f>ABS(Table4[[#This Row],[CAPEX]])/Table4[[#This Row],[Revenue]]</f>
        <v>4.3603731815306766E-2</v>
      </c>
      <c r="P12" s="5">
        <v>12319</v>
      </c>
      <c r="Q12" s="17">
        <f>Table4[[#This Row],[FCF]]/Table4[[#This Row],[Revenue]]</f>
        <v>0.48699399114484504</v>
      </c>
      <c r="R12" s="5">
        <v>0</v>
      </c>
      <c r="S12" s="17">
        <f>ABS(Table4[[#This Row],[Dividends]])/Table4[[#This Row],[Revenue]]</f>
        <v>0</v>
      </c>
    </row>
    <row r="13" spans="2:19" x14ac:dyDescent="0.25">
      <c r="B13" t="s">
        <v>80</v>
      </c>
      <c r="C13" s="5">
        <v>28365</v>
      </c>
      <c r="D13" s="5">
        <v>5191</v>
      </c>
      <c r="E13" s="5">
        <v>23174</v>
      </c>
      <c r="F13" s="16">
        <f>Table4[[#This Row],[GrossProfit]]/Table4[[#This Row],[Revenue]]</f>
        <v>0.8169927727833598</v>
      </c>
      <c r="G13" s="1">
        <v>11910</v>
      </c>
      <c r="H13" s="1">
        <v>11264</v>
      </c>
      <c r="I13" s="17">
        <f>Table4[[#This Row],[OperatingProfit]]/Table4[[#This Row],[Revenue]]</f>
        <v>0.41988365943945005</v>
      </c>
      <c r="J13" s="5">
        <v>7829</v>
      </c>
      <c r="K13" s="17">
        <f>Table4[[#This Row],[NetProfit]]/Table4[[#This Row],[Revenue]]</f>
        <v>0.27600916622598271</v>
      </c>
      <c r="L13" s="5">
        <v>14509</v>
      </c>
      <c r="M13" s="17">
        <f>Table4[[#This Row],[CashFromOps]]/Table4[[#This Row],[Revenue]]</f>
        <v>0.51151066455138372</v>
      </c>
      <c r="N13" s="5">
        <v>-770</v>
      </c>
      <c r="O13" s="17">
        <f>ABS(Table4[[#This Row],[CAPEX]])/Table4[[#This Row],[Revenue]]</f>
        <v>2.7146130794993832E-2</v>
      </c>
      <c r="P13" s="5">
        <v>13739</v>
      </c>
      <c r="Q13" s="17">
        <f>Table4[[#This Row],[FCF]]/Table4[[#This Row],[Revenue]]</f>
        <v>0.48436453375638994</v>
      </c>
      <c r="R13" s="5">
        <v>0</v>
      </c>
      <c r="S13" s="17">
        <f>ABS(Table4[[#This Row],[Dividends]])/Table4[[#This Row],[Revenue]]</f>
        <v>0</v>
      </c>
    </row>
    <row r="14" spans="2:19" x14ac:dyDescent="0.25">
      <c r="B14" t="s">
        <v>81</v>
      </c>
      <c r="C14" s="5">
        <v>32187</v>
      </c>
      <c r="D14" s="5">
        <v>6059</v>
      </c>
      <c r="E14" s="5">
        <v>26128</v>
      </c>
      <c r="F14" s="16">
        <f>Table4[[#This Row],[GrossProfit]]/Table4[[#This Row],[Revenue]]</f>
        <v>0.81175629912697678</v>
      </c>
      <c r="G14" s="1">
        <v>9545</v>
      </c>
      <c r="H14" s="1">
        <v>16583</v>
      </c>
      <c r="I14" s="17">
        <f>Table4[[#This Row],[OperatingProfit]]/Table4[[#This Row],[Revenue]]</f>
        <v>0.29654829589585857</v>
      </c>
      <c r="J14" s="5">
        <v>7531</v>
      </c>
      <c r="K14" s="17">
        <f>Table4[[#This Row],[NetProfit]]/Table4[[#This Row],[Revenue]]</f>
        <v>0.23397645011961352</v>
      </c>
      <c r="L14" s="5">
        <v>15797</v>
      </c>
      <c r="M14" s="17">
        <f>Table4[[#This Row],[CashFromOps]]/Table4[[#This Row],[Revenue]]</f>
        <v>0.49078820641874049</v>
      </c>
      <c r="N14" s="5">
        <v>-891</v>
      </c>
      <c r="O14" s="17">
        <f>ABS(Table4[[#This Row],[CAPEX]])/Table4[[#This Row],[Revenue]]</f>
        <v>2.7681983409451022E-2</v>
      </c>
      <c r="P14" s="5">
        <v>14906</v>
      </c>
      <c r="Q14" s="17">
        <f>Table4[[#This Row],[FCF]]/Table4[[#This Row],[Revenue]]</f>
        <v>0.46310622300928944</v>
      </c>
      <c r="R14" s="5">
        <v>-857</v>
      </c>
      <c r="S14" s="17">
        <f>ABS(Table4[[#This Row],[Dividends]])/Table4[[#This Row],[Revenue]]</f>
        <v>2.6625656320874887E-2</v>
      </c>
    </row>
    <row r="15" spans="2:19" x14ac:dyDescent="0.25">
      <c r="B15" t="s">
        <v>82</v>
      </c>
      <c r="C15" s="5">
        <v>36835</v>
      </c>
      <c r="D15" s="5">
        <v>6716</v>
      </c>
      <c r="E15" s="5">
        <v>30119</v>
      </c>
      <c r="F15" s="16">
        <f>Table4[[#This Row],[GrossProfit]]/Table4[[#This Row],[Revenue]]</f>
        <v>0.81767340844305691</v>
      </c>
      <c r="G15" s="1">
        <v>9034</v>
      </c>
      <c r="H15" s="1">
        <v>21085</v>
      </c>
      <c r="I15" s="17">
        <f>Table4[[#This Row],[OperatingProfit]]/Table4[[#This Row],[Revenue]]</f>
        <v>0.24525587077507804</v>
      </c>
      <c r="J15" s="5">
        <v>8168</v>
      </c>
      <c r="K15" s="17">
        <f>Table4[[#This Row],[NetProfit]]/Table4[[#This Row],[Revenue]]</f>
        <v>0.22174562237002851</v>
      </c>
      <c r="L15" s="5">
        <v>14626</v>
      </c>
      <c r="M15" s="17">
        <f>Table4[[#This Row],[CashFromOps]]/Table4[[#This Row],[Revenue]]</f>
        <v>0.39706800597258041</v>
      </c>
      <c r="N15" s="5">
        <v>-1109</v>
      </c>
      <c r="O15" s="17">
        <f>ABS(Table4[[#This Row],[CAPEX]])/Table4[[#This Row],[Revenue]]</f>
        <v>3.0107234966743585E-2</v>
      </c>
      <c r="P15" s="5">
        <v>13517</v>
      </c>
      <c r="Q15" s="17">
        <f>Table4[[#This Row],[FCF]]/Table4[[#This Row],[Revenue]]</f>
        <v>0.36696077100583685</v>
      </c>
      <c r="R15" s="5">
        <v>-1729</v>
      </c>
      <c r="S15" s="17">
        <f>ABS(Table4[[#This Row],[Dividends]])/Table4[[#This Row],[Revenue]]</f>
        <v>4.6939052531559659E-2</v>
      </c>
    </row>
    <row r="16" spans="2:19" x14ac:dyDescent="0.25">
      <c r="B16" t="s">
        <v>83</v>
      </c>
      <c r="C16" s="5">
        <v>39788</v>
      </c>
      <c r="D16" s="5">
        <v>6031</v>
      </c>
      <c r="E16" s="5">
        <v>33757</v>
      </c>
      <c r="F16" s="16">
        <f>Table4[[#This Row],[GrossProfit]]/Table4[[#This Row],[Revenue]]</f>
        <v>0.84842163466371767</v>
      </c>
      <c r="G16" s="1">
        <v>14561</v>
      </c>
      <c r="H16" s="1">
        <v>19196</v>
      </c>
      <c r="I16" s="17">
        <f>Table4[[#This Row],[OperatingProfit]]/Table4[[#This Row],[Revenue]]</f>
        <v>0.36596461244596362</v>
      </c>
      <c r="J16" s="5">
        <v>12254</v>
      </c>
      <c r="K16" s="17">
        <f>Table4[[#This Row],[NetProfit]]/Table4[[#This Row],[Revenue]]</f>
        <v>0.30798230622298178</v>
      </c>
      <c r="L16" s="5">
        <v>16605</v>
      </c>
      <c r="M16" s="17">
        <f>Table4[[#This Row],[CashFromOps]]/Table4[[#This Row],[Revenue]]</f>
        <v>0.41733688549311349</v>
      </c>
      <c r="N16" s="5">
        <v>-812</v>
      </c>
      <c r="O16" s="17">
        <f>ABS(Table4[[#This Row],[CAPEX]])/Table4[[#This Row],[Revenue]]</f>
        <v>2.0408163265306121E-2</v>
      </c>
      <c r="P16" s="5">
        <v>15793</v>
      </c>
      <c r="Q16" s="17">
        <f>Table4[[#This Row],[FCF]]/Table4[[#This Row],[Revenue]]</f>
        <v>0.3969287222278074</v>
      </c>
      <c r="R16" s="5">
        <v>-36112</v>
      </c>
      <c r="S16" s="17">
        <f>ABS(Table4[[#This Row],[Dividends]])/Table4[[#This Row],[Revenue]]</f>
        <v>0.90761033477430386</v>
      </c>
    </row>
    <row r="17" spans="2:19" x14ac:dyDescent="0.25">
      <c r="B17" t="s">
        <v>84</v>
      </c>
      <c r="C17" s="5">
        <v>44282</v>
      </c>
      <c r="D17" s="5">
        <v>7650</v>
      </c>
      <c r="E17" s="5">
        <v>36632</v>
      </c>
      <c r="F17" s="16">
        <f>Table4[[#This Row],[GrossProfit]]/Table4[[#This Row],[Revenue]]</f>
        <v>0.82724357526760306</v>
      </c>
      <c r="G17" s="1">
        <v>16472</v>
      </c>
      <c r="H17" s="1">
        <v>20160</v>
      </c>
      <c r="I17" s="17">
        <f>Table4[[#This Row],[OperatingProfit]]/Table4[[#This Row],[Revenue]]</f>
        <v>0.37197958538458065</v>
      </c>
      <c r="J17" s="5">
        <v>12599</v>
      </c>
      <c r="K17" s="17">
        <f>Table4[[#This Row],[NetProfit]]/Table4[[#This Row],[Revenue]]</f>
        <v>0.28451741113770834</v>
      </c>
      <c r="L17" s="5">
        <v>14404</v>
      </c>
      <c r="M17" s="17">
        <f>Table4[[#This Row],[CashFromOps]]/Table4[[#This Row],[Revenue]]</f>
        <v>0.32527889435888169</v>
      </c>
      <c r="N17" s="5">
        <v>-1578</v>
      </c>
      <c r="O17" s="17">
        <f>ABS(Table4[[#This Row],[CAPEX]])/Table4[[#This Row],[Revenue]]</f>
        <v>3.5635246827153244E-2</v>
      </c>
      <c r="P17" s="5">
        <v>12826</v>
      </c>
      <c r="Q17" s="17">
        <f>Table4[[#This Row],[FCF]]/Table4[[#This Row],[Revenue]]</f>
        <v>0.28964364753172844</v>
      </c>
      <c r="R17" s="5">
        <v>-3545</v>
      </c>
      <c r="S17" s="17">
        <f>ABS(Table4[[#This Row],[Dividends]])/Table4[[#This Row],[Revenue]]</f>
        <v>8.0055101395600917E-2</v>
      </c>
    </row>
    <row r="18" spans="2:19" x14ac:dyDescent="0.25">
      <c r="B18" t="s">
        <v>85</v>
      </c>
      <c r="C18" s="5">
        <v>51122</v>
      </c>
      <c r="D18" s="5">
        <v>10693</v>
      </c>
      <c r="E18" s="5">
        <v>40429</v>
      </c>
      <c r="F18" s="16">
        <f>Table4[[#This Row],[GrossProfit]]/Table4[[#This Row],[Revenue]]</f>
        <v>0.79083369195258402</v>
      </c>
      <c r="G18" s="1">
        <v>18438</v>
      </c>
      <c r="H18" s="1">
        <v>21991</v>
      </c>
      <c r="I18" s="17">
        <f>Table4[[#This Row],[OperatingProfit]]/Table4[[#This Row],[Revenue]]</f>
        <v>0.3606666405852666</v>
      </c>
      <c r="J18" s="5">
        <v>14065</v>
      </c>
      <c r="K18" s="17">
        <f>Table4[[#This Row],[NetProfit]]/Table4[[#This Row],[Revenue]]</f>
        <v>0.27512616877273971</v>
      </c>
      <c r="L18" s="5">
        <v>17796</v>
      </c>
      <c r="M18" s="17">
        <f>Table4[[#This Row],[CashFromOps]]/Table4[[#This Row],[Revenue]]</f>
        <v>0.34810844646140604</v>
      </c>
      <c r="N18" s="5">
        <v>-2264</v>
      </c>
      <c r="O18" s="17">
        <f>ABS(Table4[[#This Row],[CAPEX]])/Table4[[#This Row],[Revenue]]</f>
        <v>4.4286217284143815E-2</v>
      </c>
      <c r="P18" s="5">
        <v>15532</v>
      </c>
      <c r="Q18" s="17">
        <f>Table4[[#This Row],[FCF]]/Table4[[#This Row],[Revenue]]</f>
        <v>0.30382222917726226</v>
      </c>
      <c r="R18" s="5">
        <v>-3805</v>
      </c>
      <c r="S18" s="17">
        <f>ABS(Table4[[#This Row],[Dividends]])/Table4[[#This Row],[Revenue]]</f>
        <v>7.4429795391416614E-2</v>
      </c>
    </row>
    <row r="19" spans="2:19" x14ac:dyDescent="0.25">
      <c r="B19" t="s">
        <v>86</v>
      </c>
      <c r="C19" s="5">
        <v>60420</v>
      </c>
      <c r="D19" s="5">
        <v>11598</v>
      </c>
      <c r="E19" s="5">
        <v>48822</v>
      </c>
      <c r="F19" s="16">
        <f>Table4[[#This Row],[GrossProfit]]/Table4[[#This Row],[Revenue]]</f>
        <v>0.80804369414101296</v>
      </c>
      <c r="G19" s="1">
        <v>22271</v>
      </c>
      <c r="H19" s="1">
        <v>26551</v>
      </c>
      <c r="I19" s="17">
        <f>Table4[[#This Row],[OperatingProfit]]/Table4[[#This Row],[Revenue]]</f>
        <v>0.36860311155246606</v>
      </c>
      <c r="J19" s="5">
        <v>17681</v>
      </c>
      <c r="K19" s="17">
        <f>Table4[[#This Row],[NetProfit]]/Table4[[#This Row],[Revenue]]</f>
        <v>0.29263488910956637</v>
      </c>
      <c r="L19" s="5">
        <v>21612</v>
      </c>
      <c r="M19" s="17">
        <f>Table4[[#This Row],[CashFromOps]]/Table4[[#This Row],[Revenue]]</f>
        <v>0.35769612711022841</v>
      </c>
      <c r="N19" s="5">
        <v>-3182</v>
      </c>
      <c r="O19" s="17">
        <f>ABS(Table4[[#This Row],[CAPEX]])/Table4[[#This Row],[Revenue]]</f>
        <v>5.2664680569347901E-2</v>
      </c>
      <c r="P19" s="5">
        <v>18430</v>
      </c>
      <c r="Q19" s="17">
        <f>Table4[[#This Row],[FCF]]/Table4[[#This Row],[Revenue]]</f>
        <v>0.30503144654088049</v>
      </c>
      <c r="R19" s="5">
        <v>-4015</v>
      </c>
      <c r="S19" s="17">
        <f>ABS(Table4[[#This Row],[Dividends]])/Table4[[#This Row],[Revenue]]</f>
        <v>6.6451506123800061E-2</v>
      </c>
    </row>
    <row r="20" spans="2:19" x14ac:dyDescent="0.25">
      <c r="B20" t="s">
        <v>87</v>
      </c>
      <c r="C20" s="5">
        <v>58437</v>
      </c>
      <c r="D20" s="5">
        <v>12155</v>
      </c>
      <c r="E20" s="5">
        <v>46282</v>
      </c>
      <c r="F20" s="16">
        <f>Table4[[#This Row],[GrossProfit]]/Table4[[#This Row],[Revenue]]</f>
        <v>0.79199822030562828</v>
      </c>
      <c r="G20" s="1">
        <v>20363</v>
      </c>
      <c r="H20" s="1">
        <v>25919</v>
      </c>
      <c r="I20" s="17">
        <f>Table4[[#This Row],[OperatingProfit]]/Table4[[#This Row],[Revenue]]</f>
        <v>0.348460735492924</v>
      </c>
      <c r="J20" s="5">
        <v>14569</v>
      </c>
      <c r="K20" s="17">
        <f>Table4[[#This Row],[NetProfit]]/Table4[[#This Row],[Revenue]]</f>
        <v>0.24931122405325393</v>
      </c>
      <c r="L20" s="5">
        <v>19037</v>
      </c>
      <c r="M20" s="17">
        <f>Table4[[#This Row],[CashFromOps]]/Table4[[#This Row],[Revenue]]</f>
        <v>0.325769632253538</v>
      </c>
      <c r="N20" s="5">
        <v>-3119</v>
      </c>
      <c r="O20" s="17">
        <f>ABS(Table4[[#This Row],[CAPEX]])/Table4[[#This Row],[Revenue]]</f>
        <v>5.3373718705614595E-2</v>
      </c>
      <c r="P20" s="5">
        <v>15918</v>
      </c>
      <c r="Q20" s="17">
        <f>Table4[[#This Row],[FCF]]/Table4[[#This Row],[Revenue]]</f>
        <v>0.27239591354792342</v>
      </c>
      <c r="R20" s="5">
        <v>-4468</v>
      </c>
      <c r="S20" s="17">
        <f>ABS(Table4[[#This Row],[Dividends]])/Table4[[#This Row],[Revenue]]</f>
        <v>7.6458408200284073E-2</v>
      </c>
    </row>
    <row r="21" spans="2:19" x14ac:dyDescent="0.25">
      <c r="B21" t="s">
        <v>88</v>
      </c>
      <c r="C21" s="5">
        <v>62484</v>
      </c>
      <c r="D21" s="5">
        <v>12395</v>
      </c>
      <c r="E21" s="5">
        <v>50089</v>
      </c>
      <c r="F21" s="16">
        <f>Table4[[#This Row],[GrossProfit]]/Table4[[#This Row],[Revenue]]</f>
        <v>0.80162921707957235</v>
      </c>
      <c r="G21" s="1">
        <v>24098</v>
      </c>
      <c r="H21" s="1">
        <v>25991</v>
      </c>
      <c r="I21" s="17">
        <f>Table4[[#This Row],[OperatingProfit]]/Table4[[#This Row],[Revenue]]</f>
        <v>0.38566673068305485</v>
      </c>
      <c r="J21" s="5">
        <v>18760</v>
      </c>
      <c r="K21" s="17">
        <f>Table4[[#This Row],[NetProfit]]/Table4[[#This Row],[Revenue]]</f>
        <v>0.30023686063632288</v>
      </c>
      <c r="L21" s="5">
        <v>24073</v>
      </c>
      <c r="M21" s="17">
        <f>Table4[[#This Row],[CashFromOps]]/Table4[[#This Row],[Revenue]]</f>
        <v>0.38526662825683378</v>
      </c>
      <c r="N21" s="5">
        <v>-1977</v>
      </c>
      <c r="O21" s="17">
        <f>ABS(Table4[[#This Row],[CAPEX]])/Table4[[#This Row],[Revenue]]</f>
        <v>3.1640099865565582E-2</v>
      </c>
      <c r="P21" s="5">
        <v>22096</v>
      </c>
      <c r="Q21" s="17">
        <f>Table4[[#This Row],[FCF]]/Table4[[#This Row],[Revenue]]</f>
        <v>0.35362652839126818</v>
      </c>
      <c r="R21" s="5">
        <v>-4578</v>
      </c>
      <c r="S21" s="17">
        <f>ABS(Table4[[#This Row],[Dividends]])/Table4[[#This Row],[Revenue]]</f>
        <v>7.3266756289610144E-2</v>
      </c>
    </row>
    <row r="22" spans="2:19" x14ac:dyDescent="0.25">
      <c r="B22" t="s">
        <v>89</v>
      </c>
      <c r="C22" s="5">
        <v>69943</v>
      </c>
      <c r="D22" s="5">
        <v>15577</v>
      </c>
      <c r="E22" s="5">
        <v>54366</v>
      </c>
      <c r="F22" s="16">
        <f>Table4[[#This Row],[GrossProfit]]/Table4[[#This Row],[Revenue]]</f>
        <v>0.77729007906438097</v>
      </c>
      <c r="G22" s="1">
        <v>27161</v>
      </c>
      <c r="H22" s="1">
        <v>27205</v>
      </c>
      <c r="I22" s="17">
        <f>Table4[[#This Row],[OperatingProfit]]/Table4[[#This Row],[Revenue]]</f>
        <v>0.38833049769097694</v>
      </c>
      <c r="J22" s="5">
        <v>23150</v>
      </c>
      <c r="K22" s="17">
        <f>Table4[[#This Row],[NetProfit]]/Table4[[#This Row],[Revenue]]</f>
        <v>0.3309838010951775</v>
      </c>
      <c r="L22" s="5">
        <v>26994</v>
      </c>
      <c r="M22" s="17">
        <f>Table4[[#This Row],[CashFromOps]]/Table4[[#This Row],[Revenue]]</f>
        <v>0.38594283916903765</v>
      </c>
      <c r="N22" s="5">
        <v>-2355</v>
      </c>
      <c r="O22" s="17">
        <f>ABS(Table4[[#This Row],[CAPEX]])/Table4[[#This Row],[Revenue]]</f>
        <v>3.3670274366269674E-2</v>
      </c>
      <c r="P22" s="5">
        <v>24639</v>
      </c>
      <c r="Q22" s="17">
        <f>Table4[[#This Row],[FCF]]/Table4[[#This Row],[Revenue]]</f>
        <v>0.35227256480276797</v>
      </c>
      <c r="R22" s="5">
        <v>-5180</v>
      </c>
      <c r="S22" s="17">
        <f>ABS(Table4[[#This Row],[Dividends]])/Table4[[#This Row],[Revenue]]</f>
        <v>7.4060306249374486E-2</v>
      </c>
    </row>
    <row r="23" spans="2:19" x14ac:dyDescent="0.25">
      <c r="B23" t="s">
        <v>90</v>
      </c>
      <c r="C23" s="5">
        <v>73723</v>
      </c>
      <c r="D23" s="5">
        <v>17530</v>
      </c>
      <c r="E23" s="5">
        <v>56193</v>
      </c>
      <c r="F23" s="16">
        <f>Table4[[#This Row],[GrossProfit]]/Table4[[#This Row],[Revenue]]</f>
        <v>0.76221803236439101</v>
      </c>
      <c r="G23" s="1">
        <v>27956</v>
      </c>
      <c r="H23" s="1">
        <v>28237</v>
      </c>
      <c r="I23" s="17">
        <f>Table4[[#This Row],[OperatingProfit]]/Table4[[#This Row],[Revenue]]</f>
        <v>0.37920323372624554</v>
      </c>
      <c r="J23" s="5">
        <v>16978</v>
      </c>
      <c r="K23" s="17">
        <f>Table4[[#This Row],[NetProfit]]/Table4[[#This Row],[Revenue]]</f>
        <v>0.23029448069123612</v>
      </c>
      <c r="L23" s="5">
        <v>31626</v>
      </c>
      <c r="M23" s="17">
        <f>Table4[[#This Row],[CashFromOps]]/Table4[[#This Row],[Revenue]]</f>
        <v>0.42898417047597087</v>
      </c>
      <c r="N23" s="5">
        <v>-2305</v>
      </c>
      <c r="O23" s="17">
        <f>ABS(Table4[[#This Row],[CAPEX]])/Table4[[#This Row],[Revenue]]</f>
        <v>3.1265683707933749E-2</v>
      </c>
      <c r="P23" s="5">
        <v>29321</v>
      </c>
      <c r="Q23" s="17">
        <f>Table4[[#This Row],[FCF]]/Table4[[#This Row],[Revenue]]</f>
        <v>0.39771848676803712</v>
      </c>
      <c r="R23" s="5">
        <v>-6385</v>
      </c>
      <c r="S23" s="17">
        <f>ABS(Table4[[#This Row],[Dividends]])/Table4[[#This Row],[Revenue]]</f>
        <v>8.6607978514167905E-2</v>
      </c>
    </row>
    <row r="24" spans="2:19" x14ac:dyDescent="0.25">
      <c r="B24" t="s">
        <v>91</v>
      </c>
      <c r="C24" s="5">
        <v>77849</v>
      </c>
      <c r="D24" s="5">
        <v>20385</v>
      </c>
      <c r="E24" s="5">
        <v>57464</v>
      </c>
      <c r="F24" s="16">
        <f>Table4[[#This Row],[GrossProfit]]/Table4[[#This Row],[Revenue]]</f>
        <v>0.73814692545825888</v>
      </c>
      <c r="G24" s="1">
        <v>26764</v>
      </c>
      <c r="H24" s="1">
        <v>30700</v>
      </c>
      <c r="I24" s="17">
        <f>Table4[[#This Row],[OperatingProfit]]/Table4[[#This Row],[Revenue]]</f>
        <v>0.34379375457616668</v>
      </c>
      <c r="J24" s="5">
        <v>21863</v>
      </c>
      <c r="K24" s="17">
        <f>Table4[[#This Row],[NetProfit]]/Table4[[#This Row],[Revenue]]</f>
        <v>0.28083854641678119</v>
      </c>
      <c r="L24" s="5">
        <v>28833</v>
      </c>
      <c r="M24" s="17">
        <f>Table4[[#This Row],[CashFromOps]]/Table4[[#This Row],[Revenue]]</f>
        <v>0.37037084612519106</v>
      </c>
      <c r="N24" s="5">
        <v>-4257</v>
      </c>
      <c r="O24" s="17">
        <f>ABS(Table4[[#This Row],[CAPEX]])/Table4[[#This Row],[Revenue]]</f>
        <v>5.4682783336972858E-2</v>
      </c>
      <c r="P24" s="5">
        <v>24576</v>
      </c>
      <c r="Q24" s="17">
        <f>Table4[[#This Row],[FCF]]/Table4[[#This Row],[Revenue]]</f>
        <v>0.3156880627882182</v>
      </c>
      <c r="R24" s="5">
        <v>-7455</v>
      </c>
      <c r="S24" s="17">
        <f>ABS(Table4[[#This Row],[Dividends]])/Table4[[#This Row],[Revenue]]</f>
        <v>9.5762309085537387E-2</v>
      </c>
    </row>
    <row r="25" spans="2:19" x14ac:dyDescent="0.25">
      <c r="B25" t="s">
        <v>92</v>
      </c>
      <c r="C25" s="5">
        <v>86833</v>
      </c>
      <c r="D25" s="5">
        <v>27078</v>
      </c>
      <c r="E25" s="5">
        <v>59755</v>
      </c>
      <c r="F25" s="16">
        <f>Table4[[#This Row],[GrossProfit]]/Table4[[#This Row],[Revenue]]</f>
        <v>0.68816003132449644</v>
      </c>
      <c r="G25" s="1">
        <v>27886</v>
      </c>
      <c r="H25" s="1">
        <v>31869</v>
      </c>
      <c r="I25" s="17">
        <f>Table4[[#This Row],[OperatingProfit]]/Table4[[#This Row],[Revenue]]</f>
        <v>0.32114518673776099</v>
      </c>
      <c r="J25" s="5">
        <v>22074</v>
      </c>
      <c r="K25" s="17">
        <f>Table4[[#This Row],[NetProfit]]/Table4[[#This Row],[Revenue]]</f>
        <v>0.25421210829983992</v>
      </c>
      <c r="L25" s="5">
        <v>32502</v>
      </c>
      <c r="M25" s="17">
        <f>Table4[[#This Row],[CashFromOps]]/Table4[[#This Row],[Revenue]]</f>
        <v>0.37430469982610298</v>
      </c>
      <c r="N25" s="5">
        <v>-5485</v>
      </c>
      <c r="O25" s="17">
        <f>ABS(Table4[[#This Row],[CAPEX]])/Table4[[#This Row],[Revenue]]</f>
        <v>6.3167229048863904E-2</v>
      </c>
      <c r="P25" s="5">
        <v>27017</v>
      </c>
      <c r="Q25" s="17">
        <f>Table4[[#This Row],[FCF]]/Table4[[#This Row],[Revenue]]</f>
        <v>0.31113747077723908</v>
      </c>
      <c r="R25" s="5">
        <v>-8879</v>
      </c>
      <c r="S25" s="17">
        <f>ABS(Table4[[#This Row],[Dividends]])/Table4[[#This Row],[Revenue]]</f>
        <v>0.10225375145394032</v>
      </c>
    </row>
    <row r="26" spans="2:19" x14ac:dyDescent="0.25">
      <c r="B26" t="s">
        <v>93</v>
      </c>
      <c r="C26" s="5">
        <v>93580</v>
      </c>
      <c r="D26" s="5">
        <v>33038</v>
      </c>
      <c r="E26" s="5">
        <v>60542</v>
      </c>
      <c r="F26" s="16">
        <f>Table4[[#This Row],[GrossProfit]]/Table4[[#This Row],[Revenue]]</f>
        <v>0.64695447745244705</v>
      </c>
      <c r="G26" s="1">
        <v>28172</v>
      </c>
      <c r="H26" s="1">
        <v>32370</v>
      </c>
      <c r="I26" s="17">
        <f>Table4[[#This Row],[OperatingProfit]]/Table4[[#This Row],[Revenue]]</f>
        <v>0.30104723231459712</v>
      </c>
      <c r="J26" s="5">
        <v>12193</v>
      </c>
      <c r="K26" s="17">
        <f>Table4[[#This Row],[NetProfit]]/Table4[[#This Row],[Revenue]]</f>
        <v>0.13029493481513144</v>
      </c>
      <c r="L26" s="5">
        <v>29668</v>
      </c>
      <c r="M26" s="17">
        <f>Table4[[#This Row],[CashFromOps]]/Table4[[#This Row],[Revenue]]</f>
        <v>0.31703355417824319</v>
      </c>
      <c r="N26" s="5">
        <v>-5944</v>
      </c>
      <c r="O26" s="17">
        <f>ABS(Table4[[#This Row],[CAPEX]])/Table4[[#This Row],[Revenue]]</f>
        <v>6.3517845693524255E-2</v>
      </c>
      <c r="P26" s="5">
        <v>23724</v>
      </c>
      <c r="Q26" s="17">
        <f>Table4[[#This Row],[FCF]]/Table4[[#This Row],[Revenue]]</f>
        <v>0.25351570848471894</v>
      </c>
      <c r="R26" s="5">
        <v>-9882</v>
      </c>
      <c r="S26" s="17">
        <f>ABS(Table4[[#This Row],[Dividends]])/Table4[[#This Row],[Revenue]]</f>
        <v>0.10559948706988673</v>
      </c>
    </row>
    <row r="27" spans="2:19" x14ac:dyDescent="0.25">
      <c r="B27" t="s">
        <v>94</v>
      </c>
      <c r="C27" s="5">
        <v>91154</v>
      </c>
      <c r="D27" s="5">
        <v>32780</v>
      </c>
      <c r="E27" s="5">
        <v>58374</v>
      </c>
      <c r="F27" s="16">
        <f>Table4[[#This Row],[GrossProfit]]/Table4[[#This Row],[Revenue]]</f>
        <v>0.64038879259275516</v>
      </c>
      <c r="G27" s="1">
        <v>27188</v>
      </c>
      <c r="H27" s="1">
        <v>31186</v>
      </c>
      <c r="I27" s="17">
        <f>Table4[[#This Row],[OperatingProfit]]/Table4[[#This Row],[Revenue]]</f>
        <v>0.29826447550299495</v>
      </c>
      <c r="J27" s="5">
        <v>20539</v>
      </c>
      <c r="K27" s="17">
        <f>Table4[[#This Row],[NetProfit]]/Table4[[#This Row],[Revenue]]</f>
        <v>0.22532198257893235</v>
      </c>
      <c r="L27" s="5">
        <v>33325</v>
      </c>
      <c r="M27" s="17">
        <f>Table4[[#This Row],[CashFromOps]]/Table4[[#This Row],[Revenue]]</f>
        <v>0.36559010026987299</v>
      </c>
      <c r="N27" s="5">
        <v>-8343</v>
      </c>
      <c r="O27" s="17">
        <f>ABS(Table4[[#This Row],[CAPEX]])/Table4[[#This Row],[Revenue]]</f>
        <v>9.1526427803497373E-2</v>
      </c>
      <c r="P27" s="5">
        <v>24982</v>
      </c>
      <c r="Q27" s="17">
        <f>Table4[[#This Row],[FCF]]/Table4[[#This Row],[Revenue]]</f>
        <v>0.27406367246637559</v>
      </c>
      <c r="R27" s="5">
        <v>-11006</v>
      </c>
      <c r="S27" s="17">
        <f>ABS(Table4[[#This Row],[Dividends]])/Table4[[#This Row],[Revenue]]</f>
        <v>0.12074072448822872</v>
      </c>
    </row>
    <row r="28" spans="2:19" x14ac:dyDescent="0.25">
      <c r="B28" t="s">
        <v>95</v>
      </c>
      <c r="C28" s="5">
        <v>96571</v>
      </c>
      <c r="D28" s="5">
        <v>34261</v>
      </c>
      <c r="E28" s="5">
        <v>62310</v>
      </c>
      <c r="F28" s="16">
        <f>Table4[[#This Row],[GrossProfit]]/Table4[[#This Row],[Revenue]]</f>
        <v>0.64522475691460168</v>
      </c>
      <c r="G28" s="1">
        <v>29331</v>
      </c>
      <c r="H28" s="1">
        <v>32979</v>
      </c>
      <c r="I28" s="17">
        <f>Table4[[#This Row],[OperatingProfit]]/Table4[[#This Row],[Revenue]]</f>
        <v>0.30372472067183731</v>
      </c>
      <c r="J28" s="5">
        <v>25489</v>
      </c>
      <c r="K28" s="17">
        <f>Table4[[#This Row],[NetProfit]]/Table4[[#This Row],[Revenue]]</f>
        <v>0.26394052044609667</v>
      </c>
      <c r="L28" s="5">
        <v>39507</v>
      </c>
      <c r="M28" s="17">
        <f>Table4[[#This Row],[CashFromOps]]/Table4[[#This Row],[Revenue]]</f>
        <v>0.40909796936968656</v>
      </c>
      <c r="N28" s="5">
        <v>-8129</v>
      </c>
      <c r="O28" s="17">
        <f>ABS(Table4[[#This Row],[CAPEX]])/Table4[[#This Row],[Revenue]]</f>
        <v>8.4176409066904143E-2</v>
      </c>
      <c r="P28" s="5">
        <v>31378</v>
      </c>
      <c r="Q28" s="17">
        <f>Table4[[#This Row],[FCF]]/Table4[[#This Row],[Revenue]]</f>
        <v>0.32492156030278241</v>
      </c>
      <c r="R28" s="5">
        <v>-11845</v>
      </c>
      <c r="S28" s="17">
        <f>ABS(Table4[[#This Row],[Dividends]])/Table4[[#This Row],[Revenue]]</f>
        <v>0.12265586977457001</v>
      </c>
    </row>
    <row r="29" spans="2:19" x14ac:dyDescent="0.25">
      <c r="B29" t="s">
        <v>96</v>
      </c>
      <c r="C29" s="5">
        <v>110360</v>
      </c>
      <c r="D29" s="5">
        <v>38353</v>
      </c>
      <c r="E29" s="5">
        <v>72007</v>
      </c>
      <c r="F29" s="16">
        <f>Table4[[#This Row],[GrossProfit]]/Table4[[#This Row],[Revenue]]</f>
        <v>0.65247372236317502</v>
      </c>
      <c r="G29" s="1">
        <v>35058</v>
      </c>
      <c r="H29" s="1">
        <v>36949</v>
      </c>
      <c r="I29" s="17">
        <f>Table4[[#This Row],[OperatingProfit]]/Table4[[#This Row],[Revenue]]</f>
        <v>0.31766944545125048</v>
      </c>
      <c r="J29" s="5">
        <v>16571</v>
      </c>
      <c r="K29" s="17">
        <f>Table4[[#This Row],[NetProfit]]/Table4[[#This Row],[Revenue]]</f>
        <v>0.15015404131931859</v>
      </c>
      <c r="L29" s="5">
        <v>43884</v>
      </c>
      <c r="M29" s="17">
        <f>Table4[[#This Row],[CashFromOps]]/Table4[[#This Row],[Revenue]]</f>
        <v>0.39764407393983325</v>
      </c>
      <c r="N29" s="5">
        <v>-11632</v>
      </c>
      <c r="O29" s="17">
        <f>ABS(Table4[[#This Row],[CAPEX]])/Table4[[#This Row],[Revenue]]</f>
        <v>0.10540050743022834</v>
      </c>
      <c r="P29" s="5">
        <v>32252</v>
      </c>
      <c r="Q29" s="17">
        <f>Table4[[#This Row],[FCF]]/Table4[[#This Row],[Revenue]]</f>
        <v>0.29224356650960492</v>
      </c>
      <c r="R29" s="5">
        <v>-12699</v>
      </c>
      <c r="S29" s="17">
        <f>ABS(Table4[[#This Row],[Dividends]])/Table4[[#This Row],[Revenue]]</f>
        <v>0.11506886553098949</v>
      </c>
    </row>
    <row r="30" spans="2:19" x14ac:dyDescent="0.25">
      <c r="B30" t="s">
        <v>97</v>
      </c>
      <c r="C30" s="5">
        <v>125843</v>
      </c>
      <c r="D30" s="5">
        <v>42910</v>
      </c>
      <c r="E30" s="5">
        <v>82933</v>
      </c>
      <c r="F30" s="16">
        <f>Table4[[#This Row],[GrossProfit]]/Table4[[#This Row],[Revenue]]</f>
        <v>0.65901957200638894</v>
      </c>
      <c r="G30" s="1">
        <v>42959</v>
      </c>
      <c r="H30" s="1">
        <v>39974</v>
      </c>
      <c r="I30" s="17">
        <f>Table4[[#This Row],[OperatingProfit]]/Table4[[#This Row],[Revenue]]</f>
        <v>0.3413698020549415</v>
      </c>
      <c r="J30" s="5">
        <v>39240</v>
      </c>
      <c r="K30" s="17">
        <f>Table4[[#This Row],[NetProfit]]/Table4[[#This Row],[Revenue]]</f>
        <v>0.31181710544090652</v>
      </c>
      <c r="L30" s="5">
        <v>52185</v>
      </c>
      <c r="M30" s="17">
        <f>Table4[[#This Row],[CashFromOps]]/Table4[[#This Row],[Revenue]]</f>
        <v>0.41468337531686306</v>
      </c>
      <c r="N30" s="5">
        <v>-13925</v>
      </c>
      <c r="O30" s="17">
        <f>ABS(Table4[[#This Row],[CAPEX]])/Table4[[#This Row],[Revenue]]</f>
        <v>0.11065375110256431</v>
      </c>
      <c r="P30" s="5">
        <v>38260</v>
      </c>
      <c r="Q30" s="17">
        <f>Table4[[#This Row],[FCF]]/Table4[[#This Row],[Revenue]]</f>
        <v>0.30402962421429874</v>
      </c>
      <c r="R30" s="5">
        <v>-13811</v>
      </c>
      <c r="S30" s="17">
        <f>ABS(Table4[[#This Row],[Dividends]])/Table4[[#This Row],[Revenue]]</f>
        <v>0.10974786042926504</v>
      </c>
    </row>
    <row r="31" spans="2:19" x14ac:dyDescent="0.25">
      <c r="B31" t="s">
        <v>98</v>
      </c>
      <c r="C31" s="5">
        <v>143015</v>
      </c>
      <c r="D31" s="5">
        <v>46078</v>
      </c>
      <c r="E31" s="5">
        <v>96937</v>
      </c>
      <c r="F31" s="16">
        <f>Table4[[#This Row],[GrossProfit]]/Table4[[#This Row],[Revenue]]</f>
        <v>0.67781001992797962</v>
      </c>
      <c r="G31" s="1">
        <v>52959</v>
      </c>
      <c r="H31" s="1">
        <v>43978</v>
      </c>
      <c r="I31" s="17">
        <f>Table4[[#This Row],[OperatingProfit]]/Table4[[#This Row],[Revenue]]</f>
        <v>0.37030381428521486</v>
      </c>
      <c r="J31" s="5">
        <v>44281</v>
      </c>
      <c r="K31" s="17">
        <f>Table4[[#This Row],[NetProfit]]/Table4[[#This Row],[Revenue]]</f>
        <v>0.30962486452470023</v>
      </c>
      <c r="L31" s="5">
        <v>60675</v>
      </c>
      <c r="M31" s="17">
        <f>Table4[[#This Row],[CashFromOps]]/Table4[[#This Row],[Revenue]]</f>
        <v>0.42425619690242283</v>
      </c>
      <c r="N31" s="5">
        <v>-15441</v>
      </c>
      <c r="O31" s="17">
        <f>ABS(Table4[[#This Row],[CAPEX]])/Table4[[#This Row],[Revenue]]</f>
        <v>0.10796769569625564</v>
      </c>
      <c r="P31" s="5">
        <v>45234</v>
      </c>
      <c r="Q31" s="17">
        <f>Table4[[#This Row],[FCF]]/Table4[[#This Row],[Revenue]]</f>
        <v>0.31628850120616719</v>
      </c>
      <c r="R31" s="5">
        <v>-15137</v>
      </c>
      <c r="S31" s="17">
        <f>ABS(Table4[[#This Row],[Dividends]])/Table4[[#This Row],[Revenue]]</f>
        <v>0.10584204454078243</v>
      </c>
    </row>
    <row r="32" spans="2:19" x14ac:dyDescent="0.25">
      <c r="B32" t="s">
        <v>99</v>
      </c>
      <c r="C32" s="5">
        <v>168088</v>
      </c>
      <c r="D32" s="5">
        <v>52232</v>
      </c>
      <c r="E32" s="5">
        <v>115856</v>
      </c>
      <c r="F32" s="16">
        <f>Table4[[#This Row],[GrossProfit]]/Table4[[#This Row],[Revenue]]</f>
        <v>0.68925800771024703</v>
      </c>
      <c r="G32" s="1">
        <v>69916</v>
      </c>
      <c r="H32" s="1">
        <v>45940</v>
      </c>
      <c r="I32" s="17">
        <f>Table4[[#This Row],[OperatingProfit]]/Table4[[#This Row],[Revenue]]</f>
        <v>0.41594878872971303</v>
      </c>
      <c r="J32" s="5">
        <v>61271</v>
      </c>
      <c r="K32" s="17">
        <f>Table4[[#This Row],[NetProfit]]/Table4[[#This Row],[Revenue]]</f>
        <v>0.36451739564989766</v>
      </c>
      <c r="L32" s="5">
        <v>76740</v>
      </c>
      <c r="M32" s="17">
        <f>Table4[[#This Row],[CashFromOps]]/Table4[[#This Row],[Revenue]]</f>
        <v>0.4565465708438437</v>
      </c>
      <c r="N32" s="5">
        <v>-20622</v>
      </c>
      <c r="O32" s="17">
        <f>ABS(Table4[[#This Row],[CAPEX]])/Table4[[#This Row],[Revenue]]</f>
        <v>0.12268573604302509</v>
      </c>
      <c r="P32" s="5">
        <v>56118</v>
      </c>
      <c r="Q32" s="17">
        <f>Table4[[#This Row],[FCF]]/Table4[[#This Row],[Revenue]]</f>
        <v>0.33386083480081863</v>
      </c>
      <c r="R32" s="5">
        <v>-16521</v>
      </c>
      <c r="S32" s="17">
        <f>ABS(Table4[[#This Row],[Dividends]])/Table4[[#This Row],[Revenue]]</f>
        <v>9.8287801627718815E-2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D32" sqref="D25: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9.7109375" customWidth="1"/>
    <col min="5" max="5" width="12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70</v>
      </c>
      <c r="C3" s="5">
        <v>2758.7</v>
      </c>
      <c r="D3" s="30" t="e">
        <f>(Table3[[#This Row],[Revenue]]-C2)/C2</f>
        <v>#VALUE!</v>
      </c>
      <c r="E3" s="5">
        <v>0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19071.506000000001</v>
      </c>
      <c r="J3" s="30" t="e">
        <f>(Table3[[#This Row],[MarketValue]]-I2)/I2</f>
        <v>#VALUE!</v>
      </c>
      <c r="K3" s="5">
        <v>8851.25</v>
      </c>
      <c r="L3" s="30" t="e">
        <f>(Table3[[#This Row],[SharesOutstanding]]-K2)/K2</f>
        <v>#VALUE!</v>
      </c>
    </row>
    <row r="4" spans="2:12" x14ac:dyDescent="0.25">
      <c r="B4" t="s">
        <v>71</v>
      </c>
      <c r="C4" s="5">
        <v>3753</v>
      </c>
      <c r="D4" s="30">
        <f>(Table3[[#This Row],[Revenue]]-C3)/C3</f>
        <v>0.36042338782760003</v>
      </c>
      <c r="E4" s="5">
        <v>0</v>
      </c>
      <c r="F4" s="30" t="e">
        <f>(Table3[[#This Row],[Dividend]]-E3)/E3</f>
        <v>#DIV/0!</v>
      </c>
      <c r="G4" s="5">
        <v>0</v>
      </c>
      <c r="H4" s="30" t="e">
        <f>(Table3[[#This Row],[DivPerShare]]-G3)/G3</f>
        <v>#DIV/0!</v>
      </c>
      <c r="I4" s="5">
        <v>24816</v>
      </c>
      <c r="J4" s="30">
        <f>(Table3[[#This Row],[MarketValue]]-I3)/I3</f>
        <v>0.30120820033824275</v>
      </c>
      <c r="K4" s="5">
        <v>9530</v>
      </c>
      <c r="L4" s="30">
        <f>(Table3[[#This Row],[SharesOutstanding]]-K3)/K3</f>
        <v>7.6684084168902697E-2</v>
      </c>
    </row>
    <row r="5" spans="2:12" x14ac:dyDescent="0.25">
      <c r="B5" t="s">
        <v>72</v>
      </c>
      <c r="C5" s="5">
        <v>4649</v>
      </c>
      <c r="D5" s="30">
        <f>(Table3[[#This Row],[Revenue]]-C4)/C4</f>
        <v>0.23874233946176393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29108.799999999999</v>
      </c>
      <c r="J5" s="30">
        <f>(Table3[[#This Row],[MarketValue]]-I4)/I4</f>
        <v>0.17298517085751125</v>
      </c>
      <c r="K5" s="5">
        <v>9760</v>
      </c>
      <c r="L5" s="30">
        <f>(Table3[[#This Row],[SharesOutstanding]]-K4)/K4</f>
        <v>2.4134312696747113E-2</v>
      </c>
    </row>
    <row r="6" spans="2:12" x14ac:dyDescent="0.25">
      <c r="B6" t="s">
        <v>73</v>
      </c>
      <c r="C6" s="5">
        <v>5937</v>
      </c>
      <c r="D6" s="30">
        <f>(Table3[[#This Row],[Revenue]]-C5)/C5</f>
        <v>0.27704882770488276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53331.65</v>
      </c>
      <c r="J6" s="30">
        <f>(Table3[[#This Row],[MarketValue]]-I5)/I5</f>
        <v>0.83214869730115992</v>
      </c>
      <c r="K6" s="5">
        <v>10032</v>
      </c>
      <c r="L6" s="30">
        <f>(Table3[[#This Row],[SharesOutstanding]]-K5)/K5</f>
        <v>2.7868852459016394E-2</v>
      </c>
    </row>
    <row r="7" spans="2:12" x14ac:dyDescent="0.25">
      <c r="B7" t="s">
        <v>74</v>
      </c>
      <c r="C7" s="5">
        <v>8671</v>
      </c>
      <c r="D7" s="30">
        <f>(Table3[[#This Row],[Revenue]]-C6)/C6</f>
        <v>0.46050193700522152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71642.620999999999</v>
      </c>
      <c r="J7" s="30">
        <f>(Table3[[#This Row],[MarketValue]]-I6)/I6</f>
        <v>0.34334154296744984</v>
      </c>
      <c r="K7" s="5">
        <v>10209.302</v>
      </c>
      <c r="L7" s="30">
        <f>(Table3[[#This Row],[SharesOutstanding]]-K6)/K6</f>
        <v>1.7673644338117991E-2</v>
      </c>
    </row>
    <row r="8" spans="2:12" x14ac:dyDescent="0.25">
      <c r="B8" t="s">
        <v>75</v>
      </c>
      <c r="C8" s="5">
        <v>11936</v>
      </c>
      <c r="D8" s="30">
        <f>(Table3[[#This Row],[Revenue]]-C7)/C7</f>
        <v>0.37654249798177836</v>
      </c>
      <c r="E8" s="5">
        <v>-15</v>
      </c>
      <c r="F8" s="30" t="e">
        <f>(Table3[[#This Row],[Dividend]]-E7)/E7</f>
        <v>#DIV/0!</v>
      </c>
      <c r="G8" s="5">
        <v>0</v>
      </c>
      <c r="H8" s="30" t="e">
        <f>(Table3[[#This Row],[DivPerShare]]-G7)/G7</f>
        <v>#DIV/0!</v>
      </c>
      <c r="I8" s="5">
        <v>153268.53200000001</v>
      </c>
      <c r="J8" s="30">
        <f>(Table3[[#This Row],[MarketValue]]-I7)/I7</f>
        <v>1.1393484752602785</v>
      </c>
      <c r="K8" s="5">
        <v>10421.212</v>
      </c>
      <c r="L8" s="30">
        <f>(Table3[[#This Row],[SharesOutstanding]]-K7)/K7</f>
        <v>2.0756561026405121E-2</v>
      </c>
    </row>
    <row r="9" spans="2:12" x14ac:dyDescent="0.25">
      <c r="B9" t="s">
        <v>76</v>
      </c>
      <c r="C9" s="5">
        <v>15262</v>
      </c>
      <c r="D9" s="30">
        <f>(Table3[[#This Row],[Revenue]]-C8)/C8</f>
        <v>0.27865281501340483</v>
      </c>
      <c r="E9" s="5">
        <v>-28</v>
      </c>
      <c r="F9" s="30">
        <f>(Table3[[#This Row],[Dividend]]-E8)/E8</f>
        <v>0.8666666666666667</v>
      </c>
      <c r="G9" s="5">
        <v>0</v>
      </c>
      <c r="H9" s="30" t="e">
        <f>(Table3[[#This Row],[DivPerShare]]-G8)/G8</f>
        <v>#DIV/0!</v>
      </c>
      <c r="I9" s="5">
        <v>269220.42</v>
      </c>
      <c r="J9" s="30">
        <f>(Table3[[#This Row],[MarketValue]]-I8)/I8</f>
        <v>0.75652768697491002</v>
      </c>
      <c r="K9" s="5">
        <v>10724</v>
      </c>
      <c r="L9" s="30">
        <f>(Table3[[#This Row],[SharesOutstanding]]-K8)/K8</f>
        <v>2.9054969805815338E-2</v>
      </c>
    </row>
    <row r="10" spans="2:12" x14ac:dyDescent="0.25">
      <c r="B10" t="s">
        <v>77</v>
      </c>
      <c r="C10" s="5">
        <v>19747</v>
      </c>
      <c r="D10" s="30">
        <f>(Table3[[#This Row],[Revenue]]-C9)/C9</f>
        <v>0.29386712095400341</v>
      </c>
      <c r="E10" s="5">
        <v>-28</v>
      </c>
      <c r="F10" s="30">
        <f>(Table3[[#This Row],[Dividend]]-E9)/E9</f>
        <v>0</v>
      </c>
      <c r="G10" s="5">
        <v>0</v>
      </c>
      <c r="H10" s="30" t="e">
        <f>(Table3[[#This Row],[DivPerShare]]-G9)/G9</f>
        <v>#DIV/0!</v>
      </c>
      <c r="I10" s="5">
        <v>460729.62</v>
      </c>
      <c r="J10" s="30">
        <f>(Table3[[#This Row],[MarketValue]]-I9)/I9</f>
        <v>0.71134722990180321</v>
      </c>
      <c r="K10" s="5">
        <v>10964</v>
      </c>
      <c r="L10" s="30">
        <f>(Table3[[#This Row],[SharesOutstanding]]-K9)/K9</f>
        <v>2.2379709063782172E-2</v>
      </c>
    </row>
    <row r="11" spans="2:12" x14ac:dyDescent="0.25">
      <c r="B11" t="s">
        <v>78</v>
      </c>
      <c r="C11" s="5">
        <v>22956</v>
      </c>
      <c r="D11" s="30">
        <f>(Table3[[#This Row],[Revenue]]-C10)/C10</f>
        <v>0.16250569706790904</v>
      </c>
      <c r="E11" s="5">
        <v>-13</v>
      </c>
      <c r="F11" s="30">
        <f>(Table3[[#This Row],[Dividend]]-E10)/E10</f>
        <v>-0.5357142857142857</v>
      </c>
      <c r="G11" s="5">
        <v>0</v>
      </c>
      <c r="H11" s="30" t="e">
        <f>(Table3[[#This Row],[DivPerShare]]-G10)/G10</f>
        <v>#DIV/0!</v>
      </c>
      <c r="I11" s="5">
        <v>422640</v>
      </c>
      <c r="J11" s="30">
        <f>(Table3[[#This Row],[MarketValue]]-I10)/I10</f>
        <v>-8.2672392541204523E-2</v>
      </c>
      <c r="K11" s="5">
        <v>11067.058999999999</v>
      </c>
      <c r="L11" s="30">
        <f>(Table3[[#This Row],[SharesOutstanding]]-K10)/K10</f>
        <v>9.3997628602699099E-3</v>
      </c>
    </row>
    <row r="12" spans="2:12" x14ac:dyDescent="0.25">
      <c r="B12" t="s">
        <v>79</v>
      </c>
      <c r="C12" s="5">
        <v>25296</v>
      </c>
      <c r="D12" s="30">
        <f>(Table3[[#This Row],[Revenue]]-C11)/C11</f>
        <v>0.10193413486670151</v>
      </c>
      <c r="E12" s="5">
        <v>0</v>
      </c>
      <c r="F12" s="30">
        <f>(Table3[[#This Row],[Dividend]]-E11)/E11</f>
        <v>-1</v>
      </c>
      <c r="G12" s="5">
        <v>0</v>
      </c>
      <c r="H12" s="30" t="e">
        <f>(Table3[[#This Row],[DivPerShare]]-G11)/G11</f>
        <v>#DIV/0!</v>
      </c>
      <c r="I12" s="5">
        <v>392959</v>
      </c>
      <c r="J12" s="30">
        <f>(Table3[[#This Row],[MarketValue]]-I11)/I11</f>
        <v>-7.022761688434602E-2</v>
      </c>
      <c r="K12" s="5">
        <v>11148</v>
      </c>
      <c r="L12" s="30">
        <f>(Table3[[#This Row],[SharesOutstanding]]-K11)/K11</f>
        <v>7.313686499728674E-3</v>
      </c>
    </row>
    <row r="13" spans="2:12" x14ac:dyDescent="0.25">
      <c r="B13" t="s">
        <v>80</v>
      </c>
      <c r="C13" s="5">
        <v>28365</v>
      </c>
      <c r="D13" s="30">
        <f>(Table3[[#This Row],[Revenue]]-C12)/C12</f>
        <v>0.12132352941176471</v>
      </c>
      <c r="E13" s="5">
        <v>0</v>
      </c>
      <c r="F13" s="30" t="e">
        <f>(Table3[[#This Row],[Dividend]]-E12)/E12</f>
        <v>#DIV/0!</v>
      </c>
      <c r="G13" s="5">
        <v>0</v>
      </c>
      <c r="H13" s="30" t="e">
        <f>(Table3[[#This Row],[DivPerShare]]-G12)/G12</f>
        <v>#DIV/0!</v>
      </c>
      <c r="I13" s="5">
        <v>293137.3</v>
      </c>
      <c r="J13" s="30">
        <f>(Table3[[#This Row],[MarketValue]]-I12)/I12</f>
        <v>-0.25402573805409728</v>
      </c>
      <c r="K13" s="5">
        <v>11106</v>
      </c>
      <c r="L13" s="30">
        <f>(Table3[[#This Row],[SharesOutstanding]]-K12)/K12</f>
        <v>-3.7674919268030141E-3</v>
      </c>
    </row>
    <row r="14" spans="2:12" x14ac:dyDescent="0.25">
      <c r="B14" t="s">
        <v>81</v>
      </c>
      <c r="C14" s="5">
        <v>32187</v>
      </c>
      <c r="D14" s="30">
        <f>(Table3[[#This Row],[Revenue]]-C13)/C13</f>
        <v>0.13474352194606029</v>
      </c>
      <c r="E14" s="5">
        <v>-857</v>
      </c>
      <c r="F14" s="30" t="e">
        <f>(Table3[[#This Row],[Dividend]]-E13)/E13</f>
        <v>#DIV/0!</v>
      </c>
      <c r="G14" s="5">
        <v>0.08</v>
      </c>
      <c r="H14" s="30" t="e">
        <f>(Table3[[#This Row],[DivPerShare]]-G13)/G13</f>
        <v>#DIV/0!</v>
      </c>
      <c r="I14" s="5">
        <v>276168.44</v>
      </c>
      <c r="J14" s="30">
        <f>(Table3[[#This Row],[MarketValue]]-I13)/I13</f>
        <v>-5.7887072030751413E-2</v>
      </c>
      <c r="K14" s="5">
        <v>10882</v>
      </c>
      <c r="L14" s="30">
        <f>(Table3[[#This Row],[SharesOutstanding]]-K13)/K13</f>
        <v>-2.0169277867819198E-2</v>
      </c>
    </row>
    <row r="15" spans="2:12" x14ac:dyDescent="0.25">
      <c r="B15" t="s">
        <v>82</v>
      </c>
      <c r="C15" s="5">
        <v>36835</v>
      </c>
      <c r="D15" s="30">
        <f>(Table3[[#This Row],[Revenue]]-C14)/C14</f>
        <v>0.14440612669711375</v>
      </c>
      <c r="E15" s="5">
        <v>-1729</v>
      </c>
      <c r="F15" s="30">
        <f>(Table3[[#This Row],[Dividend]]-E14)/E14</f>
        <v>1.0175029171528589</v>
      </c>
      <c r="G15" s="5">
        <v>0.16</v>
      </c>
      <c r="H15" s="30">
        <f>(Table3[[#This Row],[DivPerShare]]-G14)/G14</f>
        <v>1</v>
      </c>
      <c r="I15" s="5">
        <v>312825.59999999998</v>
      </c>
      <c r="J15" s="30">
        <f>(Table3[[#This Row],[MarketValue]]-I14)/I14</f>
        <v>0.13273479040544955</v>
      </c>
      <c r="K15" s="5">
        <v>10894</v>
      </c>
      <c r="L15" s="30">
        <f>(Table3[[#This Row],[SharesOutstanding]]-K14)/K14</f>
        <v>1.1027384671935306E-3</v>
      </c>
    </row>
    <row r="16" spans="2:12" x14ac:dyDescent="0.25">
      <c r="B16" t="s">
        <v>83</v>
      </c>
      <c r="C16" s="5">
        <v>39788</v>
      </c>
      <c r="D16" s="30">
        <f>(Table3[[#This Row],[Revenue]]-C15)/C15</f>
        <v>8.0168318175648165E-2</v>
      </c>
      <c r="E16" s="5">
        <v>-36112</v>
      </c>
      <c r="F16" s="30">
        <f>(Table3[[#This Row],[Dividend]]-E15)/E15</f>
        <v>19.886061307113938</v>
      </c>
      <c r="G16" s="5">
        <v>0.32</v>
      </c>
      <c r="H16" s="30">
        <f>(Table3[[#This Row],[DivPerShare]]-G15)/G15</f>
        <v>1</v>
      </c>
      <c r="I16" s="5">
        <v>266036.40000000002</v>
      </c>
      <c r="J16" s="30">
        <f>(Table3[[#This Row],[MarketValue]]-I15)/I15</f>
        <v>-0.14956960044190742</v>
      </c>
      <c r="K16" s="5">
        <v>10906</v>
      </c>
      <c r="L16" s="30">
        <f>(Table3[[#This Row],[SharesOutstanding]]-K15)/K15</f>
        <v>1.1015237745548008E-3</v>
      </c>
    </row>
    <row r="17" spans="2:12" x14ac:dyDescent="0.25">
      <c r="B17" t="s">
        <v>84</v>
      </c>
      <c r="C17" s="5">
        <v>44282</v>
      </c>
      <c r="D17" s="30">
        <f>(Table3[[#This Row],[Revenue]]-C16)/C16</f>
        <v>0.11294862772695285</v>
      </c>
      <c r="E17" s="5">
        <v>-3545</v>
      </c>
      <c r="F17" s="30">
        <f>(Table3[[#This Row],[Dividend]]-E16)/E16</f>
        <v>-0.90183318564466108</v>
      </c>
      <c r="G17" s="5">
        <v>0.34</v>
      </c>
      <c r="H17" s="30">
        <f>(Table3[[#This Row],[DivPerShare]]-G16)/G16</f>
        <v>6.2500000000000056E-2</v>
      </c>
      <c r="I17" s="5">
        <v>234444.6</v>
      </c>
      <c r="J17" s="30">
        <f>(Table3[[#This Row],[MarketValue]]-I16)/I16</f>
        <v>-0.11874991542510729</v>
      </c>
      <c r="K17" s="5">
        <v>10531</v>
      </c>
      <c r="L17" s="30">
        <f>(Table3[[#This Row],[SharesOutstanding]]-K16)/K16</f>
        <v>-3.4384742343664038E-2</v>
      </c>
    </row>
    <row r="18" spans="2:12" x14ac:dyDescent="0.25">
      <c r="B18" t="s">
        <v>85</v>
      </c>
      <c r="C18" s="5">
        <v>51122</v>
      </c>
      <c r="D18" s="30">
        <f>(Table3[[#This Row],[Revenue]]-C17)/C17</f>
        <v>0.15446456799602548</v>
      </c>
      <c r="E18" s="5">
        <v>-3805</v>
      </c>
      <c r="F18" s="30">
        <f>(Table3[[#This Row],[Dividend]]-E17)/E17</f>
        <v>7.334273624823695E-2</v>
      </c>
      <c r="G18" s="5">
        <v>0.39</v>
      </c>
      <c r="H18" s="30">
        <f>(Table3[[#This Row],[DivPerShare]]-G17)/G17</f>
        <v>0.14705882352941171</v>
      </c>
      <c r="I18" s="5">
        <v>276295.69</v>
      </c>
      <c r="J18" s="30">
        <f>(Table3[[#This Row],[MarketValue]]-I17)/I17</f>
        <v>0.17851163985009677</v>
      </c>
      <c r="K18" s="5">
        <v>9886</v>
      </c>
      <c r="L18" s="30">
        <f>(Table3[[#This Row],[SharesOutstanding]]-K17)/K17</f>
        <v>-6.1247744753584653E-2</v>
      </c>
    </row>
    <row r="19" spans="2:12" x14ac:dyDescent="0.25">
      <c r="B19" t="s">
        <v>86</v>
      </c>
      <c r="C19" s="5">
        <v>60420</v>
      </c>
      <c r="D19" s="30">
        <f>(Table3[[#This Row],[Revenue]]-C18)/C18</f>
        <v>0.18187864324556943</v>
      </c>
      <c r="E19" s="5">
        <v>-4015</v>
      </c>
      <c r="F19" s="30">
        <f>(Table3[[#This Row],[Dividend]]-E18)/E18</f>
        <v>5.5190538764783179E-2</v>
      </c>
      <c r="G19" s="5">
        <v>0.43</v>
      </c>
      <c r="H19" s="30">
        <f>(Table3[[#This Row],[DivPerShare]]-G18)/G18</f>
        <v>0.10256410256410251</v>
      </c>
      <c r="I19" s="5">
        <v>251744.01</v>
      </c>
      <c r="J19" s="30">
        <f>(Table3[[#This Row],[MarketValue]]-I18)/I18</f>
        <v>-8.8860162820491306E-2</v>
      </c>
      <c r="K19" s="5">
        <v>9470</v>
      </c>
      <c r="L19" s="30">
        <f>(Table3[[#This Row],[SharesOutstanding]]-K18)/K18</f>
        <v>-4.2079708678939912E-2</v>
      </c>
    </row>
    <row r="20" spans="2:12" x14ac:dyDescent="0.25">
      <c r="B20" t="s">
        <v>87</v>
      </c>
      <c r="C20" s="5">
        <v>58437</v>
      </c>
      <c r="D20" s="30">
        <f>(Table3[[#This Row],[Revenue]]-C19)/C19</f>
        <v>-3.2820258192651441E-2</v>
      </c>
      <c r="E20" s="5">
        <v>-4468</v>
      </c>
      <c r="F20" s="30">
        <f>(Table3[[#This Row],[Dividend]]-E19)/E19</f>
        <v>0.11282689912826899</v>
      </c>
      <c r="G20" s="5">
        <v>0.5</v>
      </c>
      <c r="H20" s="30">
        <f>(Table3[[#This Row],[DivPerShare]]-G19)/G19</f>
        <v>0.16279069767441862</v>
      </c>
      <c r="I20" s="5">
        <v>211743.16</v>
      </c>
      <c r="J20" s="30">
        <f>(Table3[[#This Row],[MarketValue]]-I19)/I19</f>
        <v>-0.15889494252514688</v>
      </c>
      <c r="K20" s="5">
        <v>8996</v>
      </c>
      <c r="L20" s="30">
        <f>(Table3[[#This Row],[SharesOutstanding]]-K19)/K19</f>
        <v>-5.0052798310454068E-2</v>
      </c>
    </row>
    <row r="21" spans="2:12" x14ac:dyDescent="0.25">
      <c r="B21" t="s">
        <v>88</v>
      </c>
      <c r="C21" s="5">
        <v>62484</v>
      </c>
      <c r="D21" s="30">
        <f>(Table3[[#This Row],[Revenue]]-C20)/C20</f>
        <v>6.9254068484008419E-2</v>
      </c>
      <c r="E21" s="5">
        <v>-4578</v>
      </c>
      <c r="F21" s="30">
        <f>(Table3[[#This Row],[Dividend]]-E20)/E20</f>
        <v>2.4619516562220233E-2</v>
      </c>
      <c r="G21" s="5">
        <v>0.52</v>
      </c>
      <c r="H21" s="30">
        <f>(Table3[[#This Row],[DivPerShare]]-G20)/G20</f>
        <v>4.0000000000000036E-2</v>
      </c>
      <c r="I21" s="5">
        <v>199450.68</v>
      </c>
      <c r="J21" s="30">
        <f>(Table3[[#This Row],[MarketValue]]-I20)/I20</f>
        <v>-5.8053728866613731E-2</v>
      </c>
      <c r="K21" s="5">
        <v>8927</v>
      </c>
      <c r="L21" s="30">
        <f>(Table3[[#This Row],[SharesOutstanding]]-K20)/K20</f>
        <v>-7.6700755891507336E-3</v>
      </c>
    </row>
    <row r="22" spans="2:12" x14ac:dyDescent="0.25">
      <c r="B22" t="s">
        <v>89</v>
      </c>
      <c r="C22" s="5">
        <v>69943</v>
      </c>
      <c r="D22" s="30">
        <f>(Table3[[#This Row],[Revenue]]-C21)/C21</f>
        <v>0.11937455988733116</v>
      </c>
      <c r="E22" s="5">
        <v>-5180</v>
      </c>
      <c r="F22" s="30">
        <f>(Table3[[#This Row],[Dividend]]-E21)/E21</f>
        <v>0.13149847094801223</v>
      </c>
      <c r="G22" s="5">
        <v>0.61</v>
      </c>
      <c r="H22" s="30">
        <f>(Table3[[#This Row],[DivPerShare]]-G21)/G21</f>
        <v>0.17307692307692302</v>
      </c>
      <c r="I22" s="5">
        <v>217776</v>
      </c>
      <c r="J22" s="30">
        <f>(Table3[[#This Row],[MarketValue]]-I21)/I21</f>
        <v>9.1878954737080909E-2</v>
      </c>
      <c r="K22" s="5">
        <v>8593</v>
      </c>
      <c r="L22" s="30">
        <f>(Table3[[#This Row],[SharesOutstanding]]-K21)/K21</f>
        <v>-3.7414584966954184E-2</v>
      </c>
    </row>
    <row r="23" spans="2:12" x14ac:dyDescent="0.25">
      <c r="B23" t="s">
        <v>90</v>
      </c>
      <c r="C23" s="5">
        <v>73723</v>
      </c>
      <c r="D23" s="30">
        <f>(Table3[[#This Row],[Revenue]]-C22)/C22</f>
        <v>5.404400726305706E-2</v>
      </c>
      <c r="E23" s="5">
        <v>-6385</v>
      </c>
      <c r="F23" s="30">
        <f>(Table3[[#This Row],[Dividend]]-E22)/E22</f>
        <v>0.23262548262548263</v>
      </c>
      <c r="G23" s="5">
        <v>0.76</v>
      </c>
      <c r="H23" s="30">
        <f>(Table3[[#This Row],[DivPerShare]]-G22)/G22</f>
        <v>0.24590163934426235</v>
      </c>
      <c r="I23" s="5">
        <v>256374.79</v>
      </c>
      <c r="J23" s="30">
        <f>(Table3[[#This Row],[MarketValue]]-I22)/I22</f>
        <v>0.17724078870031595</v>
      </c>
      <c r="K23" s="5">
        <v>8506</v>
      </c>
      <c r="L23" s="30">
        <f>(Table3[[#This Row],[SharesOutstanding]]-K22)/K22</f>
        <v>-1.0124519958105435E-2</v>
      </c>
    </row>
    <row r="24" spans="2:12" x14ac:dyDescent="0.25">
      <c r="B24" t="s">
        <v>91</v>
      </c>
      <c r="C24" s="5">
        <v>77849</v>
      </c>
      <c r="D24" s="30">
        <f>(Table3[[#This Row],[Revenue]]-C23)/C23</f>
        <v>5.5966252051598553E-2</v>
      </c>
      <c r="E24" s="5">
        <v>-7455</v>
      </c>
      <c r="F24" s="30">
        <f>(Table3[[#This Row],[Dividend]]-E23)/E23</f>
        <v>0.16758026624902114</v>
      </c>
      <c r="G24" s="5">
        <v>0.89</v>
      </c>
      <c r="H24" s="30">
        <f>(Table3[[#This Row],[DivPerShare]]-G23)/G23</f>
        <v>0.17105263157894737</v>
      </c>
      <c r="I24" s="5">
        <v>287732.40000000002</v>
      </c>
      <c r="J24" s="30">
        <f>(Table3[[#This Row],[MarketValue]]-I23)/I23</f>
        <v>0.12231159701778796</v>
      </c>
      <c r="K24" s="5">
        <v>8470</v>
      </c>
      <c r="L24" s="30">
        <f>(Table3[[#This Row],[SharesOutstanding]]-K23)/K23</f>
        <v>-4.2323066071008704E-3</v>
      </c>
    </row>
    <row r="25" spans="2:12" x14ac:dyDescent="0.25">
      <c r="B25" t="s">
        <v>92</v>
      </c>
      <c r="C25" s="5">
        <v>86833</v>
      </c>
      <c r="D25" s="30">
        <f>(Table3[[#This Row],[Revenue]]-C24)/C24</f>
        <v>0.11540289534868785</v>
      </c>
      <c r="E25" s="5">
        <v>-8879</v>
      </c>
      <c r="F25" s="30">
        <f>(Table3[[#This Row],[Dividend]]-E24)/E24</f>
        <v>0.19101274312541919</v>
      </c>
      <c r="G25" s="5">
        <v>1.07</v>
      </c>
      <c r="H25" s="30">
        <f>(Table3[[#This Row],[DivPerShare]]-G24)/G24</f>
        <v>0.202247191011236</v>
      </c>
      <c r="I25" s="5">
        <v>343566.3</v>
      </c>
      <c r="J25" s="30">
        <f>(Table3[[#This Row],[MarketValue]]-I24)/I24</f>
        <v>0.19404801127714488</v>
      </c>
      <c r="K25" s="5">
        <v>8399</v>
      </c>
      <c r="L25" s="30">
        <f>(Table3[[#This Row],[SharesOutstanding]]-K24)/K24</f>
        <v>-8.3825265643447458E-3</v>
      </c>
    </row>
    <row r="26" spans="2:12" x14ac:dyDescent="0.25">
      <c r="B26" t="s">
        <v>93</v>
      </c>
      <c r="C26" s="5">
        <v>93580</v>
      </c>
      <c r="D26" s="30">
        <f>(Table3[[#This Row],[Revenue]]-C25)/C25</f>
        <v>7.7700874091647179E-2</v>
      </c>
      <c r="E26" s="5">
        <v>-9882</v>
      </c>
      <c r="F26" s="30">
        <f>(Table3[[#This Row],[Dividend]]-E25)/E25</f>
        <v>0.11296317152832526</v>
      </c>
      <c r="G26" s="5">
        <v>1.21</v>
      </c>
      <c r="H26" s="30">
        <f>(Table3[[#This Row],[DivPerShare]]-G25)/G25</f>
        <v>0.13084112149532701</v>
      </c>
      <c r="I26" s="5">
        <v>354392.05</v>
      </c>
      <c r="J26" s="30">
        <f>(Table3[[#This Row],[MarketValue]]-I25)/I25</f>
        <v>3.1509929815584356E-2</v>
      </c>
      <c r="K26" s="5">
        <v>8254</v>
      </c>
      <c r="L26" s="30">
        <f>(Table3[[#This Row],[SharesOutstanding]]-K25)/K25</f>
        <v>-1.7263959995237527E-2</v>
      </c>
    </row>
    <row r="27" spans="2:12" x14ac:dyDescent="0.25">
      <c r="B27" t="s">
        <v>94</v>
      </c>
      <c r="C27" s="5">
        <v>91154</v>
      </c>
      <c r="D27" s="30">
        <f>(Table3[[#This Row],[Revenue]]-C26)/C26</f>
        <v>-2.592434280829237E-2</v>
      </c>
      <c r="E27" s="5">
        <v>-11006</v>
      </c>
      <c r="F27" s="30">
        <f>(Table3[[#This Row],[Dividend]]-E26)/E26</f>
        <v>0.11374215745800445</v>
      </c>
      <c r="G27" s="5">
        <v>1.39</v>
      </c>
      <c r="H27" s="30">
        <f>(Table3[[#This Row],[DivPerShare]]-G26)/G26</f>
        <v>0.14876033057851235</v>
      </c>
      <c r="I27" s="5">
        <v>399535.35999999999</v>
      </c>
      <c r="J27" s="30">
        <f>(Table3[[#This Row],[MarketValue]]-I26)/I26</f>
        <v>0.12738240036705112</v>
      </c>
      <c r="K27" s="5">
        <v>8013</v>
      </c>
      <c r="L27" s="30">
        <f>(Table3[[#This Row],[SharesOutstanding]]-K26)/K26</f>
        <v>-2.9197964623212988E-2</v>
      </c>
    </row>
    <row r="28" spans="2:12" x14ac:dyDescent="0.25">
      <c r="B28" t="s">
        <v>95</v>
      </c>
      <c r="C28" s="5">
        <v>96571</v>
      </c>
      <c r="D28" s="30">
        <f>(Table3[[#This Row],[Revenue]]-C27)/C27</f>
        <v>5.9426903920837264E-2</v>
      </c>
      <c r="E28" s="5">
        <v>-11845</v>
      </c>
      <c r="F28" s="30">
        <f>(Table3[[#This Row],[Dividend]]-E27)/E27</f>
        <v>7.6231146647283296E-2</v>
      </c>
      <c r="G28" s="5">
        <v>1.53</v>
      </c>
      <c r="H28" s="30">
        <f>(Table3[[#This Row],[DivPerShare]]-G27)/G27</f>
        <v>0.10071942446043175</v>
      </c>
      <c r="I28" s="5">
        <v>531312.43999999994</v>
      </c>
      <c r="J28" s="30">
        <f>(Table3[[#This Row],[MarketValue]]-I27)/I27</f>
        <v>0.32982582567910879</v>
      </c>
      <c r="K28" s="5">
        <v>7832</v>
      </c>
      <c r="L28" s="30">
        <f>(Table3[[#This Row],[SharesOutstanding]]-K27)/K27</f>
        <v>-2.2588294022213903E-2</v>
      </c>
    </row>
    <row r="29" spans="2:12" x14ac:dyDescent="0.25">
      <c r="B29" t="s">
        <v>96</v>
      </c>
      <c r="C29" s="5">
        <v>110360</v>
      </c>
      <c r="D29" s="30">
        <f>(Table3[[#This Row],[Revenue]]-C28)/C28</f>
        <v>0.14278613662486667</v>
      </c>
      <c r="E29" s="5">
        <v>-12699</v>
      </c>
      <c r="F29" s="30">
        <f>(Table3[[#This Row],[Dividend]]-E28)/E28</f>
        <v>7.2097931616715918E-2</v>
      </c>
      <c r="G29" s="5">
        <v>1.65</v>
      </c>
      <c r="H29" s="30">
        <f>(Table3[[#This Row],[DivPerShare]]-G28)/G28</f>
        <v>7.8431372549019537E-2</v>
      </c>
      <c r="I29" s="5">
        <v>757028.97</v>
      </c>
      <c r="J29" s="30">
        <f>(Table3[[#This Row],[MarketValue]]-I28)/I28</f>
        <v>0.4248282423050363</v>
      </c>
      <c r="K29" s="5">
        <v>7794</v>
      </c>
      <c r="L29" s="30">
        <f>(Table3[[#This Row],[SharesOutstanding]]-K28)/K28</f>
        <v>-4.8518896833503579E-3</v>
      </c>
    </row>
    <row r="30" spans="2:12" x14ac:dyDescent="0.25">
      <c r="B30" t="s">
        <v>97</v>
      </c>
      <c r="C30" s="5">
        <v>125843</v>
      </c>
      <c r="D30" s="30">
        <f>(Table3[[#This Row],[Revenue]]-C29)/C29</f>
        <v>0.14029539688292861</v>
      </c>
      <c r="E30" s="5">
        <v>-13811</v>
      </c>
      <c r="F30" s="30">
        <f>(Table3[[#This Row],[Dividend]]-E29)/E29</f>
        <v>8.7565950074809037E-2</v>
      </c>
      <c r="G30" s="5">
        <v>1.8</v>
      </c>
      <c r="H30" s="30">
        <f>(Table3[[#This Row],[DivPerShare]]-G29)/G29</f>
        <v>9.0909090909090995E-2</v>
      </c>
      <c r="I30" s="5">
        <v>1023856.28</v>
      </c>
      <c r="J30" s="30">
        <f>(Table3[[#This Row],[MarketValue]]-I29)/I29</f>
        <v>0.35246644524053033</v>
      </c>
      <c r="K30" s="5">
        <v>7753</v>
      </c>
      <c r="L30" s="30">
        <f>(Table3[[#This Row],[SharesOutstanding]]-K29)/K29</f>
        <v>-5.2604567616114963E-3</v>
      </c>
    </row>
    <row r="31" spans="2:12" x14ac:dyDescent="0.25">
      <c r="B31" t="s">
        <v>98</v>
      </c>
      <c r="C31" s="5">
        <v>143015</v>
      </c>
      <c r="D31" s="30">
        <f>(Table3[[#This Row],[Revenue]]-C30)/C30</f>
        <v>0.13645574247276368</v>
      </c>
      <c r="E31" s="5">
        <v>-15137</v>
      </c>
      <c r="F31" s="30">
        <f>(Table3[[#This Row],[Dividend]]-E30)/E30</f>
        <v>9.6010426471653032E-2</v>
      </c>
      <c r="G31" s="5">
        <v>1.99</v>
      </c>
      <c r="H31" s="30">
        <f>(Table3[[#This Row],[DivPerShare]]-G30)/G30</f>
        <v>0.10555555555555553</v>
      </c>
      <c r="I31" s="5">
        <v>1540774.21</v>
      </c>
      <c r="J31" s="30">
        <f>(Table3[[#This Row],[MarketValue]]-I30)/I30</f>
        <v>0.50487352580383638</v>
      </c>
      <c r="K31" s="5">
        <v>7683</v>
      </c>
      <c r="L31" s="30">
        <f>(Table3[[#This Row],[SharesOutstanding]]-K30)/K30</f>
        <v>-9.0287630594608533E-3</v>
      </c>
    </row>
    <row r="32" spans="2:12" x14ac:dyDescent="0.25">
      <c r="B32" t="s">
        <v>99</v>
      </c>
      <c r="C32" s="5">
        <v>168088</v>
      </c>
      <c r="D32" s="30">
        <f>(Table3[[#This Row],[Revenue]]-C31)/C31</f>
        <v>0.175317274411775</v>
      </c>
      <c r="E32" s="5">
        <v>-16521</v>
      </c>
      <c r="F32" s="30">
        <f>(Table3[[#This Row],[Dividend]]-E31)/E31</f>
        <v>9.143159146462311E-2</v>
      </c>
      <c r="G32" s="5">
        <v>2.19</v>
      </c>
      <c r="H32" s="30">
        <f>(Table3[[#This Row],[DivPerShare]]-G31)/G31</f>
        <v>0.10050251256281405</v>
      </c>
      <c r="I32" s="5">
        <v>2036897.1</v>
      </c>
      <c r="J32" s="30">
        <f>(Table3[[#This Row],[MarketValue]]-I31)/I31</f>
        <v>0.32199584259656067</v>
      </c>
      <c r="K32" s="5">
        <v>7608</v>
      </c>
      <c r="L32" s="30">
        <f>(Table3[[#This Row],[SharesOutstanding]]-K31)/K31</f>
        <v>-9.7618117922686452E-3</v>
      </c>
    </row>
    <row r="33" spans="3:12" x14ac:dyDescent="0.25">
      <c r="C33" s="5"/>
      <c r="D33" s="30">
        <f>(Table3[[#This Row],[Revenue]]-C32)/C32</f>
        <v>-1</v>
      </c>
      <c r="E33" s="5"/>
      <c r="F33" s="30">
        <f>(Table3[[#This Row],[Dividend]]-E32)/E32</f>
        <v>-1</v>
      </c>
      <c r="G33" s="5">
        <v>2.48</v>
      </c>
      <c r="H33" s="30">
        <f>(Table3[[#This Row],[DivPerShare]]-G32)/G32</f>
        <v>0.13242009132420093</v>
      </c>
      <c r="I33" s="5"/>
      <c r="J33" s="30">
        <f>(Table3[[#This Row],[MarketValue]]-I32)/I32</f>
        <v>-1</v>
      </c>
      <c r="K33" s="5"/>
      <c r="L33" s="30">
        <f>(Table3[[#This Row],[SharesOutstanding]]-K32)/K32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L32" sqref="L32"/>
    </sheetView>
  </sheetViews>
  <sheetFormatPr defaultRowHeight="15" x14ac:dyDescent="0.25"/>
  <cols>
    <col min="2" max="2" width="12.42578125" customWidth="1"/>
    <col min="3" max="3" width="10.5703125" bestFit="1" customWidth="1"/>
    <col min="4" max="5" width="12.28515625" bestFit="1" customWidth="1"/>
    <col min="6" max="6" width="20.5703125" customWidth="1"/>
    <col min="9" max="9" width="12.5703125" bestFit="1" customWidth="1"/>
    <col min="10" max="10" width="15.7109375" bestFit="1" customWidth="1"/>
    <col min="11" max="11" width="11.570312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70</v>
      </c>
      <c r="C3" s="5">
        <v>265.10000000000002</v>
      </c>
      <c r="D3" s="5">
        <v>-135</v>
      </c>
      <c r="E3" s="5">
        <v>0</v>
      </c>
      <c r="F3" s="5">
        <f>Table6[[#This Row],[Issues]]+Table6[[#This Row],[BuyBack]]+Table6[[#This Row],[Dividend]]</f>
        <v>130.10000000000002</v>
      </c>
      <c r="I3" t="s">
        <v>70</v>
      </c>
      <c r="J3" s="5">
        <v>907</v>
      </c>
      <c r="K3" s="5">
        <v>590.4</v>
      </c>
      <c r="L3" s="5">
        <v>791.4</v>
      </c>
      <c r="M3" s="5">
        <v>0</v>
      </c>
      <c r="N3" s="5">
        <v>0</v>
      </c>
      <c r="O3" s="5">
        <v>1769.7</v>
      </c>
      <c r="P3" s="5">
        <v>870.2</v>
      </c>
      <c r="Q3" s="5">
        <v>446.9</v>
      </c>
      <c r="R3" s="5">
        <v>0</v>
      </c>
    </row>
    <row r="4" spans="2:18" x14ac:dyDescent="0.25">
      <c r="B4" t="s">
        <v>71</v>
      </c>
      <c r="C4" s="5">
        <v>436</v>
      </c>
      <c r="D4" s="5">
        <v>-250</v>
      </c>
      <c r="E4" s="5">
        <v>0</v>
      </c>
      <c r="F4" s="5">
        <f>Table6[[#This Row],[Issues]]+Table6[[#This Row],[BuyBack]]+Table6[[#This Row],[Dividend]]</f>
        <v>186</v>
      </c>
      <c r="I4" t="s">
        <v>71</v>
      </c>
      <c r="J4" s="5">
        <v>1074</v>
      </c>
      <c r="K4" s="5">
        <v>838</v>
      </c>
      <c r="L4" s="5">
        <v>1013</v>
      </c>
      <c r="M4" s="5">
        <v>0</v>
      </c>
      <c r="N4" s="5">
        <v>0</v>
      </c>
      <c r="O4" s="5">
        <v>2850</v>
      </c>
      <c r="P4" s="5">
        <v>955</v>
      </c>
      <c r="Q4" s="5">
        <v>563</v>
      </c>
      <c r="R4" s="5">
        <v>0</v>
      </c>
    </row>
    <row r="5" spans="2:18" x14ac:dyDescent="0.25">
      <c r="B5" t="s">
        <v>72</v>
      </c>
      <c r="C5" s="5">
        <v>431</v>
      </c>
      <c r="D5" s="5">
        <v>-348</v>
      </c>
      <c r="E5" s="5">
        <v>0</v>
      </c>
      <c r="F5" s="5">
        <f>Table6[[#This Row],[Issues]]+Table6[[#This Row],[BuyBack]]+Table6[[#This Row],[Dividend]]</f>
        <v>83</v>
      </c>
      <c r="I5" t="s">
        <v>72</v>
      </c>
      <c r="J5" s="5">
        <v>1593</v>
      </c>
      <c r="K5" s="5">
        <v>1315</v>
      </c>
      <c r="L5" s="5">
        <v>1477</v>
      </c>
      <c r="M5" s="5">
        <v>0</v>
      </c>
      <c r="N5" s="5">
        <v>0</v>
      </c>
      <c r="O5" s="5">
        <v>4312</v>
      </c>
      <c r="P5" s="5">
        <v>1051</v>
      </c>
      <c r="Q5" s="5">
        <v>913</v>
      </c>
      <c r="R5" s="5">
        <v>0</v>
      </c>
    </row>
    <row r="6" spans="2:18" x14ac:dyDescent="0.25">
      <c r="B6" t="s">
        <v>73</v>
      </c>
      <c r="C6" s="5">
        <v>332</v>
      </c>
      <c r="D6" s="5">
        <v>-649</v>
      </c>
      <c r="E6" s="5">
        <v>0</v>
      </c>
      <c r="F6" s="5">
        <f>Table6[[#This Row],[Issues]]+Table6[[#This Row],[BuyBack]]+Table6[[#This Row],[Dividend]]</f>
        <v>-317</v>
      </c>
      <c r="I6" t="s">
        <v>73</v>
      </c>
      <c r="J6" s="5">
        <v>1990</v>
      </c>
      <c r="K6" s="5">
        <v>1495</v>
      </c>
      <c r="L6" s="5">
        <v>1962</v>
      </c>
      <c r="M6" s="5">
        <v>0</v>
      </c>
      <c r="N6" s="5">
        <v>0</v>
      </c>
      <c r="O6" s="5">
        <v>5620</v>
      </c>
      <c r="P6" s="5">
        <v>1590</v>
      </c>
      <c r="Q6" s="5">
        <v>1347</v>
      </c>
      <c r="R6" s="5">
        <v>405</v>
      </c>
    </row>
    <row r="7" spans="2:18" x14ac:dyDescent="0.25">
      <c r="B7" t="s">
        <v>74</v>
      </c>
      <c r="C7" s="5">
        <v>504</v>
      </c>
      <c r="D7" s="5">
        <v>-1261</v>
      </c>
      <c r="E7" s="5">
        <v>0</v>
      </c>
      <c r="F7" s="5">
        <f>Table6[[#This Row],[Issues]]+Table6[[#This Row],[BuyBack]]+Table6[[#This Row],[Dividend]]</f>
        <v>-757</v>
      </c>
      <c r="I7" t="s">
        <v>74</v>
      </c>
      <c r="J7" s="5">
        <v>3719</v>
      </c>
      <c r="K7" s="5">
        <v>3225</v>
      </c>
      <c r="L7" s="5">
        <v>2601</v>
      </c>
      <c r="M7" s="5">
        <v>0</v>
      </c>
      <c r="N7" s="5">
        <v>0</v>
      </c>
      <c r="O7" s="5">
        <v>7839</v>
      </c>
      <c r="P7" s="5">
        <v>2254</v>
      </c>
      <c r="Q7" s="5">
        <v>2425</v>
      </c>
      <c r="R7" s="5">
        <v>635</v>
      </c>
    </row>
    <row r="8" spans="2:18" x14ac:dyDescent="0.25">
      <c r="B8" t="s">
        <v>75</v>
      </c>
      <c r="C8" s="5">
        <v>1819</v>
      </c>
      <c r="D8" s="5">
        <v>-3101</v>
      </c>
      <c r="E8" s="5">
        <v>-15</v>
      </c>
      <c r="F8" s="5">
        <f>Table6[[#This Row],[Issues]]+Table6[[#This Row],[BuyBack]]+Table6[[#This Row],[Dividend]]</f>
        <v>-1297</v>
      </c>
      <c r="I8" t="s">
        <v>75</v>
      </c>
      <c r="J8" s="5">
        <v>4689</v>
      </c>
      <c r="K8" s="5">
        <v>4190</v>
      </c>
      <c r="L8" s="5">
        <v>3706</v>
      </c>
      <c r="M8" s="5">
        <v>0</v>
      </c>
      <c r="N8" s="5">
        <v>0</v>
      </c>
      <c r="O8" s="5">
        <v>10373</v>
      </c>
      <c r="P8" s="5">
        <v>4014</v>
      </c>
      <c r="Q8" s="5">
        <v>3610</v>
      </c>
      <c r="R8" s="5">
        <v>0</v>
      </c>
    </row>
    <row r="9" spans="2:18" x14ac:dyDescent="0.25">
      <c r="B9" t="s">
        <v>76</v>
      </c>
      <c r="C9" s="5">
        <v>1497</v>
      </c>
      <c r="D9" s="5">
        <v>-2468</v>
      </c>
      <c r="E9" s="5">
        <v>-28</v>
      </c>
      <c r="F9" s="5">
        <f>Table6[[#This Row],[Issues]]+Table6[[#This Row],[BuyBack]]+Table6[[#This Row],[Dividend]]</f>
        <v>-999</v>
      </c>
      <c r="I9" t="s">
        <v>76</v>
      </c>
      <c r="J9" s="5">
        <v>8433</v>
      </c>
      <c r="K9" s="5">
        <v>7587</v>
      </c>
      <c r="L9" s="5">
        <v>3839</v>
      </c>
      <c r="M9" s="5">
        <v>0</v>
      </c>
      <c r="N9" s="5">
        <v>0</v>
      </c>
      <c r="O9" s="5">
        <v>15889</v>
      </c>
      <c r="P9" s="5">
        <v>6468</v>
      </c>
      <c r="Q9" s="5">
        <v>5730</v>
      </c>
      <c r="R9" s="5">
        <v>0</v>
      </c>
    </row>
    <row r="10" spans="2:18" x14ac:dyDescent="0.25">
      <c r="B10" t="s">
        <v>77</v>
      </c>
      <c r="C10" s="5">
        <v>2116</v>
      </c>
      <c r="D10" s="5">
        <v>-2950</v>
      </c>
      <c r="E10" s="5">
        <v>-28</v>
      </c>
      <c r="F10" s="5">
        <f>Table6[[#This Row],[Issues]]+Table6[[#This Row],[BuyBack]]+Table6[[#This Row],[Dividend]]</f>
        <v>-862</v>
      </c>
      <c r="I10" t="s">
        <v>77</v>
      </c>
      <c r="J10" s="5">
        <v>13137</v>
      </c>
      <c r="K10" s="5">
        <v>12554</v>
      </c>
      <c r="L10" s="5">
        <v>4975</v>
      </c>
      <c r="M10" s="5">
        <v>12261</v>
      </c>
      <c r="N10" s="5">
        <v>0</v>
      </c>
      <c r="O10" s="5">
        <v>21702</v>
      </c>
      <c r="P10" s="5">
        <v>16923</v>
      </c>
      <c r="Q10" s="5">
        <v>8802</v>
      </c>
      <c r="R10" s="5">
        <v>1385</v>
      </c>
    </row>
    <row r="11" spans="2:18" x14ac:dyDescent="0.25">
      <c r="B11" t="s">
        <v>78</v>
      </c>
      <c r="C11" s="5">
        <v>2717</v>
      </c>
      <c r="D11" s="5">
        <v>-4896</v>
      </c>
      <c r="E11" s="5">
        <v>-13</v>
      </c>
      <c r="F11" s="5">
        <f>Table6[[#This Row],[Issues]]+Table6[[#This Row],[BuyBack]]+Table6[[#This Row],[Dividend]]</f>
        <v>-2192</v>
      </c>
      <c r="I11" t="s">
        <v>78</v>
      </c>
      <c r="J11" s="5">
        <v>11426</v>
      </c>
      <c r="K11" s="5">
        <v>10547</v>
      </c>
      <c r="L11" s="5">
        <v>4846</v>
      </c>
      <c r="M11" s="5">
        <v>18952</v>
      </c>
      <c r="N11" s="5">
        <v>0</v>
      </c>
      <c r="O11" s="5">
        <v>30308</v>
      </c>
      <c r="P11" s="5">
        <v>21842</v>
      </c>
      <c r="Q11" s="5">
        <v>9755</v>
      </c>
      <c r="R11" s="5">
        <v>1027</v>
      </c>
    </row>
    <row r="12" spans="2:18" x14ac:dyDescent="0.25">
      <c r="B12" t="s">
        <v>79</v>
      </c>
      <c r="C12" s="5">
        <v>1620</v>
      </c>
      <c r="D12" s="5">
        <v>-7441</v>
      </c>
      <c r="E12" s="5">
        <v>0</v>
      </c>
      <c r="F12" s="5">
        <f>Table6[[#This Row],[Issues]]+Table6[[#This Row],[BuyBack]]+Table6[[#This Row],[Dividend]]</f>
        <v>-5821</v>
      </c>
      <c r="I12" t="s">
        <v>79</v>
      </c>
      <c r="J12" s="5">
        <v>13422</v>
      </c>
      <c r="K12" s="5">
        <v>12319</v>
      </c>
      <c r="L12" s="5">
        <v>3922</v>
      </c>
      <c r="M12" s="5">
        <v>27678</v>
      </c>
      <c r="N12" s="5">
        <v>0</v>
      </c>
      <c r="O12" s="5">
        <v>39210</v>
      </c>
      <c r="P12" s="5">
        <v>19620</v>
      </c>
      <c r="Q12" s="5">
        <v>9254</v>
      </c>
      <c r="R12" s="5">
        <v>2287</v>
      </c>
    </row>
    <row r="13" spans="2:18" x14ac:dyDescent="0.25">
      <c r="B13" t="s">
        <v>80</v>
      </c>
      <c r="C13" s="5">
        <v>1497</v>
      </c>
      <c r="D13" s="5">
        <v>-6069</v>
      </c>
      <c r="E13" s="5">
        <v>0</v>
      </c>
      <c r="F13" s="5">
        <f>Table6[[#This Row],[Issues]]+Table6[[#This Row],[BuyBack]]+Table6[[#This Row],[Dividend]]</f>
        <v>-4572</v>
      </c>
      <c r="I13" t="s">
        <v>80</v>
      </c>
      <c r="J13" s="5">
        <v>14509</v>
      </c>
      <c r="K13" s="5">
        <v>13739</v>
      </c>
      <c r="L13" s="5">
        <v>3016</v>
      </c>
      <c r="M13" s="5">
        <v>35636</v>
      </c>
      <c r="N13" s="5">
        <v>0</v>
      </c>
      <c r="O13" s="5">
        <v>48576</v>
      </c>
      <c r="P13" s="5">
        <v>19070</v>
      </c>
      <c r="Q13" s="5">
        <v>12744</v>
      </c>
      <c r="R13" s="5">
        <v>2722</v>
      </c>
    </row>
    <row r="14" spans="2:18" x14ac:dyDescent="0.25">
      <c r="B14" t="s">
        <v>81</v>
      </c>
      <c r="C14" s="5">
        <v>2120</v>
      </c>
      <c r="D14" s="5">
        <v>-6486</v>
      </c>
      <c r="E14" s="5">
        <v>-857</v>
      </c>
      <c r="F14" s="5">
        <f>Table6[[#This Row],[Issues]]+Table6[[#This Row],[BuyBack]]+Table6[[#This Row],[Dividend]]</f>
        <v>-5223</v>
      </c>
      <c r="I14" t="s">
        <v>81</v>
      </c>
      <c r="J14" s="5">
        <v>15797</v>
      </c>
      <c r="K14" s="5">
        <v>14906</v>
      </c>
      <c r="L14" s="5">
        <v>6438</v>
      </c>
      <c r="M14" s="5">
        <v>42610</v>
      </c>
      <c r="N14" s="5">
        <v>0</v>
      </c>
      <c r="O14" s="5">
        <v>58973</v>
      </c>
      <c r="P14" s="5">
        <v>22759</v>
      </c>
      <c r="Q14" s="5">
        <v>13974</v>
      </c>
      <c r="R14" s="5">
        <v>2846</v>
      </c>
    </row>
    <row r="15" spans="2:18" x14ac:dyDescent="0.25">
      <c r="B15" t="s">
        <v>82</v>
      </c>
      <c r="C15" s="5">
        <v>2748</v>
      </c>
      <c r="D15" s="5">
        <v>-3383</v>
      </c>
      <c r="E15" s="5">
        <v>-1729</v>
      </c>
      <c r="F15" s="5">
        <f>Table6[[#This Row],[Issues]]+Table6[[#This Row],[BuyBack]]+Table6[[#This Row],[Dividend]]</f>
        <v>-2364</v>
      </c>
      <c r="I15" t="s">
        <v>82</v>
      </c>
      <c r="J15" s="5">
        <v>14626</v>
      </c>
      <c r="K15" s="5">
        <v>13517</v>
      </c>
      <c r="L15" s="5">
        <v>14304</v>
      </c>
      <c r="M15" s="5">
        <v>46288</v>
      </c>
      <c r="N15" s="5">
        <v>0</v>
      </c>
      <c r="O15" s="5">
        <v>70566</v>
      </c>
      <c r="P15" s="5">
        <v>23802</v>
      </c>
      <c r="Q15" s="5">
        <v>14969</v>
      </c>
      <c r="R15" s="5">
        <v>4574</v>
      </c>
    </row>
    <row r="16" spans="2:18" x14ac:dyDescent="0.25">
      <c r="B16" t="s">
        <v>83</v>
      </c>
      <c r="C16" s="5">
        <v>3109</v>
      </c>
      <c r="D16" s="5">
        <v>-8057</v>
      </c>
      <c r="E16" s="5">
        <v>-36112</v>
      </c>
      <c r="F16" s="5">
        <f>Table6[[#This Row],[Issues]]+Table6[[#This Row],[BuyBack]]+Table6[[#This Row],[Dividend]]</f>
        <v>-41060</v>
      </c>
      <c r="I16" t="s">
        <v>83</v>
      </c>
      <c r="J16" s="5">
        <v>16605</v>
      </c>
      <c r="K16" s="5">
        <v>15793</v>
      </c>
      <c r="L16" s="5">
        <v>4851</v>
      </c>
      <c r="M16" s="5">
        <v>32900</v>
      </c>
      <c r="N16" s="5">
        <v>0</v>
      </c>
      <c r="O16" s="5">
        <v>48737</v>
      </c>
      <c r="P16" s="5">
        <v>22078</v>
      </c>
      <c r="Q16" s="5">
        <v>16877</v>
      </c>
      <c r="R16" s="5">
        <v>5823</v>
      </c>
    </row>
    <row r="17" spans="2:18" x14ac:dyDescent="0.25">
      <c r="B17" t="s">
        <v>84</v>
      </c>
      <c r="C17" s="5">
        <v>2101</v>
      </c>
      <c r="D17" s="5">
        <v>-19207</v>
      </c>
      <c r="E17" s="5">
        <v>-3545</v>
      </c>
      <c r="F17" s="5">
        <f>Table6[[#This Row],[Issues]]+Table6[[#This Row],[BuyBack]]+Table6[[#This Row],[Dividend]]</f>
        <v>-20651</v>
      </c>
      <c r="I17" t="s">
        <v>84</v>
      </c>
      <c r="J17" s="5">
        <v>14404</v>
      </c>
      <c r="K17" s="5">
        <v>12826</v>
      </c>
      <c r="L17" s="5">
        <v>6714</v>
      </c>
      <c r="M17" s="5">
        <v>27447</v>
      </c>
      <c r="N17" s="5">
        <v>0</v>
      </c>
      <c r="O17" s="5">
        <v>49010</v>
      </c>
      <c r="P17" s="5">
        <v>20587</v>
      </c>
      <c r="Q17" s="5">
        <v>22442</v>
      </c>
      <c r="R17" s="5">
        <v>7051</v>
      </c>
    </row>
    <row r="18" spans="2:18" x14ac:dyDescent="0.25">
      <c r="B18" t="s">
        <v>85</v>
      </c>
      <c r="C18" s="5">
        <v>6782</v>
      </c>
      <c r="D18" s="5">
        <v>-27575</v>
      </c>
      <c r="E18" s="5">
        <v>-3805</v>
      </c>
      <c r="F18" s="5">
        <f>Table6[[#This Row],[Issues]]+Table6[[#This Row],[BuyBack]]+Table6[[#This Row],[Dividend]]</f>
        <v>-24598</v>
      </c>
      <c r="I18" t="s">
        <v>85</v>
      </c>
      <c r="J18" s="5">
        <v>17796</v>
      </c>
      <c r="K18" s="5">
        <v>15532</v>
      </c>
      <c r="L18" s="5">
        <v>6111</v>
      </c>
      <c r="M18" s="5">
        <v>17300</v>
      </c>
      <c r="N18" s="5">
        <v>0</v>
      </c>
      <c r="O18" s="5">
        <v>40168</v>
      </c>
      <c r="P18" s="5">
        <v>23003</v>
      </c>
      <c r="Q18" s="5">
        <v>23754</v>
      </c>
      <c r="R18" s="5">
        <v>8320</v>
      </c>
    </row>
    <row r="19" spans="2:18" x14ac:dyDescent="0.25">
      <c r="B19" t="s">
        <v>86</v>
      </c>
      <c r="C19" s="5">
        <v>3494</v>
      </c>
      <c r="D19" s="5">
        <v>-12533</v>
      </c>
      <c r="E19" s="5">
        <v>-4015</v>
      </c>
      <c r="F19" s="5">
        <f>Table6[[#This Row],[Issues]]+Table6[[#This Row],[BuyBack]]+Table6[[#This Row],[Dividend]]</f>
        <v>-13054</v>
      </c>
      <c r="I19" t="s">
        <v>86</v>
      </c>
      <c r="J19" s="5">
        <v>21612</v>
      </c>
      <c r="K19" s="5">
        <v>18430</v>
      </c>
      <c r="L19" s="5">
        <v>10339</v>
      </c>
      <c r="M19" s="5">
        <v>13323</v>
      </c>
      <c r="N19" s="5">
        <v>0</v>
      </c>
      <c r="O19" s="5">
        <v>43242</v>
      </c>
      <c r="P19" s="5">
        <v>29551</v>
      </c>
      <c r="Q19" s="5">
        <v>29886</v>
      </c>
      <c r="R19" s="5">
        <v>6621</v>
      </c>
    </row>
    <row r="20" spans="2:18" x14ac:dyDescent="0.25">
      <c r="B20" t="s">
        <v>87</v>
      </c>
      <c r="C20" s="5">
        <v>579</v>
      </c>
      <c r="D20" s="5">
        <v>-9353</v>
      </c>
      <c r="E20" s="5">
        <v>-4468</v>
      </c>
      <c r="F20" s="5">
        <f>Table6[[#This Row],[Issues]]+Table6[[#This Row],[BuyBack]]+Table6[[#This Row],[Dividend]]</f>
        <v>-13242</v>
      </c>
      <c r="I20" t="s">
        <v>87</v>
      </c>
      <c r="J20" s="5">
        <v>19037</v>
      </c>
      <c r="K20" s="5">
        <v>15918</v>
      </c>
      <c r="L20" s="5">
        <v>6076</v>
      </c>
      <c r="M20" s="5">
        <v>25371</v>
      </c>
      <c r="N20" s="5">
        <v>0</v>
      </c>
      <c r="O20" s="5">
        <v>49280</v>
      </c>
      <c r="P20" s="5">
        <v>28608</v>
      </c>
      <c r="Q20" s="5">
        <v>27034</v>
      </c>
      <c r="R20" s="5">
        <v>11296</v>
      </c>
    </row>
    <row r="21" spans="2:18" x14ac:dyDescent="0.25">
      <c r="B21" t="s">
        <v>88</v>
      </c>
      <c r="C21" s="5">
        <v>2311</v>
      </c>
      <c r="D21" s="5">
        <v>-11269</v>
      </c>
      <c r="E21" s="5">
        <v>-4578</v>
      </c>
      <c r="F21" s="5">
        <f>Table6[[#This Row],[Issues]]+Table6[[#This Row],[BuyBack]]+Table6[[#This Row],[Dividend]]</f>
        <v>-13536</v>
      </c>
      <c r="I21" t="s">
        <v>88</v>
      </c>
      <c r="J21" s="5">
        <v>24073</v>
      </c>
      <c r="K21" s="5">
        <v>22096</v>
      </c>
      <c r="L21" s="5">
        <v>5505</v>
      </c>
      <c r="M21" s="5">
        <v>31283</v>
      </c>
      <c r="N21" s="5">
        <v>0</v>
      </c>
      <c r="O21" s="5">
        <v>55676</v>
      </c>
      <c r="P21" s="5">
        <v>30437</v>
      </c>
      <c r="Q21" s="5">
        <v>26147</v>
      </c>
      <c r="R21" s="5">
        <v>13791</v>
      </c>
    </row>
    <row r="22" spans="2:18" x14ac:dyDescent="0.25">
      <c r="B22" t="s">
        <v>89</v>
      </c>
      <c r="C22" s="5">
        <v>2422</v>
      </c>
      <c r="D22" s="5">
        <v>-11555</v>
      </c>
      <c r="E22" s="5">
        <v>-5180</v>
      </c>
      <c r="F22" s="5">
        <f>Table6[[#This Row],[Issues]]+Table6[[#This Row],[BuyBack]]+Table6[[#This Row],[Dividend]]</f>
        <v>-14313</v>
      </c>
      <c r="I22" t="s">
        <v>89</v>
      </c>
      <c r="J22" s="5">
        <v>26994</v>
      </c>
      <c r="K22" s="5">
        <v>24639</v>
      </c>
      <c r="L22" s="5">
        <v>9610</v>
      </c>
      <c r="M22" s="5">
        <v>43162</v>
      </c>
      <c r="N22" s="5">
        <v>0</v>
      </c>
      <c r="O22" s="5">
        <v>74918</v>
      </c>
      <c r="P22" s="5">
        <v>33786</v>
      </c>
      <c r="Q22" s="5">
        <v>28774</v>
      </c>
      <c r="R22" s="5">
        <v>22847</v>
      </c>
    </row>
    <row r="23" spans="2:18" x14ac:dyDescent="0.25">
      <c r="B23" t="s">
        <v>90</v>
      </c>
      <c r="C23" s="5">
        <v>1913</v>
      </c>
      <c r="D23" s="5">
        <v>-5029</v>
      </c>
      <c r="E23" s="5">
        <v>-6385</v>
      </c>
      <c r="F23" s="5">
        <f>Table6[[#This Row],[Issues]]+Table6[[#This Row],[BuyBack]]+Table6[[#This Row],[Dividend]]</f>
        <v>-9501</v>
      </c>
      <c r="I23" t="s">
        <v>90</v>
      </c>
      <c r="J23" s="5">
        <v>31626</v>
      </c>
      <c r="K23" s="5">
        <v>29321</v>
      </c>
      <c r="L23" s="5">
        <v>6938</v>
      </c>
      <c r="M23" s="5">
        <v>56102</v>
      </c>
      <c r="N23" s="5">
        <v>0</v>
      </c>
      <c r="O23" s="5">
        <v>85084</v>
      </c>
      <c r="P23" s="5">
        <v>36187</v>
      </c>
      <c r="Q23" s="5">
        <v>32688</v>
      </c>
      <c r="R23" s="5">
        <v>22220</v>
      </c>
    </row>
    <row r="24" spans="2:18" x14ac:dyDescent="0.25">
      <c r="B24" t="s">
        <v>91</v>
      </c>
      <c r="C24" s="5">
        <v>931</v>
      </c>
      <c r="D24" s="5">
        <v>-5360</v>
      </c>
      <c r="E24" s="5">
        <v>-7455</v>
      </c>
      <c r="F24" s="5">
        <f>Table6[[#This Row],[Issues]]+Table6[[#This Row],[BuyBack]]+Table6[[#This Row],[Dividend]]</f>
        <v>-11884</v>
      </c>
      <c r="I24" t="s">
        <v>91</v>
      </c>
      <c r="J24" s="5">
        <v>28833</v>
      </c>
      <c r="K24" s="5">
        <v>24576</v>
      </c>
      <c r="L24" s="5">
        <v>3804</v>
      </c>
      <c r="M24" s="5">
        <v>73218</v>
      </c>
      <c r="N24" s="5">
        <v>0</v>
      </c>
      <c r="O24" s="5">
        <v>101466</v>
      </c>
      <c r="P24" s="5">
        <v>40965</v>
      </c>
      <c r="Q24" s="5">
        <v>37417</v>
      </c>
      <c r="R24" s="5">
        <v>26070</v>
      </c>
    </row>
    <row r="25" spans="2:18" x14ac:dyDescent="0.25">
      <c r="B25" t="s">
        <v>92</v>
      </c>
      <c r="C25" s="5">
        <v>607</v>
      </c>
      <c r="D25" s="5">
        <v>-7316</v>
      </c>
      <c r="E25" s="5">
        <v>-8879</v>
      </c>
      <c r="F25" s="5">
        <f>Table6[[#This Row],[Issues]]+Table6[[#This Row],[BuyBack]]+Table6[[#This Row],[Dividend]]</f>
        <v>-15588</v>
      </c>
      <c r="I25" t="s">
        <v>92</v>
      </c>
      <c r="J25" s="5">
        <v>32502</v>
      </c>
      <c r="K25" s="5">
        <v>27017</v>
      </c>
      <c r="L25" s="5">
        <v>8669</v>
      </c>
      <c r="M25" s="5">
        <v>77040</v>
      </c>
      <c r="N25" s="5">
        <v>0</v>
      </c>
      <c r="O25" s="5">
        <v>114246</v>
      </c>
      <c r="P25" s="5">
        <v>58138</v>
      </c>
      <c r="Q25" s="5">
        <v>45625</v>
      </c>
      <c r="R25" s="5">
        <v>36975</v>
      </c>
    </row>
    <row r="26" spans="2:18" x14ac:dyDescent="0.25">
      <c r="B26" t="s">
        <v>93</v>
      </c>
      <c r="C26" s="5">
        <v>634</v>
      </c>
      <c r="D26" s="5">
        <v>-14443</v>
      </c>
      <c r="E26" s="5">
        <v>-9882</v>
      </c>
      <c r="F26" s="5">
        <f>Table6[[#This Row],[Issues]]+Table6[[#This Row],[BuyBack]]+Table6[[#This Row],[Dividend]]</f>
        <v>-23691</v>
      </c>
      <c r="I26" t="s">
        <v>93</v>
      </c>
      <c r="J26" s="5">
        <v>29668</v>
      </c>
      <c r="K26" s="5">
        <v>23724</v>
      </c>
      <c r="L26" s="5">
        <v>5595</v>
      </c>
      <c r="M26" s="5">
        <v>90931</v>
      </c>
      <c r="N26" s="5">
        <v>0</v>
      </c>
      <c r="O26" s="5">
        <v>122797</v>
      </c>
      <c r="P26" s="5">
        <v>51675</v>
      </c>
      <c r="Q26" s="5">
        <v>49647</v>
      </c>
      <c r="R26" s="5">
        <v>44742</v>
      </c>
    </row>
    <row r="27" spans="2:18" x14ac:dyDescent="0.25">
      <c r="B27" t="s">
        <v>94</v>
      </c>
      <c r="C27" s="5">
        <v>668</v>
      </c>
      <c r="D27" s="5">
        <v>-15969</v>
      </c>
      <c r="E27" s="5">
        <v>-11006</v>
      </c>
      <c r="F27" s="5">
        <f>Table6[[#This Row],[Issues]]+Table6[[#This Row],[BuyBack]]+Table6[[#This Row],[Dividend]]</f>
        <v>-26307</v>
      </c>
      <c r="I27" t="s">
        <v>94</v>
      </c>
      <c r="J27" s="5">
        <v>33325</v>
      </c>
      <c r="K27" s="5">
        <v>24982</v>
      </c>
      <c r="L27" s="5">
        <v>6510</v>
      </c>
      <c r="M27" s="5">
        <v>106730</v>
      </c>
      <c r="N27" s="5">
        <v>0</v>
      </c>
      <c r="O27" s="5">
        <v>139660</v>
      </c>
      <c r="P27" s="5">
        <v>53808</v>
      </c>
      <c r="Q27" s="5">
        <v>59357</v>
      </c>
      <c r="R27" s="5">
        <v>62114</v>
      </c>
    </row>
    <row r="28" spans="2:18" x14ac:dyDescent="0.25">
      <c r="B28" t="s">
        <v>95</v>
      </c>
      <c r="C28" s="5">
        <v>772</v>
      </c>
      <c r="D28" s="5">
        <v>-11788</v>
      </c>
      <c r="E28" s="5">
        <v>-11845</v>
      </c>
      <c r="F28" s="5">
        <f>Table6[[#This Row],[Issues]]+Table6[[#This Row],[BuyBack]]+Table6[[#This Row],[Dividend]]</f>
        <v>-22861</v>
      </c>
      <c r="I28" t="s">
        <v>95</v>
      </c>
      <c r="J28" s="5">
        <v>39507</v>
      </c>
      <c r="K28" s="5">
        <v>31378</v>
      </c>
      <c r="L28" s="5">
        <v>7663</v>
      </c>
      <c r="M28" s="5">
        <v>125318</v>
      </c>
      <c r="N28" s="5">
        <v>0</v>
      </c>
      <c r="O28" s="5">
        <v>162696</v>
      </c>
      <c r="P28" s="5">
        <v>87616</v>
      </c>
      <c r="Q28" s="5">
        <v>55745</v>
      </c>
      <c r="R28" s="5">
        <v>106856</v>
      </c>
    </row>
    <row r="29" spans="2:18" x14ac:dyDescent="0.25">
      <c r="B29" t="s">
        <v>96</v>
      </c>
      <c r="C29" s="5">
        <v>1002</v>
      </c>
      <c r="D29" s="5">
        <v>-10721</v>
      </c>
      <c r="E29" s="5">
        <v>-12699</v>
      </c>
      <c r="F29" s="5">
        <f>Table6[[#This Row],[Issues]]+Table6[[#This Row],[BuyBack]]+Table6[[#This Row],[Dividend]]</f>
        <v>-22418</v>
      </c>
      <c r="I29" t="s">
        <v>96</v>
      </c>
      <c r="J29" s="5">
        <v>43884</v>
      </c>
      <c r="K29" s="5">
        <v>32252</v>
      </c>
      <c r="L29" s="5">
        <v>11946</v>
      </c>
      <c r="M29" s="5">
        <v>121822</v>
      </c>
      <c r="N29" s="5">
        <v>0</v>
      </c>
      <c r="O29" s="5">
        <v>169662</v>
      </c>
      <c r="P29" s="5">
        <v>89186</v>
      </c>
      <c r="Q29" s="5">
        <v>58488</v>
      </c>
      <c r="R29" s="5">
        <v>117642</v>
      </c>
    </row>
    <row r="30" spans="2:18" x14ac:dyDescent="0.25">
      <c r="B30" t="s">
        <v>97</v>
      </c>
      <c r="C30" s="5">
        <v>1142</v>
      </c>
      <c r="D30" s="5">
        <v>-19543</v>
      </c>
      <c r="E30" s="5">
        <v>-13811</v>
      </c>
      <c r="F30" s="5">
        <f>Table6[[#This Row],[Issues]]+Table6[[#This Row],[BuyBack]]+Table6[[#This Row],[Dividend]]</f>
        <v>-32212</v>
      </c>
      <c r="I30" t="s">
        <v>97</v>
      </c>
      <c r="J30" s="5">
        <v>52185</v>
      </c>
      <c r="K30" s="5">
        <v>38260</v>
      </c>
      <c r="L30" s="5">
        <v>11356</v>
      </c>
      <c r="M30" s="5">
        <v>122463</v>
      </c>
      <c r="N30" s="5">
        <v>0</v>
      </c>
      <c r="O30" s="5">
        <v>175552</v>
      </c>
      <c r="P30" s="5">
        <v>111004</v>
      </c>
      <c r="Q30" s="5">
        <v>69420</v>
      </c>
      <c r="R30" s="5">
        <v>114806</v>
      </c>
    </row>
    <row r="31" spans="2:18" x14ac:dyDescent="0.25">
      <c r="B31" t="s">
        <v>98</v>
      </c>
      <c r="C31" s="5">
        <v>1343</v>
      </c>
      <c r="D31" s="5">
        <v>-22968</v>
      </c>
      <c r="E31" s="5">
        <v>-15137</v>
      </c>
      <c r="F31" s="5">
        <f>Table6[[#This Row],[Issues]]+Table6[[#This Row],[BuyBack]]+Table6[[#This Row],[Dividend]]</f>
        <v>-36762</v>
      </c>
      <c r="I31" t="s">
        <v>98</v>
      </c>
      <c r="J31" s="5">
        <v>60675</v>
      </c>
      <c r="K31" s="5">
        <v>45234</v>
      </c>
      <c r="L31" s="5">
        <v>13576</v>
      </c>
      <c r="M31" s="5">
        <v>122951</v>
      </c>
      <c r="N31" s="5">
        <v>0</v>
      </c>
      <c r="O31" s="5">
        <v>181915</v>
      </c>
      <c r="P31" s="5">
        <v>119396</v>
      </c>
      <c r="Q31" s="5">
        <v>72310</v>
      </c>
      <c r="R31" s="5">
        <v>110697</v>
      </c>
    </row>
    <row r="32" spans="2:18" x14ac:dyDescent="0.25">
      <c r="B32" t="s">
        <v>99</v>
      </c>
      <c r="C32" s="5">
        <v>1693</v>
      </c>
      <c r="D32" s="5">
        <v>-27385</v>
      </c>
      <c r="E32" s="5">
        <v>-16521</v>
      </c>
      <c r="F32" s="5">
        <f>Table6[[#This Row],[Issues]]+Table6[[#This Row],[BuyBack]]+Table6[[#This Row],[Dividend]]</f>
        <v>-42213</v>
      </c>
      <c r="I32" t="s">
        <v>99</v>
      </c>
      <c r="J32" s="5">
        <v>76740</v>
      </c>
      <c r="K32" s="5">
        <v>56118</v>
      </c>
      <c r="L32" s="5">
        <v>14224</v>
      </c>
      <c r="M32" s="5">
        <v>116110</v>
      </c>
      <c r="N32" s="5">
        <v>0</v>
      </c>
      <c r="O32" s="5">
        <v>184406</v>
      </c>
      <c r="P32" s="5">
        <v>149373</v>
      </c>
      <c r="Q32" s="5">
        <v>88657</v>
      </c>
      <c r="R32" s="5">
        <v>103134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4" t="s">
        <v>58</v>
      </c>
      <c r="D2" s="34"/>
      <c r="G2" s="35" t="s">
        <v>63</v>
      </c>
      <c r="H2" s="35"/>
      <c r="K2" s="36" t="s">
        <v>64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V23"/>
  <sheetViews>
    <sheetView workbookViewId="0">
      <selection activeCell="M20" sqref="M20"/>
    </sheetView>
  </sheetViews>
  <sheetFormatPr defaultRowHeight="15" x14ac:dyDescent="0.25"/>
  <cols>
    <col min="3" max="3" width="10" customWidth="1"/>
    <col min="4" max="4" width="14.42578125" customWidth="1"/>
    <col min="5" max="5" width="14.5703125" bestFit="1" customWidth="1"/>
    <col min="7" max="7" width="7.7109375" bestFit="1" customWidth="1"/>
    <col min="14" max="20" width="10.5703125" bestFit="1" customWidth="1"/>
  </cols>
  <sheetData>
    <row r="2" spans="2:22" x14ac:dyDescent="0.25">
      <c r="B2" t="s">
        <v>61</v>
      </c>
      <c r="C2" t="s">
        <v>66</v>
      </c>
      <c r="D2" t="s">
        <v>22</v>
      </c>
      <c r="E2" t="s">
        <v>1</v>
      </c>
      <c r="F2" t="s">
        <v>69</v>
      </c>
      <c r="G2" t="s">
        <v>102</v>
      </c>
      <c r="H2" t="s">
        <v>101</v>
      </c>
      <c r="K2" s="38" t="s">
        <v>100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25">
      <c r="B3">
        <v>2003</v>
      </c>
      <c r="C3" s="5">
        <v>0.08</v>
      </c>
      <c r="D3" s="5">
        <v>2.9580000000000002</v>
      </c>
      <c r="E3" s="1">
        <v>25.99</v>
      </c>
      <c r="F3" s="2">
        <f>Table7[[#This Row],[Coupon]]/Table7[[#This Row],[PriceMedian]]</f>
        <v>3.0781069642170067E-3</v>
      </c>
      <c r="G3" s="2">
        <f>Table7[[#This Row],[Coupon]]/Table7[[#This Row],[Revenue]]</f>
        <v>2.7045300878972278E-2</v>
      </c>
      <c r="H3" s="31">
        <f>Table7[[#This Row],[PriceMedian]]/Table7[[#This Row],[Revenue]]</f>
        <v>8.7863421230561176</v>
      </c>
      <c r="K3" t="s">
        <v>61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>
        <v>2021</v>
      </c>
      <c r="S3">
        <v>2022</v>
      </c>
      <c r="T3">
        <v>2023</v>
      </c>
      <c r="U3">
        <v>2024</v>
      </c>
      <c r="V3">
        <v>2025</v>
      </c>
    </row>
    <row r="4" spans="2:22" x14ac:dyDescent="0.25">
      <c r="B4">
        <v>2004</v>
      </c>
      <c r="C4" s="5">
        <v>0.16</v>
      </c>
      <c r="D4" s="5">
        <v>3.3809999999999998</v>
      </c>
      <c r="E4" s="1">
        <v>27.23</v>
      </c>
      <c r="F4" s="2">
        <f>Table7[[#This Row],[Coupon]]/Table7[[#This Row],[PriceMedian]]</f>
        <v>5.8758721997796545E-3</v>
      </c>
      <c r="G4" s="2">
        <f>Table7[[#This Row],[Coupon]]/Table7[[#This Row],[Revenue]]</f>
        <v>4.732327713694174E-2</v>
      </c>
      <c r="H4" s="31">
        <f>Table7[[#This Row],[PriceMedian]]/Table7[[#This Row],[Revenue]]</f>
        <v>8.0538302277432727</v>
      </c>
      <c r="K4" t="s">
        <v>66</v>
      </c>
      <c r="L4" s="5">
        <v>0</v>
      </c>
      <c r="M4" s="5">
        <f>(L4*$L6)+L4</f>
        <v>0</v>
      </c>
      <c r="N4" s="5">
        <f t="shared" ref="N4:V4" si="0">(M4*$L6)+M4</f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</row>
    <row r="5" spans="2:22" x14ac:dyDescent="0.25">
      <c r="B5">
        <v>2005</v>
      </c>
      <c r="C5" s="5">
        <v>0.32</v>
      </c>
      <c r="D5" s="5">
        <v>3.6480000000000001</v>
      </c>
      <c r="E5" s="1">
        <v>25.725000000000001</v>
      </c>
      <c r="F5" s="2">
        <f>Table7[[#This Row],[Coupon]]/Table7[[#This Row],[PriceMedian]]</f>
        <v>1.2439261418853256E-2</v>
      </c>
      <c r="G5" s="2">
        <f>Table7[[#This Row],[Coupon]]/Table7[[#This Row],[Revenue]]</f>
        <v>8.771929824561403E-2</v>
      </c>
      <c r="H5" s="31">
        <f>Table7[[#This Row],[PriceMedian]]/Table7[[#This Row],[Revenue]]</f>
        <v>7.0518092105263159</v>
      </c>
      <c r="K5" t="s">
        <v>67</v>
      </c>
      <c r="L5" s="5">
        <v>0</v>
      </c>
      <c r="M5" s="1" t="e">
        <f>M4/$L7</f>
        <v>#DIV/0!</v>
      </c>
      <c r="N5" s="1" t="e">
        <f t="shared" ref="N5:V5" si="1">N4/$L7</f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  <c r="U5" s="1" t="e">
        <f t="shared" si="1"/>
        <v>#DIV/0!</v>
      </c>
      <c r="V5" s="1" t="e">
        <f t="shared" si="1"/>
        <v>#DIV/0!</v>
      </c>
    </row>
    <row r="6" spans="2:22" x14ac:dyDescent="0.25">
      <c r="B6">
        <v>2006</v>
      </c>
      <c r="C6" s="5">
        <v>0.34</v>
      </c>
      <c r="D6" s="5">
        <v>4.2050000000000001</v>
      </c>
      <c r="E6" s="1">
        <v>26.91</v>
      </c>
      <c r="F6" s="2">
        <f>Table7[[#This Row],[Coupon]]/Table7[[#This Row],[PriceMedian]]</f>
        <v>1.26347082868822E-2</v>
      </c>
      <c r="G6" s="2">
        <f>Table7[[#This Row],[Coupon]]/Table7[[#This Row],[Revenue]]</f>
        <v>8.0856123662306781E-2</v>
      </c>
      <c r="H6" s="31">
        <f>Table7[[#This Row],[PriceMedian]]/Table7[[#This Row],[Revenue]]</f>
        <v>6.3995243757431632</v>
      </c>
      <c r="K6" t="s">
        <v>68</v>
      </c>
      <c r="L6" s="28">
        <v>0</v>
      </c>
    </row>
    <row r="7" spans="2:22" x14ac:dyDescent="0.25">
      <c r="B7">
        <v>2007</v>
      </c>
      <c r="C7" s="5">
        <v>0.39</v>
      </c>
      <c r="D7" s="5">
        <v>5.1710000000000003</v>
      </c>
      <c r="E7" s="1">
        <v>29.93</v>
      </c>
      <c r="F7" s="2">
        <f>Table7[[#This Row],[Coupon]]/Table7[[#This Row],[PriceMedian]]</f>
        <v>1.3030404276645507E-2</v>
      </c>
      <c r="G7" s="2">
        <f>Table7[[#This Row],[Coupon]]/Table7[[#This Row],[Revenue]]</f>
        <v>7.5420614968091271E-2</v>
      </c>
      <c r="H7" s="31">
        <f>Table7[[#This Row],[PriceMedian]]/Table7[[#This Row],[Revenue]]</f>
        <v>5.7880487333204407</v>
      </c>
      <c r="K7" t="s">
        <v>103</v>
      </c>
      <c r="L7" s="2">
        <v>0</v>
      </c>
    </row>
    <row r="8" spans="2:22" x14ac:dyDescent="0.25">
      <c r="B8">
        <v>2008</v>
      </c>
      <c r="C8" s="5">
        <v>0.43</v>
      </c>
      <c r="D8" s="5">
        <v>6.38</v>
      </c>
      <c r="E8" s="1">
        <v>27.62</v>
      </c>
      <c r="F8" s="2">
        <f>Table7[[#This Row],[Coupon]]/Table7[[#This Row],[PriceMedian]]</f>
        <v>1.5568428674873279E-2</v>
      </c>
      <c r="G8" s="2">
        <f>Table7[[#This Row],[Coupon]]/Table7[[#This Row],[Revenue]]</f>
        <v>6.7398119122257058E-2</v>
      </c>
      <c r="H8" s="31">
        <f>Table7[[#This Row],[PriceMedian]]/Table7[[#This Row],[Revenue]]</f>
        <v>4.3291536050156738</v>
      </c>
      <c r="K8" t="s">
        <v>69</v>
      </c>
      <c r="L8" s="2" t="e">
        <f>L4/$L5</f>
        <v>#DIV/0!</v>
      </c>
      <c r="M8" s="2" t="e">
        <f t="shared" ref="M8:V8" si="2">M4/$L5</f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  <c r="U8" s="2" t="e">
        <f t="shared" si="2"/>
        <v>#DIV/0!</v>
      </c>
      <c r="V8" s="2" t="e">
        <f t="shared" si="2"/>
        <v>#DIV/0!</v>
      </c>
    </row>
    <row r="9" spans="2:22" x14ac:dyDescent="0.25">
      <c r="B9">
        <v>2009</v>
      </c>
      <c r="C9" s="5">
        <v>0.5</v>
      </c>
      <c r="D9" s="5">
        <v>6.4960000000000004</v>
      </c>
      <c r="E9" s="1">
        <v>23.395</v>
      </c>
      <c r="F9" s="2">
        <f>Table7[[#This Row],[Coupon]]/Table7[[#This Row],[PriceMedian]]</f>
        <v>2.137208805300278E-2</v>
      </c>
      <c r="G9" s="2">
        <f>Table7[[#This Row],[Coupon]]/Table7[[#This Row],[Revenue]]</f>
        <v>7.6970443349753684E-2</v>
      </c>
      <c r="H9" s="31">
        <f>Table7[[#This Row],[PriceMedian]]/Table7[[#This Row],[Revenue]]</f>
        <v>3.6014470443349751</v>
      </c>
    </row>
    <row r="10" spans="2:22" x14ac:dyDescent="0.25">
      <c r="B10">
        <v>2010</v>
      </c>
      <c r="C10" s="5">
        <v>0.52</v>
      </c>
      <c r="D10" s="5">
        <v>6.9989999999999997</v>
      </c>
      <c r="E10" s="1">
        <v>26.824999999999999</v>
      </c>
      <c r="F10" s="2">
        <f>Table7[[#This Row],[Coupon]]/Table7[[#This Row],[PriceMedian]]</f>
        <v>1.9384902143522835E-2</v>
      </c>
      <c r="G10" s="2">
        <f>Table7[[#This Row],[Coupon]]/Table7[[#This Row],[Revenue]]</f>
        <v>7.4296328046863841E-2</v>
      </c>
      <c r="H10" s="31">
        <f>Table7[[#This Row],[PriceMedian]]/Table7[[#This Row],[Revenue]]</f>
        <v>3.8326903843406201</v>
      </c>
    </row>
    <row r="11" spans="2:22" x14ac:dyDescent="0.25">
      <c r="B11">
        <v>2011</v>
      </c>
      <c r="C11" s="5">
        <v>0.61</v>
      </c>
      <c r="D11" s="5">
        <v>8.14</v>
      </c>
      <c r="E11" s="1">
        <v>25.9</v>
      </c>
      <c r="F11" s="2">
        <f>Table7[[#This Row],[Coupon]]/Table7[[#This Row],[PriceMedian]]</f>
        <v>2.3552123552123553E-2</v>
      </c>
      <c r="G11" s="2">
        <f>Table7[[#This Row],[Coupon]]/Table7[[#This Row],[Revenue]]</f>
        <v>7.4938574938574934E-2</v>
      </c>
      <c r="H11" s="31">
        <f>Table7[[#This Row],[PriceMedian]]/Table7[[#This Row],[Revenue]]</f>
        <v>3.1818181818181812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2:22" x14ac:dyDescent="0.25">
      <c r="B12">
        <v>2012</v>
      </c>
      <c r="C12" s="5">
        <v>0.76</v>
      </c>
      <c r="D12" s="5">
        <v>8.6669999999999998</v>
      </c>
      <c r="E12" s="1">
        <v>29.975000000000001</v>
      </c>
      <c r="F12" s="2">
        <f>Table7[[#This Row],[Coupon]]/Table7[[#This Row],[PriceMedian]]</f>
        <v>2.5354462051709756E-2</v>
      </c>
      <c r="G12" s="2">
        <f>Table7[[#This Row],[Coupon]]/Table7[[#This Row],[Revenue]]</f>
        <v>8.7688935040959967E-2</v>
      </c>
      <c r="H12" s="31">
        <f>Table7[[#This Row],[PriceMedian]]/Table7[[#This Row],[Revenue]]</f>
        <v>3.4585208261220726</v>
      </c>
    </row>
    <row r="13" spans="2:22" x14ac:dyDescent="0.25">
      <c r="B13">
        <v>2013</v>
      </c>
      <c r="C13" s="5">
        <v>0.89</v>
      </c>
      <c r="D13" s="5">
        <v>9.1910000000000007</v>
      </c>
      <c r="E13" s="1">
        <v>33.015000000000001</v>
      </c>
      <c r="F13" s="2">
        <f>Table7[[#This Row],[Coupon]]/Table7[[#This Row],[PriceMedian]]</f>
        <v>2.6957443586248676E-2</v>
      </c>
      <c r="G13" s="2">
        <f>Table7[[#This Row],[Coupon]]/Table7[[#This Row],[Revenue]]</f>
        <v>9.6833859210096823E-2</v>
      </c>
      <c r="H13" s="31">
        <f>Table7[[#This Row],[PriceMedian]]/Table7[[#This Row],[Revenue]]</f>
        <v>3.5921009683385918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x14ac:dyDescent="0.25">
      <c r="B14">
        <v>2014</v>
      </c>
      <c r="C14" s="5">
        <v>1.07</v>
      </c>
      <c r="D14" s="5">
        <v>10.337999999999999</v>
      </c>
      <c r="E14" s="1">
        <v>41.884999999999998</v>
      </c>
      <c r="F14" s="2">
        <f>Table7[[#This Row],[Coupon]]/Table7[[#This Row],[PriceMedian]]</f>
        <v>2.5546138235645222E-2</v>
      </c>
      <c r="G14" s="2">
        <f>Table7[[#This Row],[Coupon]]/Table7[[#This Row],[Revenue]]</f>
        <v>0.10350164441864966</v>
      </c>
      <c r="H14" s="31">
        <f>Table7[[#This Row],[PriceMedian]]/Table7[[#This Row],[Revenue]]</f>
        <v>4.0515573611917199</v>
      </c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>
        <v>2015</v>
      </c>
      <c r="C15" s="5">
        <v>1.21</v>
      </c>
      <c r="D15" s="5">
        <v>11.337999999999999</v>
      </c>
      <c r="E15" s="1">
        <v>46.23</v>
      </c>
      <c r="F15" s="2">
        <f>Table7[[#This Row],[Coupon]]/Table7[[#This Row],[PriceMedian]]</f>
        <v>2.6173480423967121E-2</v>
      </c>
      <c r="G15" s="2">
        <f>Table7[[#This Row],[Coupon]]/Table7[[#This Row],[Revenue]]</f>
        <v>0.10672076203916035</v>
      </c>
      <c r="H15" s="31">
        <f>Table7[[#This Row],[PriceMedian]]/Table7[[#This Row],[Revenue]]</f>
        <v>4.0774387017110598</v>
      </c>
      <c r="L15" s="28"/>
    </row>
    <row r="16" spans="2:22" x14ac:dyDescent="0.25">
      <c r="B16">
        <v>2016</v>
      </c>
      <c r="C16" s="5">
        <v>1.39</v>
      </c>
      <c r="D16" s="5">
        <v>11.375999999999999</v>
      </c>
      <c r="E16" s="1">
        <v>55.104999999999997</v>
      </c>
      <c r="F16" s="2">
        <f>Table7[[#This Row],[Coupon]]/Table7[[#This Row],[PriceMedian]]</f>
        <v>2.5224571273024226E-2</v>
      </c>
      <c r="G16" s="2">
        <f>Table7[[#This Row],[Coupon]]/Table7[[#This Row],[Revenue]]</f>
        <v>0.12218706047819972</v>
      </c>
      <c r="H16" s="31">
        <f>Table7[[#This Row],[PriceMedian]]/Table7[[#This Row],[Revenue]]</f>
        <v>4.8439697609001406</v>
      </c>
      <c r="L16" s="2"/>
    </row>
    <row r="17" spans="2:22" x14ac:dyDescent="0.25">
      <c r="B17">
        <v>2017</v>
      </c>
      <c r="C17" s="5">
        <v>1.53</v>
      </c>
      <c r="D17" s="5">
        <v>12.33</v>
      </c>
      <c r="E17" s="1">
        <v>70.87</v>
      </c>
      <c r="F17" s="2">
        <f>Table7[[#This Row],[Coupon]]/Table7[[#This Row],[PriceMedian]]</f>
        <v>2.1588824608437984E-2</v>
      </c>
      <c r="G17" s="2">
        <f>Table7[[#This Row],[Coupon]]/Table7[[#This Row],[Revenue]]</f>
        <v>0.12408759124087591</v>
      </c>
      <c r="H17" s="31">
        <f>Table7[[#This Row],[PriceMedian]]/Table7[[#This Row],[Revenue]]</f>
        <v>5.747769667477697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5">
      <c r="B18">
        <v>2018</v>
      </c>
      <c r="C18" s="5">
        <v>1.65</v>
      </c>
      <c r="D18" s="5">
        <v>14.16</v>
      </c>
      <c r="E18" s="1">
        <v>101.16</v>
      </c>
      <c r="F18" s="2">
        <f>Table7[[#This Row],[Coupon]]/Table7[[#This Row],[PriceMedian]]</f>
        <v>1.631079478054567E-2</v>
      </c>
      <c r="G18" s="2">
        <f>Table7[[#This Row],[Coupon]]/Table7[[#This Row],[Revenue]]</f>
        <v>0.11652542372881355</v>
      </c>
      <c r="H18" s="31">
        <f>Table7[[#This Row],[PriceMedian]]/Table7[[#This Row],[Revenue]]</f>
        <v>7.1440677966101696</v>
      </c>
    </row>
    <row r="19" spans="2:22" x14ac:dyDescent="0.25">
      <c r="B19">
        <v>2019</v>
      </c>
      <c r="C19" s="5">
        <v>1.8</v>
      </c>
      <c r="D19" s="5">
        <v>16.231999999999999</v>
      </c>
      <c r="E19" s="1">
        <v>135.22</v>
      </c>
      <c r="F19" s="2">
        <f>Table7[[#This Row],[Coupon]]/Table7[[#This Row],[PriceMedian]]</f>
        <v>1.3311640289897944E-2</v>
      </c>
      <c r="G19" s="2">
        <f>Table7[[#This Row],[Coupon]]/Table7[[#This Row],[Revenue]]</f>
        <v>0.11089206505667817</v>
      </c>
      <c r="H19" s="31">
        <f>Table7[[#This Row],[PriceMedian]]/Table7[[#This Row],[Revenue]]</f>
        <v>8.3304583538689005</v>
      </c>
    </row>
    <row r="20" spans="2:22" x14ac:dyDescent="0.25">
      <c r="B20">
        <v>2020</v>
      </c>
      <c r="C20" s="5">
        <v>1.99</v>
      </c>
      <c r="D20" s="5">
        <v>18.614000000000001</v>
      </c>
      <c r="E20" s="1">
        <v>201.91</v>
      </c>
      <c r="F20" s="2">
        <f>Table7[[#This Row],[Coupon]]/Table7[[#This Row],[PriceMedian]]</f>
        <v>9.8558763805655994E-3</v>
      </c>
      <c r="G20" s="2">
        <f>Table7[[#This Row],[Coupon]]/Table7[[#This Row],[Revenue]]</f>
        <v>0.10690877833888471</v>
      </c>
      <c r="H20" s="31">
        <f>Table7[[#This Row],[PriceMedian]]/Table7[[#This Row],[Revenue]]</f>
        <v>10.847211776082517</v>
      </c>
    </row>
    <row r="21" spans="2:22" x14ac:dyDescent="0.25">
      <c r="B21">
        <v>2021</v>
      </c>
      <c r="C21" s="5">
        <v>2.19</v>
      </c>
      <c r="D21" s="5">
        <v>22.094000000000001</v>
      </c>
      <c r="E21" s="1">
        <v>277.32</v>
      </c>
      <c r="F21" s="2">
        <f>Table7[[#This Row],[Coupon]]/Table7[[#This Row],[PriceMedian]]</f>
        <v>7.8970142795326704E-3</v>
      </c>
      <c r="G21" s="2">
        <f>Table7[[#This Row],[Coupon]]/Table7[[#This Row],[Revenue]]</f>
        <v>9.9121933556621702E-2</v>
      </c>
      <c r="H21" s="31">
        <f>Table7[[#This Row],[PriceMedian]]/Table7[[#This Row],[Revenue]]</f>
        <v>12.551824024622068</v>
      </c>
    </row>
    <row r="22" spans="2:22" x14ac:dyDescent="0.25">
      <c r="B22">
        <v>2022</v>
      </c>
      <c r="C22" s="5">
        <v>2.48</v>
      </c>
      <c r="D22" s="5">
        <v>25</v>
      </c>
      <c r="E22" s="1">
        <v>299.16000000000003</v>
      </c>
      <c r="F22" s="2">
        <f>Table7[[#This Row],[Coupon]]/Table7[[#This Row],[PriceMedian]]</f>
        <v>8.2898783259794089E-3</v>
      </c>
      <c r="G22" s="2">
        <f>Table7[[#This Row],[Coupon]]/Table7[[#This Row],[Revenue]]</f>
        <v>9.9199999999999997E-2</v>
      </c>
      <c r="H22" s="31">
        <f>Table7[[#This Row],[PriceMedian]]/Table7[[#This Row],[Revenue]]</f>
        <v>11.9664</v>
      </c>
    </row>
    <row r="23" spans="2:22" x14ac:dyDescent="0.25">
      <c r="B23">
        <v>2023</v>
      </c>
      <c r="C23" s="5"/>
      <c r="D23" s="5"/>
      <c r="E23" s="32"/>
      <c r="F23" s="2" t="e">
        <f>Table7[[#This Row],[Coupon]]/Table7[[#This Row],[PriceMedian]]</f>
        <v>#DIV/0!</v>
      </c>
      <c r="G23" s="2" t="e">
        <f>Table7[[#This Row],[Coupon]]/Table7[[#This Row],[Revenue]]</f>
        <v>#DIV/0!</v>
      </c>
      <c r="H23" s="31" t="e">
        <f>Table7[[#This Row],[PriceMedian]]/Table7[[#This Row],[Revenue]]</f>
        <v>#DIV/0!</v>
      </c>
    </row>
  </sheetData>
  <mergeCells count="1">
    <mergeCell ref="K2:V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Aesop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2022-05-04T16:39:58Z</dcterms:modified>
</cp:coreProperties>
</file>