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Stock-Analysis/Stock Analysis/TROW/"/>
    </mc:Choice>
  </mc:AlternateContent>
  <xr:revisionPtr revIDLastSave="410" documentId="8_{BB403F6F-9775-4327-A0F3-7D39AFF35B1A}" xr6:coauthVersionLast="47" xr6:coauthVersionMax="47" xr10:uidLastSave="{09EB4195-057E-4AD5-AF62-EDC5DC856B46}"/>
  <bookViews>
    <workbookView xWindow="-120" yWindow="-120" windowWidth="29040" windowHeight="15720" tabRatio="720" activeTab="5" xr2:uid="{9825DF3D-1B58-4C24-A60D-565D808A20BC}"/>
  </bookViews>
  <sheets>
    <sheet name="IOV" sheetId="4" r:id="rId1"/>
    <sheet name="Margins" sheetId="2" r:id="rId2"/>
    <sheet name="Growth" sheetId="9" r:id="rId3"/>
    <sheet name="Owner" sheetId="6" r:id="rId4"/>
    <sheet name="Formulas" sheetId="5" r:id="rId5"/>
    <sheet name="Ebond" sheetId="10" r:id="rId6"/>
    <sheet name="AUM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1" l="1"/>
  <c r="F5" i="11"/>
  <c r="F6" i="11"/>
  <c r="F7" i="11"/>
  <c r="F3" i="11"/>
  <c r="J17" i="10"/>
  <c r="K13" i="10"/>
  <c r="K14" i="10" s="1"/>
  <c r="J8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H33" i="9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K17" i="10"/>
  <c r="L13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" i="6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4" i="9"/>
  <c r="J3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4" i="9"/>
  <c r="H3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4" i="9"/>
  <c r="F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4" i="9"/>
  <c r="D3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4" i="9"/>
  <c r="M13" i="10" l="1"/>
  <c r="L14" i="10"/>
  <c r="L17" i="10"/>
  <c r="M17" i="10" l="1"/>
  <c r="M14" i="10"/>
  <c r="N13" i="10"/>
  <c r="N14" i="10" l="1"/>
  <c r="O13" i="10"/>
  <c r="N17" i="10"/>
  <c r="O17" i="10" l="1"/>
  <c r="O14" i="10"/>
  <c r="P13" i="10"/>
  <c r="P17" i="10" l="1"/>
  <c r="Q13" i="10"/>
  <c r="P14" i="10"/>
  <c r="Q17" i="10" l="1"/>
  <c r="R13" i="10"/>
  <c r="Q14" i="10"/>
  <c r="R14" i="10" l="1"/>
  <c r="R17" i="10"/>
  <c r="S13" i="10"/>
  <c r="S14" i="10" l="1"/>
  <c r="T13" i="10"/>
  <c r="S17" i="10"/>
  <c r="T17" i="10" l="1"/>
  <c r="T14" i="10"/>
</calcChain>
</file>

<file path=xl/sharedStrings.xml><?xml version="1.0" encoding="utf-8"?>
<sst xmlns="http://schemas.openxmlformats.org/spreadsheetml/2006/main" count="256" uniqueCount="106">
  <si>
    <t>PriceMean</t>
  </si>
  <si>
    <t>PriceMedian</t>
  </si>
  <si>
    <t>DivMean</t>
  </si>
  <si>
    <t>DivMedian</t>
  </si>
  <si>
    <t>CY</t>
  </si>
  <si>
    <t>Fiscal Year</t>
  </si>
  <si>
    <t>LowPrice</t>
  </si>
  <si>
    <t>HighPrice</t>
  </si>
  <si>
    <t>RPS</t>
  </si>
  <si>
    <t>LP/R</t>
  </si>
  <si>
    <t>HP/R</t>
  </si>
  <si>
    <t>FCFPS</t>
  </si>
  <si>
    <t>LP/FCF</t>
  </si>
  <si>
    <t>HP/FCF</t>
  </si>
  <si>
    <t>EPS</t>
  </si>
  <si>
    <t>LP/E</t>
  </si>
  <si>
    <t>HP/E</t>
  </si>
  <si>
    <t>1992-12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</si>
  <si>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</si>
  <si>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</si>
  <si>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</si>
  <si>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</si>
  <si>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</si>
  <si>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</si>
  <si>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</si>
  <si>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</si>
  <si>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</si>
  <si>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</si>
  <si>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</si>
  <si>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</si>
  <si>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</si>
  <si>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</si>
  <si>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</si>
  <si>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</si>
  <si>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</si>
  <si>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</si>
  <si>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</si>
  <si>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</si>
  <si>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</si>
  <si>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</si>
  <si>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</si>
  <si>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</si>
  <si>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</si>
  <si>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</si>
  <si>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</si>
  <si>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</si>
  <si>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</si>
  <si>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FY</t>
  </si>
  <si>
    <t>MinPrice</t>
  </si>
  <si>
    <t>MaxPrice</t>
  </si>
  <si>
    <t>LowYield</t>
  </si>
  <si>
    <t>HighYield</t>
  </si>
  <si>
    <t>Revenue</t>
  </si>
  <si>
    <t>RevGro</t>
  </si>
  <si>
    <t>Dividend</t>
  </si>
  <si>
    <t>DivGro</t>
  </si>
  <si>
    <t>DivPerShare</t>
  </si>
  <si>
    <t>DPSGro</t>
  </si>
  <si>
    <t>MarketValue</t>
  </si>
  <si>
    <t>MVGro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</si>
  <si>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</si>
  <si>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</si>
  <si>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</si>
  <si>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</si>
  <si>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</si>
  <si>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</si>
  <si>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</si>
  <si>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</si>
  <si>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</si>
  <si>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</si>
  <si>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</si>
  <si>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</si>
  <si>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</si>
  <si>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</si>
  <si>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</si>
  <si>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</si>
  <si>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</si>
  <si>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</si>
  <si>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</si>
  <si>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CfoMargin</t>
  </si>
  <si>
    <t>CAPEX</t>
  </si>
  <si>
    <t>CapexMargin</t>
  </si>
  <si>
    <t>FcfMargin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</si>
  <si>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</si>
  <si>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</si>
  <si>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</si>
  <si>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</si>
  <si>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</si>
  <si>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</si>
  <si>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</si>
  <si>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</si>
  <si>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</si>
  <si>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</si>
  <si>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</si>
  <si>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</si>
  <si>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</si>
  <si>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</si>
  <si>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</si>
  <si>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</si>
  <si>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</si>
  <si>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</si>
  <si>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Rev</t>
  </si>
  <si>
    <t>AUM</t>
  </si>
  <si>
    <t>Yeild</t>
  </si>
  <si>
    <t>[Analysis -2022-4] [Div = $4.80][Pivot 2.75% - 3.00%][Growth 10% - 15%]</t>
  </si>
  <si>
    <t>[Analysis -2017-4] [Div = $2.28][Pivot 2.75% - 3.00%][Growth 10% - 15%]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</si>
</sst>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0.0%"/>
    <numFmt numFmtId="166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0" fontId="0" fillId="2" borderId="0" xfId="0" applyFill="1"/>
    <xf numFmtId="44" fontId="0" fillId="2" borderId="0" xfId="0" applyNumberFormat="1" applyFill="1"/>
    <xf numFmtId="44" fontId="0" fillId="0" borderId="0" xfId="2" applyFont="1"/>
    <xf numFmtId="0" fontId="0" fillId="4" borderId="0" xfId="0" applyFill="1"/>
    <xf numFmtId="44" fontId="0" fillId="4" borderId="0" xfId="2" applyFont="1" applyFill="1"/>
    <xf numFmtId="10" fontId="0" fillId="4" borderId="0" xfId="1" applyNumberFormat="1" applyFont="1" applyFill="1"/>
    <xf numFmtId="0" fontId="0" fillId="5" borderId="0" xfId="0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5" borderId="0" xfId="2" applyFont="1" applyFill="1"/>
    <xf numFmtId="164" fontId="0" fillId="5" borderId="0" xfId="0" applyNumberFormat="1" applyFill="1"/>
    <xf numFmtId="0" fontId="0" fillId="6" borderId="0" xfId="0" applyFill="1"/>
    <xf numFmtId="164" fontId="0" fillId="4" borderId="0" xfId="0" applyNumberFormat="1" applyFill="1"/>
    <xf numFmtId="9" fontId="0" fillId="0" borderId="0" xfId="1" applyFont="1"/>
    <xf numFmtId="9" fontId="0" fillId="6" borderId="0" xfId="1" applyNumberFormat="1" applyFont="1" applyFill="1"/>
    <xf numFmtId="9" fontId="0" fillId="6" borderId="0" xfId="1" applyFont="1" applyFill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0" fillId="3" borderId="1" xfId="0" applyFill="1" applyBorder="1"/>
    <xf numFmtId="0" fontId="2" fillId="6" borderId="1" xfId="0" applyFont="1" applyFill="1" applyBorder="1"/>
    <xf numFmtId="44" fontId="2" fillId="6" borderId="1" xfId="2" applyFont="1" applyFill="1" applyBorder="1"/>
    <xf numFmtId="9" fontId="2" fillId="6" borderId="1" xfId="1" applyFont="1" applyFill="1" applyBorder="1"/>
    <xf numFmtId="0" fontId="2" fillId="7" borderId="1" xfId="0" applyFont="1" applyFill="1" applyBorder="1"/>
    <xf numFmtId="44" fontId="2" fillId="7" borderId="1" xfId="2" applyFont="1" applyFill="1" applyBorder="1"/>
    <xf numFmtId="0" fontId="0" fillId="7" borderId="0" xfId="0" applyFill="1"/>
    <xf numFmtId="165" fontId="0" fillId="0" borderId="0" xfId="1" applyNumberFormat="1" applyFont="1"/>
    <xf numFmtId="166" fontId="0" fillId="0" borderId="0" xfId="1" applyNumberFormat="1" applyFont="1"/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31">
    <dxf>
      <numFmt numFmtId="14" formatCode="0.00%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theme="4" tint="0.59999389629810485"/>
        </patternFill>
      </fill>
    </dxf>
    <dxf>
      <numFmt numFmtId="14" formatCode="0.00%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J33" totalsRowShown="0">
  <autoFilter ref="B3:J33" xr:uid="{CC465B3B-07DF-45B2-A4C7-6673C75C36E3}"/>
  <tableColumns count="9">
    <tableColumn id="1" xr3:uid="{C9E7A322-3B72-4FD9-A543-8D859BB5B277}" name="CY"/>
    <tableColumn id="2" xr3:uid="{CC7E0DC4-C81C-4EAB-B498-D06AAA4CFA12}" name="MinPrice" dataDxfId="30"/>
    <tableColumn id="3" xr3:uid="{59C0C3F5-1927-4D3A-A9F5-9442547A4B36}" name="MaxPrice" dataDxfId="29"/>
    <tableColumn id="4" xr3:uid="{CE3C0130-A44E-4882-985C-70F35028953D}" name="PriceMean" dataDxfId="28"/>
    <tableColumn id="5" xr3:uid="{8EF5D246-211D-4EE5-99F0-22A9BA1261B6}" name="PriceMedian" dataDxfId="27"/>
    <tableColumn id="6" xr3:uid="{60F9DAEA-0E91-491A-918D-91BC5E3E4832}" name="LowYield" dataDxfId="26" dataCellStyle="Percent"/>
    <tableColumn id="7" xr3:uid="{131C0FD6-FF3D-40D2-86BF-0CA31FEFDFB4}" name="HighYield" dataDxfId="25" dataCellStyle="Percent"/>
    <tableColumn id="8" xr3:uid="{3A4DF5EF-35AA-4285-9F70-645E7BDAD0C5}" name="DivMean" dataDxfId="24" dataCellStyle="Percent"/>
    <tableColumn id="9" xr3:uid="{B95D3B00-F5E6-483D-8585-A79B6158BCB3}" name="DivMedian" dataDxfId="23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Coupon" dataCellStyle="Currency"/>
    <tableColumn id="3" xr3:uid="{F8D5CBD2-C854-43E6-98C3-6FCD800ECAB2}" name="PriceMedian" dataCellStyle="Currency"/>
    <tableColumn id="4" xr3:uid="{B71715D7-F5E8-42E7-93CA-1A9118BEE218}" name="YOC" dataDxfId="0" dataCellStyle="Percent">
      <calculatedColumnFormula>Table7[[#This Row],[Coupon]]/Table7[[#This Row],[PriceMedian]]</calculatedColumn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F4A2A3-BD3A-4744-B149-3B5DC2F21296}" name="Table8" displayName="Table8" ref="C2:F7" totalsRowShown="0">
  <autoFilter ref="C2:F7" xr:uid="{B3F4A2A3-BD3A-4744-B149-3B5DC2F21296}"/>
  <tableColumns count="4">
    <tableColumn id="1" xr3:uid="{0141C23E-69CD-4D1F-8FC9-DD284757995B}" name="Year"/>
    <tableColumn id="2" xr3:uid="{9C3613F6-275D-4BBA-BCCE-35B9E024191D}" name="Rev"/>
    <tableColumn id="3" xr3:uid="{21B65FA8-7FBB-4B73-B297-A075F5EBAD2B}" name="AUM"/>
    <tableColumn id="4" xr3:uid="{FCDDC2AA-853D-4E03-AA1C-4FB3DFBC6F9D}" name="Yeild">
      <calculatedColumnFormula>Table8[[#This Row],[Rev]]/Table8[[#This Row],[AUM]]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M3:X32" totalsRowShown="0">
  <autoFilter ref="M3:X32" xr:uid="{10671DA0-6975-463D-88D8-DF5B851D74DD}"/>
  <tableColumns count="12">
    <tableColumn id="1" xr3:uid="{E95A5EA6-8C37-450D-BF76-C50C15336E54}" name="FY"/>
    <tableColumn id="2" xr3:uid="{8747F51E-820F-4468-BCC3-48363D5907BA}" name="LowPrice" dataDxfId="22" dataCellStyle="Currency"/>
    <tableColumn id="3" xr3:uid="{0384F1EE-FFB5-407C-BEE1-9ACA12902632}" name="HighPrice" dataDxfId="21" dataCellStyle="Currency"/>
    <tableColumn id="4" xr3:uid="{CB7E9246-F4BD-4729-AEEF-6B492176E463}" name="RPS" dataCellStyle="Currency"/>
    <tableColumn id="5" xr3:uid="{38E590BD-6779-455E-AAD6-D6BF73040176}" name="LP/R" dataDxfId="20"/>
    <tableColumn id="6" xr3:uid="{A824D407-B985-4B0A-963D-1C4B29E61195}" name="HP/R" dataDxfId="19"/>
    <tableColumn id="7" xr3:uid="{8449A9C0-E2CF-4912-B46C-514654E50275}" name="FCFPS" dataCellStyle="Currency"/>
    <tableColumn id="8" xr3:uid="{05F0B1A5-314B-4E98-8ECF-282F17A63780}" name="LP/FCF" dataDxfId="18"/>
    <tableColumn id="9" xr3:uid="{2F81A370-4427-43EF-9614-E702E70853F8}" name="HP/FCF" dataDxfId="17"/>
    <tableColumn id="10" xr3:uid="{C216ACE0-25C2-44B8-9536-29C417ACD356}" name="EPS"/>
    <tableColumn id="11" xr3:uid="{0194C2E4-463D-4C97-B0B9-2713EB0DADE9}" name="LP/E" dataDxfId="16"/>
    <tableColumn id="12" xr3:uid="{7E27F257-4F4B-47A6-BE74-21F38CA09F32}" name="HP/E" dataDxfId="15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S32" totalsRowShown="0">
  <autoFilter ref="B2:S32" xr:uid="{0D7DA046-7075-438B-BFBC-B4556CD2103D}"/>
  <tableColumns count="18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14" dataCellStyle="Percent">
      <calculatedColumnFormula>Table4[[#This Row],[GrossProfit]]/Table4[[#This Row],[Revenue]]</calculatedColumnFormula>
    </tableColumn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13" dataCellStyle="Percent">
      <calculatedColumnFormula>Table4[[#This Row],[OperatingProfit]]/Table4[[#This Row],[Revenue]]</calculatedColumnFormula>
    </tableColumn>
    <tableColumn id="9" xr3:uid="{6F33ACA0-58FC-4A42-AE23-29CB12B46808}" name="NetProfit" dataCellStyle="Currency"/>
    <tableColumn id="10" xr3:uid="{C35EB3C6-5BDB-4D32-AE01-CD9DB9910314}" name="NetMargin" dataDxfId="12" dataCellStyle="Percent">
      <calculatedColumnFormula>Table4[[#This Row],[NetProfit]]/Table4[[#This Row],[Revenue]]</calculatedColumnFormula>
    </tableColumn>
    <tableColumn id="11" xr3:uid="{F0364200-1EE9-45E1-B7A7-2B6C5AC7A838}" name="CashFromOps" dataCellStyle="Currency"/>
    <tableColumn id="12" xr3:uid="{0119C3F0-E3BA-465F-BA8C-1C6E43BFD01B}" name="CfoMargin" dataDxfId="11" dataCellStyle="Percent">
      <calculatedColumnFormula>Table4[[#This Row],[CashFromOps]]/Table4[[#This Row],[Revenue]]</calculatedColumnFormula>
    </tableColumn>
    <tableColumn id="13" xr3:uid="{A8179D66-84F1-4F36-8FB7-10813A416F83}" name="CAPEX" dataCellStyle="Currency"/>
    <tableColumn id="14" xr3:uid="{AA40C489-FB64-4695-8679-DF4FA0272927}" name="CapexMargin" dataDxfId="10" dataCellStyle="Percent">
      <calculatedColumnFormula>ABS(Table4[[#This Row],[CAPEX]])/Table4[[#This Row],[Revenue]]</calculatedColumnFormula>
    </tableColumn>
    <tableColumn id="15" xr3:uid="{343D3F24-35EA-43E4-9FF6-71A091DF978D}" name="FCF" dataCellStyle="Currency"/>
    <tableColumn id="16" xr3:uid="{A0353AB7-F60E-4E4E-9A76-3F64464B1E0E}" name="FcfMargin" dataDxfId="9" dataCellStyle="Percent">
      <calculatedColumnFormula>Table4[[#This Row],[FCF]]/Table4[[#This Row],[Revenue]]</calculatedColumnFormula>
    </tableColumn>
    <tableColumn id="17" xr3:uid="{06343001-9D9F-49FB-B0BE-9993266C63C8}" name="Dividends" dataCellStyle="Currency"/>
    <tableColumn id="18" xr3:uid="{94B42F0E-2425-4CD1-A347-8FD257F65F7A}" name="DivMargin" dataDxfId="8" dataCellStyle="Percent">
      <calculatedColumnFormula>ABS(Table4[[#This Row],[Dividends]])/Table4[[#This Row],[Revenue]]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L33" totalsRowShown="0">
  <autoFilter ref="B2:L33" xr:uid="{1F0D0435-2E7C-4A01-A0A2-4FADAD54E4E2}"/>
  <tableColumns count="11">
    <tableColumn id="1" xr3:uid="{62EBC43D-E479-41D4-A87F-392537BB888A}" name="Fiscal Year"/>
    <tableColumn id="2" xr3:uid="{B44E26B7-745B-4E98-BAD6-D6759FA4E6D3}" name="Revenue"/>
    <tableColumn id="3" xr3:uid="{31DA2C1C-1A18-4F1F-8232-E22513D7E82A}" name="RevGro"/>
    <tableColumn id="4" xr3:uid="{79A83570-1D08-4443-87B5-EFEA379F44BA}" name="Dividend"/>
    <tableColumn id="5" xr3:uid="{B08B3DDE-5371-43E8-88E6-73F4DB97A997}" name="DivGro"/>
    <tableColumn id="6" xr3:uid="{D664DDA8-9C6C-4B70-A797-ED5F663E1A6C}" name="DivPerShare"/>
    <tableColumn id="7" xr3:uid="{94011229-06CB-408C-946F-E5B01E7FF392}" name="DPSGro" dataCellStyle="Percent"/>
    <tableColumn id="8" xr3:uid="{2D92246E-BF59-46D6-A0EC-301AE06C6133}" name="MarketValue"/>
    <tableColumn id="9" xr3:uid="{E0E68D77-A6DE-4D09-841B-3422686E1A84}" name="MVGro" dataCellStyle="Percent"/>
    <tableColumn id="10" xr3:uid="{B0D51114-3CC5-4A00-9EB3-FC1FE1BD06C4}" name="SharesOutstanding"/>
    <tableColumn id="11" xr3:uid="{58A6D5ED-FBAA-4549-8852-30F681A965E9}" name="ShareGro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F32" totalsRowShown="0">
  <autoFilter ref="B2:F32" xr:uid="{177D9C18-C608-4399-86E2-E75BAF9E75EA}"/>
  <tableColumns count="5">
    <tableColumn id="1" xr3:uid="{CA0478AF-0C3D-49DA-A47B-8D405999257A}" name="Fiscal Year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>
      <calculatedColumnFormula>Table6[[#This Row],[Issues]]+Table6[[#This Row],[BuyBack]]+Table6[[#This Row],[Dividend]]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I2:R32" totalsRowShown="0">
  <autoFilter ref="I2:R32" xr:uid="{A1D609BA-D5D0-43D7-81FD-1177A6FD38F7}"/>
  <tableColumns count="10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7" headerRowBorderDxfId="6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5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4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3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2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1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X33"/>
  <sheetViews>
    <sheetView workbookViewId="0">
      <selection activeCell="F4" sqref="F4:F33"/>
    </sheetView>
  </sheetViews>
  <sheetFormatPr defaultRowHeight="15" x14ac:dyDescent="0.25"/>
  <cols>
    <col min="2" max="2" width="7.7109375" customWidth="1"/>
    <col min="3" max="3" width="11.42578125" customWidth="1"/>
    <col min="4" max="4" width="11.28515625" bestFit="1" customWidth="1"/>
    <col min="5" max="5" width="12.7109375" customWidth="1"/>
    <col min="6" max="6" width="14.42578125" customWidth="1"/>
    <col min="7" max="7" width="11.42578125" bestFit="1" customWidth="1"/>
    <col min="8" max="8" width="11.85546875" bestFit="1" customWidth="1"/>
    <col min="9" max="9" width="11.140625" customWidth="1"/>
    <col min="10" max="10" width="12.85546875" customWidth="1"/>
    <col min="13" max="13" width="7.7109375" bestFit="1" customWidth="1"/>
    <col min="14" max="14" width="11.140625" customWidth="1"/>
    <col min="15" max="15" width="11.5703125" customWidth="1"/>
    <col min="21" max="21" width="9.5703125" customWidth="1"/>
  </cols>
  <sheetData>
    <row r="3" spans="2:24" x14ac:dyDescent="0.25">
      <c r="B3" t="s">
        <v>4</v>
      </c>
      <c r="C3" s="3" t="s">
        <v>48</v>
      </c>
      <c r="D3" s="9" t="s">
        <v>49</v>
      </c>
      <c r="E3" t="s">
        <v>0</v>
      </c>
      <c r="F3" t="s">
        <v>1</v>
      </c>
      <c r="G3" s="9" t="s">
        <v>50</v>
      </c>
      <c r="H3" s="6" t="s">
        <v>51</v>
      </c>
      <c r="I3" t="s">
        <v>2</v>
      </c>
      <c r="J3" t="s">
        <v>3</v>
      </c>
      <c r="M3" t="s">
        <v>47</v>
      </c>
      <c r="N3" s="6" t="s">
        <v>6</v>
      </c>
      <c r="O3" s="9" t="s">
        <v>7</v>
      </c>
      <c r="P3" t="s">
        <v>8</v>
      </c>
      <c r="Q3" s="6" t="s">
        <v>9</v>
      </c>
      <c r="R3" s="9" t="s">
        <v>10</v>
      </c>
      <c r="S3" t="s">
        <v>11</v>
      </c>
      <c r="T3" s="6" t="s">
        <v>12</v>
      </c>
      <c r="U3" s="9" t="s">
        <v>13</v>
      </c>
      <c r="V3" t="s">
        <v>14</v>
      </c>
      <c r="W3" s="6" t="s">
        <v>15</v>
      </c>
      <c r="X3" s="9" t="s">
        <v>16</v>
      </c>
    </row>
    <row r="4" spans="2:24" x14ac:dyDescent="0.25">
      <c r="B4">
        <v>1993</v>
      </c>
      <c r="C4" s="4">
        <v>2.5499999999999998</v>
      </c>
      <c r="D4" s="10">
        <v>4.09</v>
      </c>
      <c r="E4" s="1">
        <v>3.22</v>
      </c>
      <c r="F4" s="1">
        <v>3.02</v>
      </c>
      <c r="G4" s="11">
        <v>1.2713936430317801E-2</v>
      </c>
      <c r="H4" s="8">
        <v>2.0392156862745099E-2</v>
      </c>
      <c r="I4" s="2">
        <v>1.6535508467530699E-2</v>
      </c>
      <c r="J4" s="2">
        <v>1.7333333333333301E-2</v>
      </c>
      <c r="M4" t="s">
        <v>18</v>
      </c>
      <c r="N4" s="7">
        <v>2.5499999999999998</v>
      </c>
      <c r="O4" s="12">
        <v>4.09</v>
      </c>
      <c r="P4" s="5">
        <v>1.244</v>
      </c>
      <c r="Q4" s="15">
        <v>2.04983922829582</v>
      </c>
      <c r="R4" s="13">
        <v>3.2877813504823101</v>
      </c>
      <c r="S4" s="5">
        <v>0.105</v>
      </c>
      <c r="T4" s="15">
        <v>24.285714285714199</v>
      </c>
      <c r="U4" s="13">
        <v>38.952380952380899</v>
      </c>
      <c r="V4" s="5">
        <v>0.19500000000000001</v>
      </c>
      <c r="W4" s="15">
        <v>13.076923076923</v>
      </c>
      <c r="X4" s="13">
        <v>20.9743589743589</v>
      </c>
    </row>
    <row r="5" spans="2:24" x14ac:dyDescent="0.25">
      <c r="B5">
        <v>1994</v>
      </c>
      <c r="C5" s="4">
        <v>3.16</v>
      </c>
      <c r="D5" s="10">
        <v>4.78</v>
      </c>
      <c r="E5" s="1">
        <v>3.8086507936507901</v>
      </c>
      <c r="F5" s="1">
        <v>3.7649999999999899</v>
      </c>
      <c r="G5" s="11">
        <v>1.33891213389121E-2</v>
      </c>
      <c r="H5" s="8">
        <v>2.1857923497267701E-2</v>
      </c>
      <c r="I5" s="2">
        <v>1.6996452784903301E-2</v>
      </c>
      <c r="J5" s="2">
        <v>1.70439716312056E-2</v>
      </c>
      <c r="M5" t="s">
        <v>19</v>
      </c>
      <c r="N5" s="7">
        <v>3.16</v>
      </c>
      <c r="O5" s="12">
        <v>4.78</v>
      </c>
      <c r="P5" s="5">
        <v>1.5620000000000001</v>
      </c>
      <c r="Q5" s="15">
        <v>2.0230473751600502</v>
      </c>
      <c r="R5" s="13">
        <v>3.0601792573623499</v>
      </c>
      <c r="S5" s="5">
        <v>0.38300000000000001</v>
      </c>
      <c r="T5" s="15">
        <v>8.2506527415143598</v>
      </c>
      <c r="U5" s="13">
        <v>12.4804177545691</v>
      </c>
      <c r="V5" s="5">
        <v>0.25</v>
      </c>
      <c r="W5" s="15">
        <v>12.64</v>
      </c>
      <c r="X5" s="13">
        <v>19.12</v>
      </c>
    </row>
    <row r="6" spans="2:24" x14ac:dyDescent="0.25">
      <c r="B6">
        <v>1995</v>
      </c>
      <c r="C6" s="4">
        <v>3.39</v>
      </c>
      <c r="D6" s="10">
        <v>6.94</v>
      </c>
      <c r="E6" s="1">
        <v>5.1076984126984097</v>
      </c>
      <c r="F6" s="1">
        <v>4.8049999999999997</v>
      </c>
      <c r="G6" s="11">
        <v>1.1527377521613799E-2</v>
      </c>
      <c r="H6" s="8">
        <v>2.3598820058997001E-2</v>
      </c>
      <c r="I6" s="2">
        <v>1.6385330293052301E-2</v>
      </c>
      <c r="J6" s="2">
        <v>1.6728329454183399E-2</v>
      </c>
      <c r="M6" t="s">
        <v>20</v>
      </c>
      <c r="N6" s="7">
        <v>3.39</v>
      </c>
      <c r="O6" s="12">
        <v>6.94</v>
      </c>
      <c r="P6" s="5">
        <v>1.7749999999999999</v>
      </c>
      <c r="Q6" s="15">
        <v>1.90985915492957</v>
      </c>
      <c r="R6" s="13">
        <v>3.90985915492957</v>
      </c>
      <c r="S6" s="5">
        <v>0.315</v>
      </c>
      <c r="T6" s="15">
        <v>10.761904761904701</v>
      </c>
      <c r="U6" s="13">
        <v>22.031746031746</v>
      </c>
      <c r="V6" s="5">
        <v>0.30499999999999999</v>
      </c>
      <c r="W6" s="15">
        <v>11.114754098360599</v>
      </c>
      <c r="X6" s="13">
        <v>22.7540983606557</v>
      </c>
    </row>
    <row r="7" spans="2:24" x14ac:dyDescent="0.25">
      <c r="B7">
        <v>1996</v>
      </c>
      <c r="C7" s="4">
        <v>5.41</v>
      </c>
      <c r="D7" s="10">
        <v>11.38</v>
      </c>
      <c r="E7" s="1">
        <v>7.45271653543307</v>
      </c>
      <c r="F7" s="1">
        <v>7.06</v>
      </c>
      <c r="G7" s="11">
        <v>9.1388400702987604E-3</v>
      </c>
      <c r="H7" s="8">
        <v>1.9223659889094202E-2</v>
      </c>
      <c r="I7" s="2">
        <v>1.4295617019825299E-2</v>
      </c>
      <c r="J7" s="2">
        <v>1.4730878186968799E-2</v>
      </c>
      <c r="M7" t="s">
        <v>21</v>
      </c>
      <c r="N7" s="7">
        <v>5.41</v>
      </c>
      <c r="O7" s="12">
        <v>11.38</v>
      </c>
      <c r="P7" s="5">
        <v>2.38</v>
      </c>
      <c r="Q7" s="15">
        <v>2.27310924369747</v>
      </c>
      <c r="R7" s="13">
        <v>4.7815126050420096</v>
      </c>
      <c r="S7" s="5">
        <v>0.33500000000000002</v>
      </c>
      <c r="T7" s="15">
        <v>16.149253731343201</v>
      </c>
      <c r="U7" s="13">
        <v>33.9701492537313</v>
      </c>
      <c r="V7" s="5">
        <v>0.4</v>
      </c>
      <c r="W7" s="15">
        <v>13.525</v>
      </c>
      <c r="X7" s="13">
        <v>28.45</v>
      </c>
    </row>
    <row r="8" spans="2:24" x14ac:dyDescent="0.25">
      <c r="B8">
        <v>1997</v>
      </c>
      <c r="C8" s="4">
        <v>9.2799999999999994</v>
      </c>
      <c r="D8" s="10">
        <v>18.38</v>
      </c>
      <c r="E8" s="1">
        <v>13.3401581027668</v>
      </c>
      <c r="F8" s="1">
        <v>12.91</v>
      </c>
      <c r="G8" s="11">
        <v>7.1817192600652797E-3</v>
      </c>
      <c r="H8" s="8">
        <v>1.42241379310344E-2</v>
      </c>
      <c r="I8" s="2">
        <v>9.7553382069643906E-3</v>
      </c>
      <c r="J8" s="2">
        <v>9.5588235294117602E-3</v>
      </c>
      <c r="M8" t="s">
        <v>22</v>
      </c>
      <c r="N8" s="7">
        <v>9.2799999999999994</v>
      </c>
      <c r="O8" s="12">
        <v>18.38</v>
      </c>
      <c r="P8" s="5">
        <v>2.9540000000000002</v>
      </c>
      <c r="Q8" s="15">
        <v>3.1415030467163101</v>
      </c>
      <c r="R8" s="13">
        <v>6.2220717670954597</v>
      </c>
      <c r="S8" s="5">
        <v>0.5</v>
      </c>
      <c r="T8" s="15">
        <v>18.559999999999999</v>
      </c>
      <c r="U8" s="13">
        <v>36.76</v>
      </c>
      <c r="V8" s="5">
        <v>0.56499999999999995</v>
      </c>
      <c r="W8" s="15">
        <v>16.424778761061901</v>
      </c>
      <c r="X8" s="13">
        <v>32.530973451327398</v>
      </c>
    </row>
    <row r="9" spans="2:24" x14ac:dyDescent="0.25">
      <c r="B9">
        <v>1998</v>
      </c>
      <c r="C9" s="4">
        <v>11.38</v>
      </c>
      <c r="D9" s="10">
        <v>21.22</v>
      </c>
      <c r="E9" s="1">
        <v>16.982698412698401</v>
      </c>
      <c r="F9" s="1">
        <v>17.38</v>
      </c>
      <c r="G9" s="11">
        <v>8.1055607917059295E-3</v>
      </c>
      <c r="H9" s="8">
        <v>1.51142355008787E-2</v>
      </c>
      <c r="I9" s="2">
        <v>1.0289945410359999E-2</v>
      </c>
      <c r="J9" s="2">
        <v>9.9078472518094006E-3</v>
      </c>
      <c r="M9" t="s">
        <v>23</v>
      </c>
      <c r="N9" s="7">
        <v>11.38</v>
      </c>
      <c r="O9" s="12">
        <v>21.22</v>
      </c>
      <c r="P9" s="5">
        <v>3.4089999999999998</v>
      </c>
      <c r="Q9" s="15">
        <v>3.3382223525960599</v>
      </c>
      <c r="R9" s="13">
        <v>6.2246993253153402</v>
      </c>
      <c r="S9" s="5">
        <v>0.67500000000000004</v>
      </c>
      <c r="T9" s="15">
        <v>16.859259259259201</v>
      </c>
      <c r="U9" s="13">
        <v>31.437037037037001</v>
      </c>
      <c r="V9" s="5">
        <v>0.67</v>
      </c>
      <c r="W9" s="15">
        <v>16.9850746268656</v>
      </c>
      <c r="X9" s="13">
        <v>31.671641791044699</v>
      </c>
    </row>
    <row r="10" spans="2:24" x14ac:dyDescent="0.25">
      <c r="B10">
        <v>1999</v>
      </c>
      <c r="C10" s="4">
        <v>13.22</v>
      </c>
      <c r="D10" s="10">
        <v>20.440000000000001</v>
      </c>
      <c r="E10" s="1">
        <v>17.211904761904702</v>
      </c>
      <c r="F10" s="1">
        <v>17.395</v>
      </c>
      <c r="G10" s="11">
        <v>9.7847358121330701E-3</v>
      </c>
      <c r="H10" s="8">
        <v>1.51285930408472E-2</v>
      </c>
      <c r="I10" s="2">
        <v>1.17953429875358E-2</v>
      </c>
      <c r="J10" s="2">
        <v>1.1621166188416099E-2</v>
      </c>
      <c r="M10" t="s">
        <v>24</v>
      </c>
      <c r="N10" s="7">
        <v>13.22</v>
      </c>
      <c r="O10" s="12">
        <v>20.440000000000001</v>
      </c>
      <c r="P10" s="5">
        <v>4.0039999999999996</v>
      </c>
      <c r="Q10" s="15">
        <v>3.3016983016983001</v>
      </c>
      <c r="R10" s="13">
        <v>5.1048951048950997</v>
      </c>
      <c r="S10" s="5">
        <v>0.84799999999999998</v>
      </c>
      <c r="T10" s="15">
        <v>15.589622641509401</v>
      </c>
      <c r="U10" s="13">
        <v>24.1037735849056</v>
      </c>
      <c r="V10" s="5">
        <v>0.92500000000000004</v>
      </c>
      <c r="W10" s="15">
        <v>14.291891891891799</v>
      </c>
      <c r="X10" s="13">
        <v>22.097297297297299</v>
      </c>
    </row>
    <row r="11" spans="2:24" x14ac:dyDescent="0.25">
      <c r="B11">
        <v>2000</v>
      </c>
      <c r="C11" s="4">
        <v>15.09</v>
      </c>
      <c r="D11" s="10">
        <v>24.31</v>
      </c>
      <c r="E11" s="1">
        <v>20.195396825396799</v>
      </c>
      <c r="F11" s="1">
        <v>20.425000000000001</v>
      </c>
      <c r="G11" s="11">
        <v>1.06951871657754E-2</v>
      </c>
      <c r="H11" s="8">
        <v>1.7229953611663299E-2</v>
      </c>
      <c r="I11" s="2">
        <v>1.3044941968673699E-2</v>
      </c>
      <c r="J11" s="2">
        <v>1.2779590537058299E-2</v>
      </c>
      <c r="M11" t="s">
        <v>25</v>
      </c>
      <c r="N11" s="7">
        <v>15.09</v>
      </c>
      <c r="O11" s="12">
        <v>24.31</v>
      </c>
      <c r="P11" s="5">
        <v>4.4619999999999997</v>
      </c>
      <c r="Q11" s="15">
        <v>3.3818915284625701</v>
      </c>
      <c r="R11" s="13">
        <v>5.4482294935006701</v>
      </c>
      <c r="S11" s="5">
        <v>0.91800000000000004</v>
      </c>
      <c r="T11" s="15">
        <v>16.437908496732</v>
      </c>
      <c r="U11" s="13">
        <v>26.481481481481399</v>
      </c>
      <c r="V11" s="5">
        <v>1.04</v>
      </c>
      <c r="W11" s="15">
        <v>14.5096153846153</v>
      </c>
      <c r="X11" s="13">
        <v>23.374999999999901</v>
      </c>
    </row>
    <row r="12" spans="2:24" x14ac:dyDescent="0.25">
      <c r="B12">
        <v>2001</v>
      </c>
      <c r="C12" s="4">
        <v>12.85</v>
      </c>
      <c r="D12" s="10">
        <v>21.34</v>
      </c>
      <c r="E12" s="1">
        <v>17.347580645161202</v>
      </c>
      <c r="F12" s="1">
        <v>17.574999999999999</v>
      </c>
      <c r="G12" s="11">
        <v>1.4058106841611901E-2</v>
      </c>
      <c r="H12" s="8">
        <v>2.3346303501945501E-2</v>
      </c>
      <c r="I12" s="2">
        <v>1.7521984374888701E-2</v>
      </c>
      <c r="J12" s="2">
        <v>1.7069735819735799E-2</v>
      </c>
      <c r="M12" t="s">
        <v>26</v>
      </c>
      <c r="N12" s="7">
        <v>12.85</v>
      </c>
      <c r="O12" s="12">
        <v>21.34</v>
      </c>
      <c r="P12" s="5">
        <v>3.8580000000000001</v>
      </c>
      <c r="Q12" s="15">
        <v>3.3307413167444202</v>
      </c>
      <c r="R12" s="13">
        <v>5.5313634007257599</v>
      </c>
      <c r="S12" s="5">
        <v>0.96399999999999997</v>
      </c>
      <c r="T12" s="15">
        <v>13.3298755186722</v>
      </c>
      <c r="U12" s="13">
        <v>22.136929460580902</v>
      </c>
      <c r="V12" s="5">
        <v>0.76</v>
      </c>
      <c r="W12" s="15">
        <v>16.907894736842099</v>
      </c>
      <c r="X12" s="13">
        <v>28.078947368421002</v>
      </c>
    </row>
    <row r="13" spans="2:24" x14ac:dyDescent="0.25">
      <c r="B13">
        <v>2002</v>
      </c>
      <c r="C13" s="4">
        <v>10.73</v>
      </c>
      <c r="D13" s="10">
        <v>21</v>
      </c>
      <c r="E13" s="1">
        <v>16.119999999999902</v>
      </c>
      <c r="F13" s="1">
        <v>15.91</v>
      </c>
      <c r="G13" s="11">
        <v>1.52380952380952E-2</v>
      </c>
      <c r="H13" s="8">
        <v>2.9822926374650501E-2</v>
      </c>
      <c r="I13" s="2">
        <v>2.04077117067323E-2</v>
      </c>
      <c r="J13" s="2">
        <v>2.0113168175588801E-2</v>
      </c>
      <c r="M13" t="s">
        <v>27</v>
      </c>
      <c r="N13" s="7">
        <v>10.73</v>
      </c>
      <c r="O13" s="12">
        <v>21</v>
      </c>
      <c r="P13" s="5">
        <v>3.62</v>
      </c>
      <c r="Q13" s="15">
        <v>2.9640883977900501</v>
      </c>
      <c r="R13" s="13">
        <v>5.8011049723756898</v>
      </c>
      <c r="S13" s="5">
        <v>0.95199999999999996</v>
      </c>
      <c r="T13" s="15">
        <v>11.2710084033613</v>
      </c>
      <c r="U13" s="13">
        <v>22.058823529411701</v>
      </c>
      <c r="V13" s="5">
        <v>0.76</v>
      </c>
      <c r="W13" s="15">
        <v>14.118421052631501</v>
      </c>
      <c r="X13" s="13">
        <v>27.6315789473684</v>
      </c>
    </row>
    <row r="14" spans="2:24" x14ac:dyDescent="0.25">
      <c r="B14">
        <v>2003</v>
      </c>
      <c r="C14" s="4">
        <v>12.15</v>
      </c>
      <c r="D14" s="10">
        <v>23.71</v>
      </c>
      <c r="E14" s="1">
        <v>18.019007936507901</v>
      </c>
      <c r="F14" s="1">
        <v>19.425000000000001</v>
      </c>
      <c r="G14" s="11">
        <v>1.4853647881170801E-2</v>
      </c>
      <c r="H14" s="8">
        <v>2.7983539094650199E-2</v>
      </c>
      <c r="I14" s="2">
        <v>1.9690408121107301E-2</v>
      </c>
      <c r="J14" s="2">
        <v>1.7503227940287799E-2</v>
      </c>
      <c r="M14" t="s">
        <v>28</v>
      </c>
      <c r="N14" s="7">
        <v>12.15</v>
      </c>
      <c r="O14" s="12">
        <v>23.71</v>
      </c>
      <c r="P14" s="5">
        <v>3.8610000000000002</v>
      </c>
      <c r="Q14" s="15">
        <v>3.14685314685314</v>
      </c>
      <c r="R14" s="13">
        <v>6.1408961408961398</v>
      </c>
      <c r="S14" s="5">
        <v>1.028</v>
      </c>
      <c r="T14" s="15">
        <v>11.8190661478599</v>
      </c>
      <c r="U14" s="13">
        <v>23.064202334630298</v>
      </c>
      <c r="V14" s="5">
        <v>0.88</v>
      </c>
      <c r="W14" s="15">
        <v>13.8068181818181</v>
      </c>
      <c r="X14" s="13">
        <v>26.943181818181799</v>
      </c>
    </row>
    <row r="15" spans="2:24" x14ac:dyDescent="0.25">
      <c r="B15">
        <v>2004</v>
      </c>
      <c r="C15" s="4">
        <v>22.34</v>
      </c>
      <c r="D15" s="10">
        <v>31.57</v>
      </c>
      <c r="E15" s="1">
        <v>25.950952380952302</v>
      </c>
      <c r="F15" s="1">
        <v>25.535</v>
      </c>
      <c r="G15" s="11">
        <v>1.2136697540721801E-2</v>
      </c>
      <c r="H15" s="8">
        <v>1.70098478066248E-2</v>
      </c>
      <c r="I15" s="2">
        <v>1.48168274178533E-2</v>
      </c>
      <c r="J15" s="2">
        <v>1.4881535718415599E-2</v>
      </c>
      <c r="M15" t="s">
        <v>29</v>
      </c>
      <c r="N15" s="7">
        <v>22.34</v>
      </c>
      <c r="O15" s="12">
        <v>31.57</v>
      </c>
      <c r="P15" s="5">
        <v>4.7519999999999998</v>
      </c>
      <c r="Q15" s="15">
        <v>4.7011784511784498</v>
      </c>
      <c r="R15" s="13">
        <v>6.6435185185185102</v>
      </c>
      <c r="S15" s="5">
        <v>1.232</v>
      </c>
      <c r="T15" s="15">
        <v>18.133116883116799</v>
      </c>
      <c r="U15" s="13">
        <v>25.625</v>
      </c>
      <c r="V15" s="5">
        <v>1.2549999999999999</v>
      </c>
      <c r="W15" s="15">
        <v>17.800796812748999</v>
      </c>
      <c r="X15" s="13">
        <v>25.155378486055699</v>
      </c>
    </row>
    <row r="16" spans="2:24" x14ac:dyDescent="0.25">
      <c r="B16">
        <v>2005</v>
      </c>
      <c r="C16" s="4">
        <v>27.41</v>
      </c>
      <c r="D16" s="10">
        <v>37.369999999999997</v>
      </c>
      <c r="E16" s="1">
        <v>31.562380952380899</v>
      </c>
      <c r="F16" s="1">
        <v>31.32</v>
      </c>
      <c r="G16" s="11">
        <v>1.2309339042012301E-2</v>
      </c>
      <c r="H16" s="8">
        <v>1.6782196278730298E-2</v>
      </c>
      <c r="I16" s="2">
        <v>1.4686129792407E-2</v>
      </c>
      <c r="J16" s="2">
        <v>1.4696485623003099E-2</v>
      </c>
      <c r="M16" t="s">
        <v>30</v>
      </c>
      <c r="N16" s="7">
        <v>27.41</v>
      </c>
      <c r="O16" s="12">
        <v>37.369999999999997</v>
      </c>
      <c r="P16" s="5">
        <v>5.5439999999999996</v>
      </c>
      <c r="Q16" s="15">
        <v>4.9440836940836901</v>
      </c>
      <c r="R16" s="13">
        <v>6.7406204906204898</v>
      </c>
      <c r="S16" s="5">
        <v>1.786</v>
      </c>
      <c r="T16" s="15">
        <v>15.347144456886801</v>
      </c>
      <c r="U16" s="13">
        <v>20.923852183650599</v>
      </c>
      <c r="V16" s="5">
        <v>1.58</v>
      </c>
      <c r="W16" s="15">
        <v>17.348101265822699</v>
      </c>
      <c r="X16" s="13">
        <v>23.651898734177198</v>
      </c>
    </row>
    <row r="17" spans="2:24" x14ac:dyDescent="0.25">
      <c r="B17">
        <v>2006</v>
      </c>
      <c r="C17" s="4">
        <v>35.24</v>
      </c>
      <c r="D17" s="10">
        <v>48.31</v>
      </c>
      <c r="E17" s="1">
        <v>41.300916334661302</v>
      </c>
      <c r="F17" s="1">
        <v>40.89</v>
      </c>
      <c r="G17" s="11">
        <v>1.1591802939350001E-2</v>
      </c>
      <c r="H17" s="8">
        <v>1.58910329171396E-2</v>
      </c>
      <c r="I17" s="2">
        <v>1.3697186947276001E-2</v>
      </c>
      <c r="J17" s="2">
        <v>1.37288551115469E-2</v>
      </c>
      <c r="M17" t="s">
        <v>31</v>
      </c>
      <c r="N17" s="7">
        <v>35.24</v>
      </c>
      <c r="O17" s="12">
        <v>48.31</v>
      </c>
      <c r="P17" s="5">
        <v>6.5119999999999996</v>
      </c>
      <c r="Q17" s="15">
        <v>5.4115479115479097</v>
      </c>
      <c r="R17" s="13">
        <v>7.4186117936117899</v>
      </c>
      <c r="S17" s="5">
        <v>1.79</v>
      </c>
      <c r="T17" s="15">
        <v>19.687150837988799</v>
      </c>
      <c r="U17" s="13">
        <v>26.988826815642401</v>
      </c>
      <c r="V17" s="5">
        <v>1.9</v>
      </c>
      <c r="W17" s="15">
        <v>18.5473684210526</v>
      </c>
      <c r="X17" s="13">
        <v>25.426315789473598</v>
      </c>
    </row>
    <row r="18" spans="2:24" x14ac:dyDescent="0.25">
      <c r="B18">
        <v>2007</v>
      </c>
      <c r="C18" s="4">
        <v>44.6</v>
      </c>
      <c r="D18" s="10">
        <v>64.7</v>
      </c>
      <c r="E18" s="1">
        <v>52.680996015936202</v>
      </c>
      <c r="F18" s="1">
        <v>51.04</v>
      </c>
      <c r="G18" s="11">
        <v>1.05100463678516E-2</v>
      </c>
      <c r="H18" s="8">
        <v>1.5952143569292102E-2</v>
      </c>
      <c r="I18" s="2">
        <v>1.30944050942972E-2</v>
      </c>
      <c r="J18" s="2">
        <v>1.33385641428011E-2</v>
      </c>
      <c r="M18" t="s">
        <v>32</v>
      </c>
      <c r="N18" s="7">
        <v>44.6</v>
      </c>
      <c r="O18" s="12">
        <v>64.7</v>
      </c>
      <c r="P18" s="5">
        <v>7.9809999999999999</v>
      </c>
      <c r="Q18" s="15">
        <v>5.5882721463475704</v>
      </c>
      <c r="R18" s="13">
        <v>8.1067535396566797</v>
      </c>
      <c r="S18" s="5">
        <v>2.1930000000000001</v>
      </c>
      <c r="T18" s="15">
        <v>20.337437300501499</v>
      </c>
      <c r="U18" s="13">
        <v>29.5029639762881</v>
      </c>
      <c r="V18" s="5">
        <v>2.4</v>
      </c>
      <c r="W18" s="15">
        <v>18.5833333333333</v>
      </c>
      <c r="X18" s="13">
        <v>26.9583333333333</v>
      </c>
    </row>
    <row r="19" spans="2:24" x14ac:dyDescent="0.25">
      <c r="B19">
        <v>2008</v>
      </c>
      <c r="C19" s="4">
        <v>25.13</v>
      </c>
      <c r="D19" s="10">
        <v>65.010000000000005</v>
      </c>
      <c r="E19" s="1">
        <v>50.347233201580998</v>
      </c>
      <c r="F19" s="1">
        <v>52.67</v>
      </c>
      <c r="G19" s="11">
        <v>1.4766958929395399E-2</v>
      </c>
      <c r="H19" s="8">
        <v>3.8201352964584101E-2</v>
      </c>
      <c r="I19" s="2">
        <v>2.0052081166296198E-2</v>
      </c>
      <c r="J19" s="2">
        <v>1.8226694513005501E-2</v>
      </c>
      <c r="M19" t="s">
        <v>33</v>
      </c>
      <c r="N19" s="7">
        <v>25.13</v>
      </c>
      <c r="O19" s="12">
        <v>65.010000000000005</v>
      </c>
      <c r="P19" s="5">
        <v>7.835</v>
      </c>
      <c r="Q19" s="15">
        <v>3.20740268028079</v>
      </c>
      <c r="R19" s="13">
        <v>8.2973835354179908</v>
      </c>
      <c r="S19" s="5">
        <v>2.2130000000000001</v>
      </c>
      <c r="T19" s="15">
        <v>11.355625847266101</v>
      </c>
      <c r="U19" s="13">
        <v>29.376412110257501</v>
      </c>
      <c r="V19" s="5">
        <v>1.82</v>
      </c>
      <c r="W19" s="15">
        <v>13.807692307692299</v>
      </c>
      <c r="X19" s="13">
        <v>35.719780219780198</v>
      </c>
    </row>
    <row r="20" spans="2:24" x14ac:dyDescent="0.25">
      <c r="B20">
        <v>2009</v>
      </c>
      <c r="C20" s="4">
        <v>21.01</v>
      </c>
      <c r="D20" s="10">
        <v>54.27</v>
      </c>
      <c r="E20" s="1">
        <v>40.155714285714197</v>
      </c>
      <c r="F20" s="1">
        <v>41.96</v>
      </c>
      <c r="G20" s="11">
        <v>1.8426386585590499E-2</v>
      </c>
      <c r="H20" s="8">
        <v>4.5692527367919997E-2</v>
      </c>
      <c r="I20" s="2">
        <v>2.6134226708147901E-2</v>
      </c>
      <c r="J20" s="2">
        <v>2.3832222516622401E-2</v>
      </c>
      <c r="M20" t="s">
        <v>34</v>
      </c>
      <c r="N20" s="7">
        <v>21.01</v>
      </c>
      <c r="O20" s="12">
        <v>54.27</v>
      </c>
      <c r="P20" s="5">
        <v>7.1189999999999998</v>
      </c>
      <c r="Q20" s="15">
        <v>2.95125719904481</v>
      </c>
      <c r="R20" s="13">
        <v>7.6232616940581499</v>
      </c>
      <c r="S20" s="5">
        <v>1.5309999999999999</v>
      </c>
      <c r="T20" s="15">
        <v>13.7230568256041</v>
      </c>
      <c r="U20" s="13">
        <v>35.447419986936602</v>
      </c>
      <c r="V20" s="5">
        <v>1.65</v>
      </c>
      <c r="W20" s="15">
        <v>12.733333333333301</v>
      </c>
      <c r="X20" s="13">
        <v>32.890909090909098</v>
      </c>
    </row>
    <row r="21" spans="2:24" x14ac:dyDescent="0.25">
      <c r="B21">
        <v>2010</v>
      </c>
      <c r="C21" s="4">
        <v>43.6</v>
      </c>
      <c r="D21" s="10">
        <v>65.37</v>
      </c>
      <c r="E21" s="1">
        <v>52.725119047619003</v>
      </c>
      <c r="F21" s="1">
        <v>51.78</v>
      </c>
      <c r="G21" s="11">
        <v>1.6521340064249601E-2</v>
      </c>
      <c r="H21" s="8">
        <v>2.4770642201834801E-2</v>
      </c>
      <c r="I21" s="2">
        <v>2.03735224017479E-2</v>
      </c>
      <c r="J21" s="2">
        <v>2.01249631175347E-2</v>
      </c>
      <c r="M21" t="s">
        <v>35</v>
      </c>
      <c r="N21" s="7">
        <v>43.6</v>
      </c>
      <c r="O21" s="12">
        <v>65.37</v>
      </c>
      <c r="P21" s="5">
        <v>8.9290000000000003</v>
      </c>
      <c r="Q21" s="15">
        <v>4.88296561765035</v>
      </c>
      <c r="R21" s="13">
        <v>7.3210885877477798</v>
      </c>
      <c r="S21" s="5">
        <v>2.319</v>
      </c>
      <c r="T21" s="15">
        <v>18.80120741699</v>
      </c>
      <c r="U21" s="13">
        <v>28.188874514877099</v>
      </c>
      <c r="V21" s="5">
        <v>2.5299999999999998</v>
      </c>
      <c r="W21" s="15">
        <v>17.2332015810276</v>
      </c>
      <c r="X21" s="13">
        <v>25.8379446640316</v>
      </c>
    </row>
    <row r="22" spans="2:24" x14ac:dyDescent="0.25">
      <c r="B22">
        <v>2011</v>
      </c>
      <c r="C22" s="4">
        <v>45.89</v>
      </c>
      <c r="D22" s="10">
        <v>71.099999999999994</v>
      </c>
      <c r="E22" s="1">
        <v>58.754444444444403</v>
      </c>
      <c r="F22" s="1">
        <v>58.325000000000003</v>
      </c>
      <c r="G22" s="11">
        <v>1.5189873417721499E-2</v>
      </c>
      <c r="H22" s="8">
        <v>2.7021137502723901E-2</v>
      </c>
      <c r="I22" s="2">
        <v>2.0919247054309999E-2</v>
      </c>
      <c r="J22" s="2">
        <v>2.1260181431894901E-2</v>
      </c>
      <c r="M22" t="s">
        <v>36</v>
      </c>
      <c r="N22" s="7">
        <v>45.89</v>
      </c>
      <c r="O22" s="12">
        <v>71.099999999999994</v>
      </c>
      <c r="P22" s="5">
        <v>10.433</v>
      </c>
      <c r="Q22" s="15">
        <v>4.39854308444359</v>
      </c>
      <c r="R22" s="13">
        <v>6.8149142145116404</v>
      </c>
      <c r="S22" s="5">
        <v>3.2890000000000001</v>
      </c>
      <c r="T22" s="15">
        <v>13.9525691699604</v>
      </c>
      <c r="U22" s="13">
        <v>21.617512921860701</v>
      </c>
      <c r="V22" s="5">
        <v>2.92</v>
      </c>
      <c r="W22" s="15">
        <v>15.7157534246575</v>
      </c>
      <c r="X22" s="13">
        <v>24.349315068493102</v>
      </c>
    </row>
    <row r="23" spans="2:24" x14ac:dyDescent="0.25">
      <c r="B23">
        <v>2012</v>
      </c>
      <c r="C23" s="4">
        <v>55.21</v>
      </c>
      <c r="D23" s="10">
        <v>66.5</v>
      </c>
      <c r="E23" s="1">
        <v>62.04504</v>
      </c>
      <c r="F23" s="1">
        <v>62.125</v>
      </c>
      <c r="G23" s="11">
        <v>1.9648233243542999E-2</v>
      </c>
      <c r="H23" s="8">
        <v>2.4633218619815201E-2</v>
      </c>
      <c r="I23" s="2">
        <v>2.1570438628211602E-2</v>
      </c>
      <c r="J23" s="2">
        <v>2.14055310098979E-2</v>
      </c>
      <c r="M23" t="s">
        <v>37</v>
      </c>
      <c r="N23" s="7">
        <v>55.21</v>
      </c>
      <c r="O23" s="12">
        <v>66.5</v>
      </c>
      <c r="P23" s="5">
        <v>11.58</v>
      </c>
      <c r="Q23" s="15">
        <v>4.7677029360967103</v>
      </c>
      <c r="R23" s="13">
        <v>5.7426597582037999</v>
      </c>
      <c r="S23" s="5">
        <v>3.1640000000000001</v>
      </c>
      <c r="T23" s="15">
        <v>17.4494310998735</v>
      </c>
      <c r="U23" s="13">
        <v>21.017699115044199</v>
      </c>
      <c r="V23" s="5">
        <v>3.36</v>
      </c>
      <c r="W23" s="15">
        <v>16.431547619047599</v>
      </c>
      <c r="X23" s="13">
        <v>19.7916666666666</v>
      </c>
    </row>
    <row r="24" spans="2:24" x14ac:dyDescent="0.25">
      <c r="B24">
        <v>2013</v>
      </c>
      <c r="C24" s="4">
        <v>66.98</v>
      </c>
      <c r="D24" s="10">
        <v>83.77</v>
      </c>
      <c r="E24" s="1">
        <v>74.827976190476093</v>
      </c>
      <c r="F24" s="1">
        <v>74.465000000000003</v>
      </c>
      <c r="G24" s="11">
        <v>1.8085106382978701E-2</v>
      </c>
      <c r="H24" s="8">
        <v>2.1670943826632399E-2</v>
      </c>
      <c r="I24" s="2">
        <v>1.9944639147772499E-2</v>
      </c>
      <c r="J24" s="2">
        <v>2.0039242162567299E-2</v>
      </c>
      <c r="M24" t="s">
        <v>38</v>
      </c>
      <c r="N24" s="7">
        <v>66.98</v>
      </c>
      <c r="O24" s="12">
        <v>83.77</v>
      </c>
      <c r="P24" s="5">
        <v>13.084</v>
      </c>
      <c r="Q24" s="15">
        <v>5.1192295933965104</v>
      </c>
      <c r="R24" s="13">
        <v>6.4024763069397697</v>
      </c>
      <c r="S24" s="5">
        <v>4.234</v>
      </c>
      <c r="T24" s="15">
        <v>15.8195559754369</v>
      </c>
      <c r="U24" s="13">
        <v>19.785073216816201</v>
      </c>
      <c r="V24" s="5">
        <v>3.9</v>
      </c>
      <c r="W24" s="15">
        <v>17.174358974358899</v>
      </c>
      <c r="X24" s="13">
        <v>21.479487179487101</v>
      </c>
    </row>
    <row r="25" spans="2:24" x14ac:dyDescent="0.25">
      <c r="B25">
        <v>2014</v>
      </c>
      <c r="C25" s="4">
        <v>73.94</v>
      </c>
      <c r="D25" s="10">
        <v>87.59</v>
      </c>
      <c r="E25" s="1">
        <v>81.095555555555507</v>
      </c>
      <c r="F25" s="1">
        <v>81.224999999999994</v>
      </c>
      <c r="G25" s="11">
        <v>1.8112488083889398E-2</v>
      </c>
      <c r="H25" s="8">
        <v>2.3803083581282101E-2</v>
      </c>
      <c r="I25" s="2">
        <v>2.11697033881743E-2</v>
      </c>
      <c r="J25" s="2">
        <v>2.15040626375286E-2</v>
      </c>
      <c r="M25" t="s">
        <v>39</v>
      </c>
      <c r="N25" s="7">
        <v>73.94</v>
      </c>
      <c r="O25" s="12">
        <v>87.59</v>
      </c>
      <c r="P25" s="5">
        <v>14.891999999999999</v>
      </c>
      <c r="Q25" s="15">
        <v>4.9650819231802297</v>
      </c>
      <c r="R25" s="13">
        <v>5.8816814396991601</v>
      </c>
      <c r="S25" s="5">
        <v>4.5540000000000003</v>
      </c>
      <c r="T25" s="15">
        <v>16.2362758014931</v>
      </c>
      <c r="U25" s="13">
        <v>19.233640755379799</v>
      </c>
      <c r="V25" s="5">
        <v>4.55</v>
      </c>
      <c r="W25" s="15">
        <v>16.2505494505494</v>
      </c>
      <c r="X25" s="13">
        <v>19.2505494505494</v>
      </c>
    </row>
    <row r="26" spans="2:24" x14ac:dyDescent="0.25">
      <c r="B26">
        <v>2015</v>
      </c>
      <c r="C26" s="4">
        <v>68.27</v>
      </c>
      <c r="D26" s="10">
        <v>85.76</v>
      </c>
      <c r="E26" s="1">
        <v>77.567619047619004</v>
      </c>
      <c r="F26" s="1">
        <v>78.144999999999996</v>
      </c>
      <c r="G26" s="11">
        <v>2.0522388059701399E-2</v>
      </c>
      <c r="H26" s="8">
        <v>3.0467262340706E-2</v>
      </c>
      <c r="I26" s="2">
        <v>2.6188568081680099E-2</v>
      </c>
      <c r="J26" s="2">
        <v>2.6617194826810599E-2</v>
      </c>
      <c r="M26" t="s">
        <v>40</v>
      </c>
      <c r="N26" s="7">
        <v>68.27</v>
      </c>
      <c r="O26" s="12">
        <v>85.76</v>
      </c>
      <c r="P26" s="5">
        <v>16.100000000000001</v>
      </c>
      <c r="Q26" s="15">
        <v>4.2403726708074503</v>
      </c>
      <c r="R26" s="13">
        <v>5.3267080745341602</v>
      </c>
      <c r="S26" s="5">
        <v>5.2859999999999996</v>
      </c>
      <c r="T26" s="15">
        <v>12.9152478244419</v>
      </c>
      <c r="U26" s="13">
        <v>16.223987892546301</v>
      </c>
      <c r="V26" s="5">
        <v>4.63</v>
      </c>
      <c r="W26" s="15">
        <v>14.7451403887688</v>
      </c>
      <c r="X26" s="13">
        <v>18.5226781857451</v>
      </c>
    </row>
    <row r="27" spans="2:24" x14ac:dyDescent="0.25">
      <c r="B27">
        <v>2016</v>
      </c>
      <c r="C27" s="4">
        <v>63.21</v>
      </c>
      <c r="D27" s="10">
        <v>78.61</v>
      </c>
      <c r="E27" s="1">
        <v>71.129880952380901</v>
      </c>
      <c r="F27" s="1">
        <v>71.344999999999999</v>
      </c>
      <c r="G27" s="11">
        <v>2.7477420175550101E-2</v>
      </c>
      <c r="H27" s="8">
        <v>3.4171808258186998E-2</v>
      </c>
      <c r="I27" s="2">
        <v>3.02375670133124E-2</v>
      </c>
      <c r="J27" s="2">
        <v>2.9979115656056401E-2</v>
      </c>
      <c r="M27" t="s">
        <v>41</v>
      </c>
      <c r="N27" s="7">
        <v>63.21</v>
      </c>
      <c r="O27" s="12">
        <v>78.61</v>
      </c>
      <c r="P27" s="5">
        <v>17.119</v>
      </c>
      <c r="Q27" s="15">
        <v>3.6923885740989499</v>
      </c>
      <c r="R27" s="13">
        <v>4.59197383024709</v>
      </c>
      <c r="S27" s="5">
        <v>8.8999999999999996E-2</v>
      </c>
      <c r="T27" s="15">
        <v>710.22471910112301</v>
      </c>
      <c r="U27" s="13">
        <v>883.25842696629195</v>
      </c>
      <c r="V27" s="5">
        <v>4.75</v>
      </c>
      <c r="W27" s="15">
        <v>13.307368421052599</v>
      </c>
      <c r="X27" s="13">
        <v>16.549473684210501</v>
      </c>
    </row>
    <row r="28" spans="2:24" x14ac:dyDescent="0.25">
      <c r="B28">
        <v>2017</v>
      </c>
      <c r="C28" s="4">
        <v>66.45</v>
      </c>
      <c r="D28" s="10">
        <v>105.36</v>
      </c>
      <c r="E28" s="1">
        <v>80.575863453815202</v>
      </c>
      <c r="F28" s="1">
        <v>75.31</v>
      </c>
      <c r="G28" s="11">
        <v>2.1640091116173099E-2</v>
      </c>
      <c r="H28" s="8">
        <v>3.37128493272216E-2</v>
      </c>
      <c r="I28" s="2">
        <v>2.8485834674407101E-2</v>
      </c>
      <c r="J28" s="2">
        <v>2.9308005427408398E-2</v>
      </c>
      <c r="M28" t="s">
        <v>42</v>
      </c>
      <c r="N28" s="7">
        <v>66.45</v>
      </c>
      <c r="O28" s="12">
        <v>105.36</v>
      </c>
      <c r="P28" s="5">
        <v>19.808</v>
      </c>
      <c r="Q28" s="15">
        <v>3.35470516962843</v>
      </c>
      <c r="R28" s="13">
        <v>5.3190630048465204</v>
      </c>
      <c r="S28" s="5">
        <v>0.17699999999999999</v>
      </c>
      <c r="T28" s="15">
        <v>375.42372881355902</v>
      </c>
      <c r="U28" s="13">
        <v>595.25423728813496</v>
      </c>
      <c r="V28" s="5">
        <v>5.97</v>
      </c>
      <c r="W28" s="15">
        <v>11.130653266331599</v>
      </c>
      <c r="X28" s="13">
        <v>17.6482412060301</v>
      </c>
    </row>
    <row r="29" spans="2:24" x14ac:dyDescent="0.25">
      <c r="B29">
        <v>2018</v>
      </c>
      <c r="C29" s="4">
        <v>84.95</v>
      </c>
      <c r="D29" s="10">
        <v>126.24</v>
      </c>
      <c r="E29" s="1">
        <v>110.139282868525</v>
      </c>
      <c r="F29" s="1">
        <v>111.63</v>
      </c>
      <c r="G29" s="11">
        <v>1.9001583465288699E-2</v>
      </c>
      <c r="H29" s="8">
        <v>3.2960565038257797E-2</v>
      </c>
      <c r="I29" s="2">
        <v>2.47137679159804E-2</v>
      </c>
      <c r="J29" s="2">
        <v>2.4242424242424201E-2</v>
      </c>
      <c r="M29" t="s">
        <v>43</v>
      </c>
      <c r="N29" s="7">
        <v>84.95</v>
      </c>
      <c r="O29" s="12">
        <v>126.24</v>
      </c>
      <c r="P29" s="5">
        <v>21.76</v>
      </c>
      <c r="Q29" s="15">
        <v>3.9039522058823501</v>
      </c>
      <c r="R29" s="13">
        <v>5.8014705882352899</v>
      </c>
      <c r="S29" s="5">
        <v>5.8780000000000001</v>
      </c>
      <c r="T29" s="15">
        <v>14.452194624021701</v>
      </c>
      <c r="U29" s="13">
        <v>21.4766927526369</v>
      </c>
      <c r="V29" s="5">
        <v>7.27</v>
      </c>
      <c r="W29" s="15">
        <v>11.685006877578999</v>
      </c>
      <c r="X29" s="13">
        <v>17.364511691884399</v>
      </c>
    </row>
    <row r="30" spans="2:24" x14ac:dyDescent="0.25">
      <c r="B30">
        <v>2019</v>
      </c>
      <c r="C30" s="4">
        <v>88.81</v>
      </c>
      <c r="D30" s="10">
        <v>125.35</v>
      </c>
      <c r="E30" s="1">
        <v>107.895912698412</v>
      </c>
      <c r="F30" s="1">
        <v>107.58</v>
      </c>
      <c r="G30" s="11">
        <v>2.4252094136418E-2</v>
      </c>
      <c r="H30" s="8">
        <v>3.1527981083211302E-2</v>
      </c>
      <c r="I30" s="2">
        <v>2.7877514213156099E-2</v>
      </c>
      <c r="J30" s="2">
        <v>2.8133820799677401E-2</v>
      </c>
      <c r="M30" t="s">
        <v>44</v>
      </c>
      <c r="N30" s="7">
        <v>88.81</v>
      </c>
      <c r="O30" s="12">
        <v>125.35</v>
      </c>
      <c r="P30" s="5">
        <v>23.545000000000002</v>
      </c>
      <c r="Q30" s="15">
        <v>3.7719260989594301</v>
      </c>
      <c r="R30" s="13">
        <v>5.3238479507326302</v>
      </c>
      <c r="S30" s="5">
        <v>5.524</v>
      </c>
      <c r="T30" s="15">
        <v>16.077118030412699</v>
      </c>
      <c r="U30" s="13">
        <v>22.691889934829799</v>
      </c>
      <c r="V30" s="5">
        <v>8.6999999999999993</v>
      </c>
      <c r="W30" s="15">
        <v>10.2080459770114</v>
      </c>
      <c r="X30" s="13">
        <v>14.408045977011399</v>
      </c>
    </row>
    <row r="31" spans="2:24" x14ac:dyDescent="0.25">
      <c r="B31">
        <v>2020</v>
      </c>
      <c r="C31" s="4">
        <v>85.42</v>
      </c>
      <c r="D31" s="10">
        <v>153.16999999999999</v>
      </c>
      <c r="E31" s="1">
        <v>128.04203557312201</v>
      </c>
      <c r="F31" s="1">
        <v>130.15</v>
      </c>
      <c r="G31" s="11">
        <v>2.18610671652524E-2</v>
      </c>
      <c r="H31" s="8">
        <v>4.2144696792320302E-2</v>
      </c>
      <c r="I31" s="2">
        <v>2.7695254466154701E-2</v>
      </c>
      <c r="J31" s="2">
        <v>2.6676546869210799E-2</v>
      </c>
      <c r="M31" t="s">
        <v>45</v>
      </c>
      <c r="N31" s="7">
        <v>85.42</v>
      </c>
      <c r="O31" s="12">
        <v>153.16999999999999</v>
      </c>
      <c r="P31" s="5">
        <v>26.846</v>
      </c>
      <c r="Q31" s="15">
        <v>3.1818520449973899</v>
      </c>
      <c r="R31" s="13">
        <v>5.7055054756760697</v>
      </c>
      <c r="S31" s="5">
        <v>7.3719999999999999</v>
      </c>
      <c r="T31" s="15">
        <v>11.587086272381899</v>
      </c>
      <c r="U31" s="13">
        <v>20.777265328269099</v>
      </c>
      <c r="V31" s="5">
        <v>9.98</v>
      </c>
      <c r="W31" s="15">
        <v>8.5591182364729406</v>
      </c>
      <c r="X31" s="13">
        <v>15.347695390781499</v>
      </c>
    </row>
    <row r="32" spans="2:24" x14ac:dyDescent="0.25">
      <c r="B32">
        <v>2021</v>
      </c>
      <c r="C32" s="4">
        <v>147.69</v>
      </c>
      <c r="D32" s="10">
        <v>223.87</v>
      </c>
      <c r="E32" s="1">
        <v>191.553243243243</v>
      </c>
      <c r="F32" s="1">
        <v>194.97</v>
      </c>
      <c r="G32" s="11">
        <v>1.9296913387233602E-2</v>
      </c>
      <c r="H32" s="8">
        <v>2.5631897472410101E-2</v>
      </c>
      <c r="I32" s="2">
        <v>2.1952763882421799E-2</v>
      </c>
      <c r="J32" s="2">
        <v>2.2021715858693901E-2</v>
      </c>
      <c r="M32" t="s">
        <v>46</v>
      </c>
      <c r="N32" s="7">
        <v>147.69</v>
      </c>
      <c r="O32" s="12">
        <v>223.87</v>
      </c>
      <c r="P32" s="5">
        <v>33.530999999999999</v>
      </c>
      <c r="Q32" s="15">
        <v>4.4045808356446203</v>
      </c>
      <c r="R32" s="13">
        <v>6.6765083057469203</v>
      </c>
      <c r="S32" s="5">
        <v>14.042</v>
      </c>
      <c r="T32" s="15">
        <v>10.517732516735499</v>
      </c>
      <c r="U32" s="13">
        <v>15.942885628827799</v>
      </c>
      <c r="V32" s="5">
        <v>13.12</v>
      </c>
      <c r="W32" s="15">
        <v>11.2568597560975</v>
      </c>
      <c r="X32" s="13">
        <v>17.063262195121901</v>
      </c>
    </row>
    <row r="33" spans="2:10" x14ac:dyDescent="0.25">
      <c r="B33">
        <v>2022</v>
      </c>
      <c r="C33" s="4">
        <v>134.25</v>
      </c>
      <c r="D33" s="10">
        <v>195.12</v>
      </c>
      <c r="E33" s="1">
        <v>152.57275000000001</v>
      </c>
      <c r="F33" s="1">
        <v>147.41</v>
      </c>
      <c r="G33" s="11">
        <v>2.2140221402214E-2</v>
      </c>
      <c r="H33" s="8">
        <v>3.5754189944133999E-2</v>
      </c>
      <c r="I33" s="2">
        <v>2.9807531376084301E-2</v>
      </c>
      <c r="J33" s="2">
        <v>3.0245758700976101E-2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S32"/>
  <sheetViews>
    <sheetView workbookViewId="0">
      <selection activeCell="B32" sqref="B28:C32"/>
    </sheetView>
  </sheetViews>
  <sheetFormatPr defaultRowHeight="15" x14ac:dyDescent="0.25"/>
  <cols>
    <col min="2" max="2" width="12.42578125" customWidth="1"/>
    <col min="3" max="3" width="1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2.42578125" customWidth="1"/>
    <col min="14" max="14" width="9.7109375" bestFit="1" customWidth="1"/>
    <col min="15" max="15" width="14.85546875" customWidth="1"/>
    <col min="16" max="16" width="10.5703125" bestFit="1" customWidth="1"/>
    <col min="17" max="17" width="12" customWidth="1"/>
    <col min="18" max="18" width="12.7109375" bestFit="1" customWidth="1"/>
    <col min="19" max="19" width="12.28515625" customWidth="1"/>
  </cols>
  <sheetData>
    <row r="2" spans="2:19" x14ac:dyDescent="0.25">
      <c r="B2" t="s">
        <v>5</v>
      </c>
      <c r="C2" t="s">
        <v>52</v>
      </c>
      <c r="D2" t="s">
        <v>71</v>
      </c>
      <c r="E2" t="s">
        <v>72</v>
      </c>
      <c r="F2" s="14" t="s">
        <v>73</v>
      </c>
      <c r="G2" t="s">
        <v>74</v>
      </c>
      <c r="H2" t="s">
        <v>75</v>
      </c>
      <c r="I2" s="14" t="s">
        <v>76</v>
      </c>
      <c r="J2" t="s">
        <v>77</v>
      </c>
      <c r="K2" s="14" t="s">
        <v>78</v>
      </c>
      <c r="L2" t="s">
        <v>62</v>
      </c>
      <c r="M2" s="14" t="s">
        <v>79</v>
      </c>
      <c r="N2" t="s">
        <v>80</v>
      </c>
      <c r="O2" s="14" t="s">
        <v>81</v>
      </c>
      <c r="P2" t="s">
        <v>63</v>
      </c>
      <c r="Q2" s="14" t="s">
        <v>82</v>
      </c>
      <c r="R2" t="s">
        <v>83</v>
      </c>
      <c r="S2" s="14" t="s">
        <v>84</v>
      </c>
    </row>
    <row r="3" spans="2:19" x14ac:dyDescent="0.25">
      <c r="B3" t="s">
        <v>17</v>
      </c>
      <c r="C3" s="5">
        <v>245.1</v>
      </c>
      <c r="D3" s="5">
        <v>0</v>
      </c>
      <c r="E3" s="5">
        <v>245.1</v>
      </c>
      <c r="F3" s="17">
        <f>Table4[[#This Row],[GrossProfit]]/Table4[[#This Row],[Revenue]]</f>
        <v>1</v>
      </c>
      <c r="G3" s="5">
        <v>356.2</v>
      </c>
      <c r="H3" s="5">
        <v>-111.1</v>
      </c>
      <c r="I3" s="18">
        <f>Table4[[#This Row],[OperatingProfit]]/Table4[[#This Row],[Revenue]]</f>
        <v>1.4532843737250103</v>
      </c>
      <c r="J3" s="5">
        <v>35.799999999999997</v>
      </c>
      <c r="K3" s="18">
        <f>Table4[[#This Row],[NetProfit]]/Table4[[#This Row],[Revenue]]</f>
        <v>0.146062831497348</v>
      </c>
      <c r="L3" s="5">
        <v>45.1</v>
      </c>
      <c r="M3" s="18">
        <f>Table4[[#This Row],[CashFromOps]]/Table4[[#This Row],[Revenue]]</f>
        <v>0.18400652794777642</v>
      </c>
      <c r="N3" s="5">
        <v>-18.600000000000001</v>
      </c>
      <c r="O3" s="18">
        <f>ABS(Table4[[#This Row],[CAPEX]])/Table4[[#This Row],[Revenue]]</f>
        <v>7.5887392900856804E-2</v>
      </c>
      <c r="P3" s="5">
        <v>26.5</v>
      </c>
      <c r="Q3" s="18">
        <f>Table4[[#This Row],[FCF]]/Table4[[#This Row],[Revenue]]</f>
        <v>0.10811913504691963</v>
      </c>
      <c r="R3" s="5">
        <v>-10.4</v>
      </c>
      <c r="S3" s="18">
        <f>ABS(Table4[[#This Row],[Dividends]])/Table4[[#This Row],[Revenue]]</f>
        <v>4.2431660546715627E-2</v>
      </c>
    </row>
    <row r="4" spans="2:19" x14ac:dyDescent="0.25">
      <c r="B4" t="s">
        <v>18</v>
      </c>
      <c r="C4" s="5">
        <v>310</v>
      </c>
      <c r="D4" s="5">
        <v>0</v>
      </c>
      <c r="E4" s="5">
        <v>310</v>
      </c>
      <c r="F4" s="17">
        <f>Table4[[#This Row],[GrossProfit]]/Table4[[#This Row],[Revenue]]</f>
        <v>1</v>
      </c>
      <c r="G4" s="5">
        <v>441.3</v>
      </c>
      <c r="H4" s="5">
        <v>-131.30000000000001</v>
      </c>
      <c r="I4" s="18">
        <f>Table4[[#This Row],[OperatingProfit]]/Table4[[#This Row],[Revenue]]</f>
        <v>1.4235483870967742</v>
      </c>
      <c r="J4" s="5">
        <v>48.6</v>
      </c>
      <c r="K4" s="18">
        <f>Table4[[#This Row],[NetProfit]]/Table4[[#This Row],[Revenue]]</f>
        <v>0.15677419354838709</v>
      </c>
      <c r="L4" s="5">
        <v>38.299999999999997</v>
      </c>
      <c r="M4" s="18">
        <f>Table4[[#This Row],[CashFromOps]]/Table4[[#This Row],[Revenue]]</f>
        <v>0.12354838709677418</v>
      </c>
      <c r="N4" s="5">
        <v>-12.2</v>
      </c>
      <c r="O4" s="18">
        <f>ABS(Table4[[#This Row],[CAPEX]])/Table4[[#This Row],[Revenue]]</f>
        <v>3.9354838709677417E-2</v>
      </c>
      <c r="P4" s="5">
        <v>26.1</v>
      </c>
      <c r="Q4" s="18">
        <f>Table4[[#This Row],[FCF]]/Table4[[#This Row],[Revenue]]</f>
        <v>8.4193548387096778E-2</v>
      </c>
      <c r="R4" s="5">
        <v>-12.1</v>
      </c>
      <c r="S4" s="18">
        <f>ABS(Table4[[#This Row],[Dividends]])/Table4[[#This Row],[Revenue]]</f>
        <v>3.9032258064516129E-2</v>
      </c>
    </row>
    <row r="5" spans="2:19" x14ac:dyDescent="0.25">
      <c r="B5" t="s">
        <v>19</v>
      </c>
      <c r="C5" s="5">
        <v>382.4</v>
      </c>
      <c r="D5" s="5">
        <v>0</v>
      </c>
      <c r="E5" s="5">
        <v>382.4</v>
      </c>
      <c r="F5" s="17">
        <f>Table4[[#This Row],[GrossProfit]]/Table4[[#This Row],[Revenue]]</f>
        <v>1</v>
      </c>
      <c r="G5" s="5">
        <v>483</v>
      </c>
      <c r="H5" s="5">
        <v>-100.6</v>
      </c>
      <c r="I5" s="18">
        <f>Table4[[#This Row],[OperatingProfit]]/Table4[[#This Row],[Revenue]]</f>
        <v>1.2630753138075315</v>
      </c>
      <c r="J5" s="5">
        <v>61.2</v>
      </c>
      <c r="K5" s="18">
        <f>Table4[[#This Row],[NetProfit]]/Table4[[#This Row],[Revenue]]</f>
        <v>0.16004184100418412</v>
      </c>
      <c r="L5" s="5">
        <v>111.1</v>
      </c>
      <c r="M5" s="18">
        <f>Table4[[#This Row],[CashFromOps]]/Table4[[#This Row],[Revenue]]</f>
        <v>0.29053347280334729</v>
      </c>
      <c r="N5" s="5">
        <v>-17.399999999999999</v>
      </c>
      <c r="O5" s="18">
        <f>ABS(Table4[[#This Row],[CAPEX]])/Table4[[#This Row],[Revenue]]</f>
        <v>4.5502092050209206E-2</v>
      </c>
      <c r="P5" s="5">
        <v>93.7</v>
      </c>
      <c r="Q5" s="18">
        <f>Table4[[#This Row],[FCF]]/Table4[[#This Row],[Revenue]]</f>
        <v>0.2450313807531381</v>
      </c>
      <c r="R5" s="5">
        <v>-15.1</v>
      </c>
      <c r="S5" s="18">
        <f>ABS(Table4[[#This Row],[Dividends]])/Table4[[#This Row],[Revenue]]</f>
        <v>3.9487447698744772E-2</v>
      </c>
    </row>
    <row r="6" spans="2:19" x14ac:dyDescent="0.25">
      <c r="B6" t="s">
        <v>20</v>
      </c>
      <c r="C6" s="5">
        <v>439.3</v>
      </c>
      <c r="D6" s="5">
        <v>0</v>
      </c>
      <c r="E6" s="5">
        <v>439.3</v>
      </c>
      <c r="F6" s="17">
        <f>Table4[[#This Row],[GrossProfit]]/Table4[[#This Row],[Revenue]]</f>
        <v>1</v>
      </c>
      <c r="G6" s="5">
        <v>556.70000000000005</v>
      </c>
      <c r="H6" s="5">
        <v>-117.4</v>
      </c>
      <c r="I6" s="18">
        <f>Table4[[#This Row],[OperatingProfit]]/Table4[[#This Row],[Revenue]]</f>
        <v>1.2672433416799453</v>
      </c>
      <c r="J6" s="5">
        <v>75.5</v>
      </c>
      <c r="K6" s="18">
        <f>Table4[[#This Row],[NetProfit]]/Table4[[#This Row],[Revenue]]</f>
        <v>0.17186432961529705</v>
      </c>
      <c r="L6" s="5">
        <v>101.8</v>
      </c>
      <c r="M6" s="18">
        <f>Table4[[#This Row],[CashFromOps]]/Table4[[#This Row],[Revenue]]</f>
        <v>0.2317323013885727</v>
      </c>
      <c r="N6" s="5">
        <v>-23.9</v>
      </c>
      <c r="O6" s="18">
        <f>ABS(Table4[[#This Row],[CAPEX]])/Table4[[#This Row],[Revenue]]</f>
        <v>5.4404734805372175E-2</v>
      </c>
      <c r="P6" s="5">
        <v>77.900000000000006</v>
      </c>
      <c r="Q6" s="18">
        <f>Table4[[#This Row],[FCF]]/Table4[[#This Row],[Revenue]]</f>
        <v>0.17732756658320056</v>
      </c>
      <c r="R6" s="5">
        <v>-18.3</v>
      </c>
      <c r="S6" s="18">
        <f>ABS(Table4[[#This Row],[Dividends]])/Table4[[#This Row],[Revenue]]</f>
        <v>4.1657181880264058E-2</v>
      </c>
    </row>
    <row r="7" spans="2:19" x14ac:dyDescent="0.25">
      <c r="B7" t="s">
        <v>21</v>
      </c>
      <c r="C7" s="5">
        <v>586.1</v>
      </c>
      <c r="D7" s="5">
        <v>0</v>
      </c>
      <c r="E7" s="5">
        <v>586.1</v>
      </c>
      <c r="F7" s="17">
        <f>Table4[[#This Row],[GrossProfit]]/Table4[[#This Row],[Revenue]]</f>
        <v>1</v>
      </c>
      <c r="G7" s="5">
        <v>747</v>
      </c>
      <c r="H7" s="5">
        <v>-160.9</v>
      </c>
      <c r="I7" s="18">
        <f>Table4[[#This Row],[OperatingProfit]]/Table4[[#This Row],[Revenue]]</f>
        <v>1.2745265313086505</v>
      </c>
      <c r="J7" s="5">
        <v>98.5</v>
      </c>
      <c r="K7" s="18">
        <f>Table4[[#This Row],[NetProfit]]/Table4[[#This Row],[Revenue]]</f>
        <v>0.16806005801057838</v>
      </c>
      <c r="L7" s="5">
        <v>141.19999999999999</v>
      </c>
      <c r="M7" s="18">
        <f>Table4[[#This Row],[CashFromOps]]/Table4[[#This Row],[Revenue]]</f>
        <v>0.24091451970653469</v>
      </c>
      <c r="N7" s="5">
        <v>-58.8</v>
      </c>
      <c r="O7" s="18">
        <f>ABS(Table4[[#This Row],[CAPEX]])/Table4[[#This Row],[Revenue]]</f>
        <v>0.10032417676164476</v>
      </c>
      <c r="P7" s="5">
        <v>82.4</v>
      </c>
      <c r="Q7" s="18">
        <f>Table4[[#This Row],[FCF]]/Table4[[#This Row],[Revenue]]</f>
        <v>0.14059034294488995</v>
      </c>
      <c r="R7" s="5">
        <v>-24.1</v>
      </c>
      <c r="S7" s="18">
        <f>ABS(Table4[[#This Row],[Dividends]])/Table4[[#This Row],[Revenue]]</f>
        <v>4.1119262924415631E-2</v>
      </c>
    </row>
    <row r="8" spans="2:19" x14ac:dyDescent="0.25">
      <c r="B8" t="s">
        <v>22</v>
      </c>
      <c r="C8" s="5">
        <v>755</v>
      </c>
      <c r="D8" s="5">
        <v>0</v>
      </c>
      <c r="E8" s="5">
        <v>755</v>
      </c>
      <c r="F8" s="17">
        <f>Table4[[#This Row],[GrossProfit]]/Table4[[#This Row],[Revenue]]</f>
        <v>1</v>
      </c>
      <c r="G8" s="5">
        <v>924.5</v>
      </c>
      <c r="H8" s="5">
        <v>-169.5</v>
      </c>
      <c r="I8" s="18">
        <f>Table4[[#This Row],[OperatingProfit]]/Table4[[#This Row],[Revenue]]</f>
        <v>1.2245033112582782</v>
      </c>
      <c r="J8" s="5">
        <v>144.4</v>
      </c>
      <c r="K8" s="18">
        <f>Table4[[#This Row],[NetProfit]]/Table4[[#This Row],[Revenue]]</f>
        <v>0.19125827814569538</v>
      </c>
      <c r="L8" s="5">
        <v>197.8</v>
      </c>
      <c r="M8" s="18">
        <f>Table4[[#This Row],[CashFromOps]]/Table4[[#This Row],[Revenue]]</f>
        <v>0.26198675496688745</v>
      </c>
      <c r="N8" s="5">
        <v>-70.099999999999994</v>
      </c>
      <c r="O8" s="18">
        <f>ABS(Table4[[#This Row],[CAPEX]])/Table4[[#This Row],[Revenue]]</f>
        <v>9.2847682119205285E-2</v>
      </c>
      <c r="P8" s="5">
        <v>127.7</v>
      </c>
      <c r="Q8" s="18">
        <f>Table4[[#This Row],[FCF]]/Table4[[#This Row],[Revenue]]</f>
        <v>0.16913907284768212</v>
      </c>
      <c r="R8" s="5">
        <v>-30.1</v>
      </c>
      <c r="S8" s="18">
        <f>ABS(Table4[[#This Row],[Dividends]])/Table4[[#This Row],[Revenue]]</f>
        <v>3.9867549668874173E-2</v>
      </c>
    </row>
    <row r="9" spans="2:19" x14ac:dyDescent="0.25">
      <c r="B9" t="s">
        <v>23</v>
      </c>
      <c r="C9" s="5">
        <v>886.14200000000005</v>
      </c>
      <c r="D9" s="5">
        <v>0</v>
      </c>
      <c r="E9" s="5">
        <v>886.14200000000005</v>
      </c>
      <c r="F9" s="17">
        <f>Table4[[#This Row],[GrossProfit]]/Table4[[#This Row],[Revenue]]</f>
        <v>1</v>
      </c>
      <c r="G9" s="5">
        <v>312.81400000000002</v>
      </c>
      <c r="H9" s="5">
        <v>573.32799999999997</v>
      </c>
      <c r="I9" s="18">
        <f>Table4[[#This Row],[OperatingProfit]]/Table4[[#This Row],[Revenue]]</f>
        <v>0.3530066287344466</v>
      </c>
      <c r="J9" s="5">
        <v>174.14</v>
      </c>
      <c r="K9" s="18">
        <f>Table4[[#This Row],[NetProfit]]/Table4[[#This Row],[Revenue]]</f>
        <v>0.19651477979827159</v>
      </c>
      <c r="L9" s="5">
        <v>231.97499999999999</v>
      </c>
      <c r="M9" s="18">
        <f>Table4[[#This Row],[CashFromOps]]/Table4[[#This Row],[Revenue]]</f>
        <v>0.26178084325085593</v>
      </c>
      <c r="N9" s="5">
        <v>-56.558</v>
      </c>
      <c r="O9" s="18">
        <f>ABS(Table4[[#This Row],[CAPEX]])/Table4[[#This Row],[Revenue]]</f>
        <v>6.3824985160391895E-2</v>
      </c>
      <c r="P9" s="5">
        <v>175.417</v>
      </c>
      <c r="Q9" s="18">
        <f>Table4[[#This Row],[FCF]]/Table4[[#This Row],[Revenue]]</f>
        <v>0.19795585809046404</v>
      </c>
      <c r="R9" s="5">
        <v>-40.405999999999999</v>
      </c>
      <c r="S9" s="18">
        <f>ABS(Table4[[#This Row],[Dividends]])/Table4[[#This Row],[Revenue]]</f>
        <v>4.5597658163138634E-2</v>
      </c>
    </row>
    <row r="10" spans="2:19" x14ac:dyDescent="0.25">
      <c r="B10" t="s">
        <v>24</v>
      </c>
      <c r="C10" s="5">
        <v>1036.3789999999999</v>
      </c>
      <c r="D10" s="5">
        <v>0</v>
      </c>
      <c r="E10" s="5">
        <v>1036.3789999999999</v>
      </c>
      <c r="F10" s="17">
        <f>Table4[[#This Row],[GrossProfit]]/Table4[[#This Row],[Revenue]]</f>
        <v>1</v>
      </c>
      <c r="G10" s="5">
        <v>414.94400000000002</v>
      </c>
      <c r="H10" s="5">
        <v>621.43499999999995</v>
      </c>
      <c r="I10" s="18">
        <f>Table4[[#This Row],[OperatingProfit]]/Table4[[#This Row],[Revenue]]</f>
        <v>0.40037862596598356</v>
      </c>
      <c r="J10" s="5">
        <v>239.404</v>
      </c>
      <c r="K10" s="18">
        <f>Table4[[#This Row],[NetProfit]]/Table4[[#This Row],[Revenue]]</f>
        <v>0.23100043516898741</v>
      </c>
      <c r="L10" s="5">
        <v>296.93700000000001</v>
      </c>
      <c r="M10" s="18">
        <f>Table4[[#This Row],[CashFromOps]]/Table4[[#This Row],[Revenue]]</f>
        <v>0.28651391045167846</v>
      </c>
      <c r="N10" s="5">
        <v>-77.417000000000002</v>
      </c>
      <c r="O10" s="18">
        <f>ABS(Table4[[#This Row],[CAPEX]])/Table4[[#This Row],[Revenue]]</f>
        <v>7.4699506647664615E-2</v>
      </c>
      <c r="P10" s="5">
        <v>219.52</v>
      </c>
      <c r="Q10" s="18">
        <f>Table4[[#This Row],[FCF]]/Table4[[#This Row],[Revenue]]</f>
        <v>0.21181440380401381</v>
      </c>
      <c r="R10" s="5">
        <v>-48.241</v>
      </c>
      <c r="S10" s="18">
        <f>ABS(Table4[[#This Row],[Dividends]])/Table4[[#This Row],[Revenue]]</f>
        <v>4.6547643284937268E-2</v>
      </c>
    </row>
    <row r="11" spans="2:19" x14ac:dyDescent="0.25">
      <c r="B11" t="s">
        <v>25</v>
      </c>
      <c r="C11" s="5">
        <v>1154</v>
      </c>
      <c r="D11" s="5">
        <v>0</v>
      </c>
      <c r="E11" s="5">
        <v>1154</v>
      </c>
      <c r="F11" s="17">
        <f>Table4[[#This Row],[GrossProfit]]/Table4[[#This Row],[Revenue]]</f>
        <v>1</v>
      </c>
      <c r="G11" s="5">
        <v>409</v>
      </c>
      <c r="H11" s="5">
        <v>745</v>
      </c>
      <c r="I11" s="18">
        <f>Table4[[#This Row],[OperatingProfit]]/Table4[[#This Row],[Revenue]]</f>
        <v>0.35441941074523398</v>
      </c>
      <c r="J11" s="5">
        <v>269</v>
      </c>
      <c r="K11" s="18">
        <f>Table4[[#This Row],[NetProfit]]/Table4[[#This Row],[Revenue]]</f>
        <v>0.23310225303292895</v>
      </c>
      <c r="L11" s="5">
        <v>323</v>
      </c>
      <c r="M11" s="18">
        <f>Table4[[#This Row],[CashFromOps]]/Table4[[#This Row],[Revenue]]</f>
        <v>0.27989601386481805</v>
      </c>
      <c r="N11" s="5">
        <v>-85.611999999999995</v>
      </c>
      <c r="O11" s="18">
        <f>ABS(Table4[[#This Row],[CAPEX]])/Table4[[#This Row],[Revenue]]</f>
        <v>7.4187175043327558E-2</v>
      </c>
      <c r="P11" s="5">
        <v>237.38800000000001</v>
      </c>
      <c r="Q11" s="18">
        <f>Table4[[#This Row],[FCF]]/Table4[[#This Row],[Revenue]]</f>
        <v>0.20570883882149046</v>
      </c>
      <c r="R11" s="5">
        <v>-62.88</v>
      </c>
      <c r="S11" s="18">
        <f>ABS(Table4[[#This Row],[Dividends]])/Table4[[#This Row],[Revenue]]</f>
        <v>5.4488734835355289E-2</v>
      </c>
    </row>
    <row r="12" spans="2:19" x14ac:dyDescent="0.25">
      <c r="B12" t="s">
        <v>26</v>
      </c>
      <c r="C12" s="5">
        <v>995</v>
      </c>
      <c r="D12" s="5">
        <v>0</v>
      </c>
      <c r="E12" s="5">
        <v>995</v>
      </c>
      <c r="F12" s="17">
        <f>Table4[[#This Row],[GrossProfit]]/Table4[[#This Row],[Revenue]]</f>
        <v>1</v>
      </c>
      <c r="G12" s="5">
        <v>311</v>
      </c>
      <c r="H12" s="5">
        <v>684</v>
      </c>
      <c r="I12" s="18">
        <f>Table4[[#This Row],[OperatingProfit]]/Table4[[#This Row],[Revenue]]</f>
        <v>0.31256281407035175</v>
      </c>
      <c r="J12" s="5">
        <v>196</v>
      </c>
      <c r="K12" s="18">
        <f>Table4[[#This Row],[NetProfit]]/Table4[[#This Row],[Revenue]]</f>
        <v>0.19698492462311556</v>
      </c>
      <c r="L12" s="5">
        <v>290</v>
      </c>
      <c r="M12" s="18">
        <f>Table4[[#This Row],[CashFromOps]]/Table4[[#This Row],[Revenue]]</f>
        <v>0.29145728643216079</v>
      </c>
      <c r="N12" s="5">
        <v>-41.375</v>
      </c>
      <c r="O12" s="18">
        <f>ABS(Table4[[#This Row],[CAPEX]])/Table4[[#This Row],[Revenue]]</f>
        <v>4.1582914572864324E-2</v>
      </c>
      <c r="P12" s="5">
        <v>248.625</v>
      </c>
      <c r="Q12" s="18">
        <f>Table4[[#This Row],[FCF]]/Table4[[#This Row],[Revenue]]</f>
        <v>0.24987437185929648</v>
      </c>
      <c r="R12" s="5">
        <v>-73.837999999999994</v>
      </c>
      <c r="S12" s="18">
        <f>ABS(Table4[[#This Row],[Dividends]])/Table4[[#This Row],[Revenue]]</f>
        <v>7.4209045226130643E-2</v>
      </c>
    </row>
    <row r="13" spans="2:19" x14ac:dyDescent="0.25">
      <c r="B13" t="s">
        <v>27</v>
      </c>
      <c r="C13" s="5">
        <v>924</v>
      </c>
      <c r="D13" s="5">
        <v>0</v>
      </c>
      <c r="E13" s="5">
        <v>924</v>
      </c>
      <c r="F13" s="17">
        <f>Table4[[#This Row],[GrossProfit]]/Table4[[#This Row],[Revenue]]</f>
        <v>1</v>
      </c>
      <c r="G13" s="5">
        <v>924</v>
      </c>
      <c r="H13" s="5">
        <v>0</v>
      </c>
      <c r="I13" s="18">
        <f>Table4[[#This Row],[OperatingProfit]]/Table4[[#This Row],[Revenue]]</f>
        <v>1</v>
      </c>
      <c r="J13" s="5">
        <v>194</v>
      </c>
      <c r="K13" s="18">
        <f>Table4[[#This Row],[NetProfit]]/Table4[[#This Row],[Revenue]]</f>
        <v>0.20995670995670995</v>
      </c>
      <c r="L13" s="5">
        <v>269</v>
      </c>
      <c r="M13" s="18">
        <f>Table4[[#This Row],[CashFromOps]]/Table4[[#This Row],[Revenue]]</f>
        <v>0.29112554112554112</v>
      </c>
      <c r="N13" s="5">
        <v>-26.047000000000001</v>
      </c>
      <c r="O13" s="18">
        <f>ABS(Table4[[#This Row],[CAPEX]])/Table4[[#This Row],[Revenue]]</f>
        <v>2.8189393939393941E-2</v>
      </c>
      <c r="P13" s="5">
        <v>242.953</v>
      </c>
      <c r="Q13" s="18">
        <f>Table4[[#This Row],[FCF]]/Table4[[#This Row],[Revenue]]</f>
        <v>0.26293614718614716</v>
      </c>
      <c r="R13" s="5">
        <v>-78.700999999999993</v>
      </c>
      <c r="S13" s="18">
        <f>ABS(Table4[[#This Row],[Dividends]])/Table4[[#This Row],[Revenue]]</f>
        <v>8.5174242424242416E-2</v>
      </c>
    </row>
    <row r="14" spans="2:19" x14ac:dyDescent="0.25">
      <c r="B14" t="s">
        <v>28</v>
      </c>
      <c r="C14" s="5">
        <v>996</v>
      </c>
      <c r="D14" s="5">
        <v>0</v>
      </c>
      <c r="E14" s="5">
        <v>996</v>
      </c>
      <c r="F14" s="17">
        <f>Table4[[#This Row],[GrossProfit]]/Table4[[#This Row],[Revenue]]</f>
        <v>1</v>
      </c>
      <c r="G14" s="5">
        <v>365</v>
      </c>
      <c r="H14" s="5">
        <v>631</v>
      </c>
      <c r="I14" s="18">
        <f>Table4[[#This Row],[OperatingProfit]]/Table4[[#This Row],[Revenue]]</f>
        <v>0.36646586345381527</v>
      </c>
      <c r="J14" s="5">
        <v>227</v>
      </c>
      <c r="K14" s="18">
        <f>Table4[[#This Row],[NetProfit]]/Table4[[#This Row],[Revenue]]</f>
        <v>0.22791164658634538</v>
      </c>
      <c r="L14" s="5">
        <v>297</v>
      </c>
      <c r="M14" s="18">
        <f>Table4[[#This Row],[CashFromOps]]/Table4[[#This Row],[Revenue]]</f>
        <v>0.29819277108433734</v>
      </c>
      <c r="N14" s="5">
        <v>-31.742000000000001</v>
      </c>
      <c r="O14" s="18">
        <f>ABS(Table4[[#This Row],[CAPEX]])/Table4[[#This Row],[Revenue]]</f>
        <v>3.1869477911646585E-2</v>
      </c>
      <c r="P14" s="5">
        <v>265.25799999999998</v>
      </c>
      <c r="Q14" s="18">
        <f>Table4[[#This Row],[FCF]]/Table4[[#This Row],[Revenue]]</f>
        <v>0.26632329317269077</v>
      </c>
      <c r="R14" s="5">
        <v>-83.671999999999997</v>
      </c>
      <c r="S14" s="18">
        <f>ABS(Table4[[#This Row],[Dividends]])/Table4[[#This Row],[Revenue]]</f>
        <v>8.4008032128514057E-2</v>
      </c>
    </row>
    <row r="15" spans="2:19" x14ac:dyDescent="0.25">
      <c r="B15" t="s">
        <v>29</v>
      </c>
      <c r="C15" s="5">
        <v>1277.049</v>
      </c>
      <c r="D15" s="5">
        <v>0</v>
      </c>
      <c r="E15" s="5">
        <v>1277.049</v>
      </c>
      <c r="F15" s="17">
        <f>Table4[[#This Row],[GrossProfit]]/Table4[[#This Row],[Revenue]]</f>
        <v>1</v>
      </c>
      <c r="G15" s="5">
        <v>525.279</v>
      </c>
      <c r="H15" s="5">
        <v>751.77</v>
      </c>
      <c r="I15" s="18">
        <f>Table4[[#This Row],[OperatingProfit]]/Table4[[#This Row],[Revenue]]</f>
        <v>0.41132250994284481</v>
      </c>
      <c r="J15" s="5">
        <v>337.26</v>
      </c>
      <c r="K15" s="18">
        <f>Table4[[#This Row],[NetProfit]]/Table4[[#This Row],[Revenue]]</f>
        <v>0.26409323369737575</v>
      </c>
      <c r="L15" s="5">
        <v>374.28</v>
      </c>
      <c r="M15" s="18">
        <f>Table4[[#This Row],[CashFromOps]]/Table4[[#This Row],[Revenue]]</f>
        <v>0.29308194125675679</v>
      </c>
      <c r="N15" s="5">
        <v>-43.069000000000003</v>
      </c>
      <c r="O15" s="18">
        <f>ABS(Table4[[#This Row],[CAPEX]])/Table4[[#This Row],[Revenue]]</f>
        <v>3.3725409126822856E-2</v>
      </c>
      <c r="P15" s="5">
        <v>331.21100000000001</v>
      </c>
      <c r="Q15" s="18">
        <f>Table4[[#This Row],[FCF]]/Table4[[#This Row],[Revenue]]</f>
        <v>0.25935653212993393</v>
      </c>
      <c r="R15" s="5">
        <v>-96.164000000000001</v>
      </c>
      <c r="S15" s="18">
        <f>ABS(Table4[[#This Row],[Dividends]])/Table4[[#This Row],[Revenue]]</f>
        <v>7.5301730787150689E-2</v>
      </c>
    </row>
    <row r="16" spans="2:19" x14ac:dyDescent="0.25">
      <c r="B16" t="s">
        <v>30</v>
      </c>
      <c r="C16" s="5">
        <v>1512.2</v>
      </c>
      <c r="D16" s="5">
        <v>0</v>
      </c>
      <c r="E16" s="5">
        <v>1512.2</v>
      </c>
      <c r="F16" s="17">
        <f>Table4[[#This Row],[GrossProfit]]/Table4[[#This Row],[Revenue]]</f>
        <v>1</v>
      </c>
      <c r="G16" s="5">
        <v>655</v>
      </c>
      <c r="H16" s="5">
        <v>857.2</v>
      </c>
      <c r="I16" s="18">
        <f>Table4[[#This Row],[OperatingProfit]]/Table4[[#This Row],[Revenue]]</f>
        <v>0.43314376405237404</v>
      </c>
      <c r="J16" s="5">
        <v>431</v>
      </c>
      <c r="K16" s="18">
        <f>Table4[[#This Row],[NetProfit]]/Table4[[#This Row],[Revenue]]</f>
        <v>0.28501520962835603</v>
      </c>
      <c r="L16" s="5">
        <v>539.5</v>
      </c>
      <c r="M16" s="18">
        <f>Table4[[#This Row],[CashFromOps]]/Table4[[#This Row],[Revenue]]</f>
        <v>0.35676497817748976</v>
      </c>
      <c r="N16" s="5">
        <v>-52.3</v>
      </c>
      <c r="O16" s="18">
        <f>ABS(Table4[[#This Row],[CAPEX]])/Table4[[#This Row],[Revenue]]</f>
        <v>3.4585372305250627E-2</v>
      </c>
      <c r="P16" s="5">
        <v>487.2</v>
      </c>
      <c r="Q16" s="18">
        <f>Table4[[#This Row],[FCF]]/Table4[[#This Row],[Revenue]]</f>
        <v>0.32217960587223909</v>
      </c>
      <c r="R16" s="5">
        <v>-119.5</v>
      </c>
      <c r="S16" s="18">
        <f>ABS(Table4[[#This Row],[Dividends]])/Table4[[#This Row],[Revenue]]</f>
        <v>7.902393863245602E-2</v>
      </c>
    </row>
    <row r="17" spans="2:19" x14ac:dyDescent="0.25">
      <c r="B17" t="s">
        <v>31</v>
      </c>
      <c r="C17" s="5">
        <v>1815</v>
      </c>
      <c r="D17" s="5">
        <v>0</v>
      </c>
      <c r="E17" s="5">
        <v>1815</v>
      </c>
      <c r="F17" s="17">
        <f>Table4[[#This Row],[GrossProfit]]/Table4[[#This Row],[Revenue]]</f>
        <v>1</v>
      </c>
      <c r="G17" s="5">
        <v>786.9</v>
      </c>
      <c r="H17" s="5">
        <v>1028.0999999999999</v>
      </c>
      <c r="I17" s="18">
        <f>Table4[[#This Row],[OperatingProfit]]/Table4[[#This Row],[Revenue]]</f>
        <v>0.43355371900826445</v>
      </c>
      <c r="J17" s="5">
        <v>529.6</v>
      </c>
      <c r="K17" s="18">
        <f>Table4[[#This Row],[NetProfit]]/Table4[[#This Row],[Revenue]]</f>
        <v>0.29179063360881546</v>
      </c>
      <c r="L17" s="5">
        <v>593.20000000000005</v>
      </c>
      <c r="M17" s="18">
        <f>Table4[[#This Row],[CashFromOps]]/Table4[[#This Row],[Revenue]]</f>
        <v>0.32683195592286501</v>
      </c>
      <c r="N17" s="5">
        <v>-94.4</v>
      </c>
      <c r="O17" s="18">
        <f>ABS(Table4[[#This Row],[CAPEX]])/Table4[[#This Row],[Revenue]]</f>
        <v>5.201101928374656E-2</v>
      </c>
      <c r="P17" s="5">
        <v>498.8</v>
      </c>
      <c r="Q17" s="18">
        <f>Table4[[#This Row],[FCF]]/Table4[[#This Row],[Revenue]]</f>
        <v>0.27482093663911844</v>
      </c>
      <c r="R17" s="5">
        <v>-147.6</v>
      </c>
      <c r="S17" s="18">
        <f>ABS(Table4[[#This Row],[Dividends]])/Table4[[#This Row],[Revenue]]</f>
        <v>8.1322314049586772E-2</v>
      </c>
    </row>
    <row r="18" spans="2:19" x14ac:dyDescent="0.25">
      <c r="B18" t="s">
        <v>32</v>
      </c>
      <c r="C18" s="5">
        <v>2228.3000000000002</v>
      </c>
      <c r="D18" s="5">
        <v>92.1</v>
      </c>
      <c r="E18" s="5">
        <v>2136.1999999999998</v>
      </c>
      <c r="F18" s="17">
        <f>Table4[[#This Row],[GrossProfit]]/Table4[[#This Row],[Revenue]]</f>
        <v>0.95866804290266106</v>
      </c>
      <c r="G18" s="5">
        <v>996.4</v>
      </c>
      <c r="H18" s="5">
        <v>1139.8</v>
      </c>
      <c r="I18" s="18">
        <f>Table4[[#This Row],[OperatingProfit]]/Table4[[#This Row],[Revenue]]</f>
        <v>0.44715702553516129</v>
      </c>
      <c r="J18" s="5">
        <v>670.6</v>
      </c>
      <c r="K18" s="18">
        <f>Table4[[#This Row],[NetProfit]]/Table4[[#This Row],[Revenue]]</f>
        <v>0.30094691020060133</v>
      </c>
      <c r="L18" s="5">
        <v>758</v>
      </c>
      <c r="M18" s="18">
        <f>Table4[[#This Row],[CashFromOps]]/Table4[[#This Row],[Revenue]]</f>
        <v>0.34016963604541578</v>
      </c>
      <c r="N18" s="5">
        <v>-145.6</v>
      </c>
      <c r="O18" s="18">
        <f>ABS(Table4[[#This Row],[CAPEX]])/Table4[[#This Row],[Revenue]]</f>
        <v>6.5341291567562715E-2</v>
      </c>
      <c r="P18" s="5">
        <v>612.4</v>
      </c>
      <c r="Q18" s="18">
        <f>Table4[[#This Row],[FCF]]/Table4[[#This Row],[Revenue]]</f>
        <v>0.27482834447785304</v>
      </c>
      <c r="R18" s="5">
        <v>-180.3</v>
      </c>
      <c r="S18" s="18">
        <f>ABS(Table4[[#This Row],[Dividends]])/Table4[[#This Row],[Revenue]]</f>
        <v>8.0913701027689272E-2</v>
      </c>
    </row>
    <row r="19" spans="2:19" x14ac:dyDescent="0.25">
      <c r="B19" t="s">
        <v>33</v>
      </c>
      <c r="C19" s="5">
        <v>2116.3000000000002</v>
      </c>
      <c r="D19" s="5">
        <v>101.8</v>
      </c>
      <c r="E19" s="5">
        <v>2014.5</v>
      </c>
      <c r="F19" s="17">
        <f>Table4[[#This Row],[GrossProfit]]/Table4[[#This Row],[Revenue]]</f>
        <v>0.9518971790388886</v>
      </c>
      <c r="G19" s="5">
        <v>848.5</v>
      </c>
      <c r="H19" s="5">
        <v>1166</v>
      </c>
      <c r="I19" s="18">
        <f>Table4[[#This Row],[OperatingProfit]]/Table4[[#This Row],[Revenue]]</f>
        <v>0.40093559514246557</v>
      </c>
      <c r="J19" s="5">
        <v>490.8</v>
      </c>
      <c r="K19" s="18">
        <f>Table4[[#This Row],[NetProfit]]/Table4[[#This Row],[Revenue]]</f>
        <v>0.23191418985966072</v>
      </c>
      <c r="L19" s="5">
        <v>741.8</v>
      </c>
      <c r="M19" s="18">
        <f>Table4[[#This Row],[CashFromOps]]/Table4[[#This Row],[Revenue]]</f>
        <v>0.35051741246515139</v>
      </c>
      <c r="N19" s="5">
        <v>-144.1</v>
      </c>
      <c r="O19" s="18">
        <f>ABS(Table4[[#This Row],[CAPEX]])/Table4[[#This Row],[Revenue]]</f>
        <v>6.8090535368331512E-2</v>
      </c>
      <c r="P19" s="5">
        <v>597.70000000000005</v>
      </c>
      <c r="Q19" s="18">
        <f>Table4[[#This Row],[FCF]]/Table4[[#This Row],[Revenue]]</f>
        <v>0.28242687709681991</v>
      </c>
      <c r="R19" s="5">
        <v>-312.5</v>
      </c>
      <c r="S19" s="18">
        <f>ABS(Table4[[#This Row],[Dividends]])/Table4[[#This Row],[Revenue]]</f>
        <v>0.14766337475783206</v>
      </c>
    </row>
    <row r="20" spans="2:19" x14ac:dyDescent="0.25">
      <c r="B20" t="s">
        <v>34</v>
      </c>
      <c r="C20" s="5">
        <v>1867.4</v>
      </c>
      <c r="D20" s="5">
        <v>102.4</v>
      </c>
      <c r="E20" s="5">
        <v>1765</v>
      </c>
      <c r="F20" s="17">
        <f>Table4[[#This Row],[GrossProfit]]/Table4[[#This Row],[Revenue]]</f>
        <v>0.94516439970011779</v>
      </c>
      <c r="G20" s="5">
        <v>701.6</v>
      </c>
      <c r="H20" s="5">
        <v>1063.4000000000001</v>
      </c>
      <c r="I20" s="18">
        <f>Table4[[#This Row],[OperatingProfit]]/Table4[[#This Row],[Revenue]]</f>
        <v>0.37570954267966156</v>
      </c>
      <c r="J20" s="5">
        <v>433.6</v>
      </c>
      <c r="K20" s="18">
        <f>Table4[[#This Row],[NetProfit]]/Table4[[#This Row],[Revenue]]</f>
        <v>0.23219449501981365</v>
      </c>
      <c r="L20" s="5">
        <v>535.6</v>
      </c>
      <c r="M20" s="18">
        <f>Table4[[#This Row],[CashFromOps]]/Table4[[#This Row],[Revenue]]</f>
        <v>0.2868158937560244</v>
      </c>
      <c r="N20" s="5">
        <v>-133.9</v>
      </c>
      <c r="O20" s="18">
        <f>ABS(Table4[[#This Row],[CAPEX]])/Table4[[#This Row],[Revenue]]</f>
        <v>7.17039734390061E-2</v>
      </c>
      <c r="P20" s="5">
        <v>401.7</v>
      </c>
      <c r="Q20" s="18">
        <f>Table4[[#This Row],[FCF]]/Table4[[#This Row],[Revenue]]</f>
        <v>0.21511192031701828</v>
      </c>
      <c r="R20" s="5">
        <v>-256.89999999999998</v>
      </c>
      <c r="S20" s="18">
        <f>ABS(Table4[[#This Row],[Dividends]])/Table4[[#This Row],[Revenue]]</f>
        <v>0.13757095426796614</v>
      </c>
    </row>
    <row r="21" spans="2:19" x14ac:dyDescent="0.25">
      <c r="B21" t="s">
        <v>35</v>
      </c>
      <c r="C21" s="5">
        <v>2367.1999999999998</v>
      </c>
      <c r="D21" s="5">
        <v>903.6</v>
      </c>
      <c r="E21" s="5">
        <v>1463.6</v>
      </c>
      <c r="F21" s="17">
        <f>Table4[[#This Row],[GrossProfit]]/Table4[[#This Row],[Revenue]]</f>
        <v>0.61828320378506252</v>
      </c>
      <c r="G21" s="5">
        <v>1036.5</v>
      </c>
      <c r="H21" s="5">
        <v>427.1</v>
      </c>
      <c r="I21" s="18">
        <f>Table4[[#This Row],[OperatingProfit]]/Table4[[#This Row],[Revenue]]</f>
        <v>0.43785907401149038</v>
      </c>
      <c r="J21" s="5">
        <v>672.2</v>
      </c>
      <c r="K21" s="18">
        <f>Table4[[#This Row],[NetProfit]]/Table4[[#This Row],[Revenue]]</f>
        <v>0.28396417708685373</v>
      </c>
      <c r="L21" s="5">
        <v>732.8</v>
      </c>
      <c r="M21" s="18">
        <f>Table4[[#This Row],[CashFromOps]]/Table4[[#This Row],[Revenue]]</f>
        <v>0.30956404190604936</v>
      </c>
      <c r="N21" s="5">
        <v>-118</v>
      </c>
      <c r="O21" s="18">
        <f>ABS(Table4[[#This Row],[CAPEX]])/Table4[[#This Row],[Revenue]]</f>
        <v>4.9847921595133494E-2</v>
      </c>
      <c r="P21" s="5">
        <v>614.79999999999995</v>
      </c>
      <c r="Q21" s="18">
        <f>Table4[[#This Row],[FCF]]/Table4[[#This Row],[Revenue]]</f>
        <v>0.25971612031091584</v>
      </c>
      <c r="R21" s="5">
        <v>-278.89999999999998</v>
      </c>
      <c r="S21" s="18">
        <f>ABS(Table4[[#This Row],[Dividends]])/Table4[[#This Row],[Revenue]]</f>
        <v>0.11781851977019263</v>
      </c>
    </row>
    <row r="22" spans="2:19" x14ac:dyDescent="0.25">
      <c r="B22" t="s">
        <v>36</v>
      </c>
      <c r="C22" s="5">
        <v>2747.1</v>
      </c>
      <c r="D22" s="5">
        <v>1044.4000000000001</v>
      </c>
      <c r="E22" s="5">
        <v>1702.7</v>
      </c>
      <c r="F22" s="17">
        <f>Table4[[#This Row],[GrossProfit]]/Table4[[#This Row],[Revenue]]</f>
        <v>0.61981726183975838</v>
      </c>
      <c r="G22" s="5">
        <v>1226.9000000000001</v>
      </c>
      <c r="H22" s="5">
        <v>475.8</v>
      </c>
      <c r="I22" s="18">
        <f>Table4[[#This Row],[OperatingProfit]]/Table4[[#This Row],[Revenue]]</f>
        <v>0.44661643187361222</v>
      </c>
      <c r="J22" s="5">
        <v>773.2</v>
      </c>
      <c r="K22" s="18">
        <f>Table4[[#This Row],[NetProfit]]/Table4[[#This Row],[Revenue]]</f>
        <v>0.28146044920097563</v>
      </c>
      <c r="L22" s="5">
        <v>948.4</v>
      </c>
      <c r="M22" s="18">
        <f>Table4[[#This Row],[CashFromOps]]/Table4[[#This Row],[Revenue]]</f>
        <v>0.34523679516581124</v>
      </c>
      <c r="N22" s="5">
        <v>-82.3</v>
      </c>
      <c r="O22" s="18">
        <f>ABS(Table4[[#This Row],[CAPEX]])/Table4[[#This Row],[Revenue]]</f>
        <v>2.995886571293364E-2</v>
      </c>
      <c r="P22" s="5">
        <v>866.1</v>
      </c>
      <c r="Q22" s="18">
        <f>Table4[[#This Row],[FCF]]/Table4[[#This Row],[Revenue]]</f>
        <v>0.31527792945287758</v>
      </c>
      <c r="R22" s="5">
        <v>-317.89999999999998</v>
      </c>
      <c r="S22" s="18">
        <f>ABS(Table4[[#This Row],[Dividends]])/Table4[[#This Row],[Revenue]]</f>
        <v>0.11572203414509846</v>
      </c>
    </row>
    <row r="23" spans="2:19" x14ac:dyDescent="0.25">
      <c r="B23" t="s">
        <v>37</v>
      </c>
      <c r="C23" s="5">
        <v>3022.5</v>
      </c>
      <c r="D23" s="5">
        <v>1143.7</v>
      </c>
      <c r="E23" s="5">
        <v>1878.8</v>
      </c>
      <c r="F23" s="17">
        <f>Table4[[#This Row],[GrossProfit]]/Table4[[#This Row],[Revenue]]</f>
        <v>0.6216046319272126</v>
      </c>
      <c r="G23" s="5">
        <v>1364.3</v>
      </c>
      <c r="H23" s="5">
        <v>514.5</v>
      </c>
      <c r="I23" s="18">
        <f>Table4[[#This Row],[OperatingProfit]]/Table4[[#This Row],[Revenue]]</f>
        <v>0.4513813068651778</v>
      </c>
      <c r="J23" s="5">
        <v>883.6</v>
      </c>
      <c r="K23" s="18">
        <f>Table4[[#This Row],[NetProfit]]/Table4[[#This Row],[Revenue]]</f>
        <v>0.29234077750206783</v>
      </c>
      <c r="L23" s="5">
        <v>902.8</v>
      </c>
      <c r="M23" s="18">
        <f>Table4[[#This Row],[CashFromOps]]/Table4[[#This Row],[Revenue]]</f>
        <v>0.29869313482216708</v>
      </c>
      <c r="N23" s="5">
        <v>-76.900000000000006</v>
      </c>
      <c r="O23" s="18">
        <f>ABS(Table4[[#This Row],[CAPEX]])/Table4[[#This Row],[Revenue]]</f>
        <v>2.544251447477254E-2</v>
      </c>
      <c r="P23" s="5">
        <v>825.9</v>
      </c>
      <c r="Q23" s="18">
        <f>Table4[[#This Row],[FCF]]/Table4[[#This Row],[Revenue]]</f>
        <v>0.27325062034739456</v>
      </c>
      <c r="R23" s="5">
        <v>-603.4</v>
      </c>
      <c r="S23" s="18">
        <f>ABS(Table4[[#This Row],[Dividends]])/Table4[[#This Row],[Revenue]]</f>
        <v>0.1996360628618693</v>
      </c>
    </row>
    <row r="24" spans="2:19" x14ac:dyDescent="0.25">
      <c r="B24" t="s">
        <v>38</v>
      </c>
      <c r="C24" s="5">
        <v>3484.2</v>
      </c>
      <c r="D24" s="5">
        <v>1274.0999999999999</v>
      </c>
      <c r="E24" s="5">
        <v>2210.1</v>
      </c>
      <c r="F24" s="17">
        <f>Table4[[#This Row],[GrossProfit]]/Table4[[#This Row],[Revenue]]</f>
        <v>0.63432064749440331</v>
      </c>
      <c r="G24" s="5">
        <v>1637.4</v>
      </c>
      <c r="H24" s="5">
        <v>572.70000000000005</v>
      </c>
      <c r="I24" s="18">
        <f>Table4[[#This Row],[OperatingProfit]]/Table4[[#This Row],[Revenue]]</f>
        <v>0.46995006027208547</v>
      </c>
      <c r="J24" s="5">
        <v>1047.7</v>
      </c>
      <c r="K24" s="18">
        <f>Table4[[#This Row],[NetProfit]]/Table4[[#This Row],[Revenue]]</f>
        <v>0.30070030423052641</v>
      </c>
      <c r="L24" s="5">
        <v>1233.2</v>
      </c>
      <c r="M24" s="18">
        <f>Table4[[#This Row],[CashFromOps]]/Table4[[#This Row],[Revenue]]</f>
        <v>0.35394064634636363</v>
      </c>
      <c r="N24" s="5">
        <v>-105.8</v>
      </c>
      <c r="O24" s="18">
        <f>ABS(Table4[[#This Row],[CAPEX]])/Table4[[#This Row],[Revenue]]</f>
        <v>3.0365650651512543E-2</v>
      </c>
      <c r="P24" s="5">
        <v>1127.4000000000001</v>
      </c>
      <c r="Q24" s="18">
        <f>Table4[[#This Row],[FCF]]/Table4[[#This Row],[Revenue]]</f>
        <v>0.3235749956948511</v>
      </c>
      <c r="R24" s="5">
        <v>-396.7</v>
      </c>
      <c r="S24" s="18">
        <f>ABS(Table4[[#This Row],[Dividends]])/Table4[[#This Row],[Revenue]]</f>
        <v>0.11385683944664486</v>
      </c>
    </row>
    <row r="25" spans="2:19" x14ac:dyDescent="0.25">
      <c r="B25" t="s">
        <v>39</v>
      </c>
      <c r="C25" s="5">
        <v>3982.1</v>
      </c>
      <c r="D25" s="5">
        <v>1473.2</v>
      </c>
      <c r="E25" s="5">
        <v>2508.9</v>
      </c>
      <c r="F25" s="17">
        <f>Table4[[#This Row],[GrossProfit]]/Table4[[#This Row],[Revenue]]</f>
        <v>0.63004444890886724</v>
      </c>
      <c r="G25" s="5">
        <v>1890.9</v>
      </c>
      <c r="H25" s="5">
        <v>618</v>
      </c>
      <c r="I25" s="18">
        <f>Table4[[#This Row],[OperatingProfit]]/Table4[[#This Row],[Revenue]]</f>
        <v>0.47484995354210091</v>
      </c>
      <c r="J25" s="5">
        <v>1229.5999999999999</v>
      </c>
      <c r="K25" s="18">
        <f>Table4[[#This Row],[NetProfit]]/Table4[[#This Row],[Revenue]]</f>
        <v>0.30878179854850452</v>
      </c>
      <c r="L25" s="5">
        <v>1343.9</v>
      </c>
      <c r="M25" s="18">
        <f>Table4[[#This Row],[CashFromOps]]/Table4[[#This Row],[Revenue]]</f>
        <v>0.33748524647798905</v>
      </c>
      <c r="N25" s="5">
        <v>-126.2</v>
      </c>
      <c r="O25" s="18">
        <f>ABS(Table4[[#This Row],[CAPEX]])/Table4[[#This Row],[Revenue]]</f>
        <v>3.1691820898520885E-2</v>
      </c>
      <c r="P25" s="5">
        <v>1217.7</v>
      </c>
      <c r="Q25" s="18">
        <f>Table4[[#This Row],[FCF]]/Table4[[#This Row],[Revenue]]</f>
        <v>0.30579342557946815</v>
      </c>
      <c r="R25" s="5">
        <v>-462.1</v>
      </c>
      <c r="S25" s="18">
        <f>ABS(Table4[[#This Row],[Dividends]])/Table4[[#This Row],[Revenue]]</f>
        <v>0.11604429823459984</v>
      </c>
    </row>
    <row r="26" spans="2:19" x14ac:dyDescent="0.25">
      <c r="B26" t="s">
        <v>40</v>
      </c>
      <c r="C26" s="5">
        <v>4200.6000000000004</v>
      </c>
      <c r="D26" s="5">
        <v>1595.1</v>
      </c>
      <c r="E26" s="5">
        <v>2605.5</v>
      </c>
      <c r="F26" s="17">
        <f>Table4[[#This Row],[GrossProfit]]/Table4[[#This Row],[Revenue]]</f>
        <v>0.62026853306670471</v>
      </c>
      <c r="G26" s="5">
        <v>1898.9</v>
      </c>
      <c r="H26" s="5">
        <v>706.6</v>
      </c>
      <c r="I26" s="18">
        <f>Table4[[#This Row],[OperatingProfit]]/Table4[[#This Row],[Revenue]]</f>
        <v>0.45205446840927482</v>
      </c>
      <c r="J26" s="5">
        <v>1223</v>
      </c>
      <c r="K26" s="18">
        <f>Table4[[#This Row],[NetProfit]]/Table4[[#This Row],[Revenue]]</f>
        <v>0.29114888349283435</v>
      </c>
      <c r="L26" s="5">
        <v>1530.5</v>
      </c>
      <c r="M26" s="18">
        <f>Table4[[#This Row],[CashFromOps]]/Table4[[#This Row],[Revenue]]</f>
        <v>0.36435271151740223</v>
      </c>
      <c r="N26" s="5">
        <v>-151.30000000000001</v>
      </c>
      <c r="O26" s="18">
        <f>ABS(Table4[[#This Row],[CAPEX]])/Table4[[#This Row],[Revenue]]</f>
        <v>3.6018664000380896E-2</v>
      </c>
      <c r="P26" s="5">
        <v>1379.2</v>
      </c>
      <c r="Q26" s="18">
        <f>Table4[[#This Row],[FCF]]/Table4[[#This Row],[Revenue]]</f>
        <v>0.32833404751702139</v>
      </c>
      <c r="R26" s="5">
        <v>-1059</v>
      </c>
      <c r="S26" s="18">
        <f>ABS(Table4[[#This Row],[Dividends]])/Table4[[#This Row],[Revenue]]</f>
        <v>0.25210684187973142</v>
      </c>
    </row>
    <row r="27" spans="2:19" x14ac:dyDescent="0.25">
      <c r="B27" t="s">
        <v>41</v>
      </c>
      <c r="C27" s="5">
        <v>4284.8</v>
      </c>
      <c r="D27" s="5">
        <v>1867.1</v>
      </c>
      <c r="E27" s="5">
        <v>2417.6999999999998</v>
      </c>
      <c r="F27" s="17">
        <f>Table4[[#This Row],[GrossProfit]]/Table4[[#This Row],[Revenue]]</f>
        <v>0.56425037341299467</v>
      </c>
      <c r="G27" s="5">
        <v>1799.6</v>
      </c>
      <c r="H27" s="5">
        <v>618.1</v>
      </c>
      <c r="I27" s="18">
        <f>Table4[[#This Row],[OperatingProfit]]/Table4[[#This Row],[Revenue]]</f>
        <v>0.41999626587005223</v>
      </c>
      <c r="J27" s="5">
        <v>1215</v>
      </c>
      <c r="K27" s="18">
        <f>Table4[[#This Row],[NetProfit]]/Table4[[#This Row],[Revenue]]</f>
        <v>0.28356049290515306</v>
      </c>
      <c r="L27" s="5">
        <v>170.5</v>
      </c>
      <c r="M27" s="18">
        <f>Table4[[#This Row],[CashFromOps]]/Table4[[#This Row],[Revenue]]</f>
        <v>3.9791822255414486E-2</v>
      </c>
      <c r="N27" s="5">
        <v>-148.30000000000001</v>
      </c>
      <c r="O27" s="18">
        <f>ABS(Table4[[#This Row],[CAPEX]])/Table4[[#This Row],[Revenue]]</f>
        <v>3.4610716952949962E-2</v>
      </c>
      <c r="P27" s="5">
        <v>22.2</v>
      </c>
      <c r="Q27" s="18">
        <f>Table4[[#This Row],[FCF]]/Table4[[#This Row],[Revenue]]</f>
        <v>5.1811053024645257E-3</v>
      </c>
      <c r="R27" s="5">
        <v>-540.79999999999995</v>
      </c>
      <c r="S27" s="18">
        <f>ABS(Table4[[#This Row],[Dividends]])/Table4[[#This Row],[Revenue]]</f>
        <v>0.12621359223300968</v>
      </c>
    </row>
    <row r="28" spans="2:19" x14ac:dyDescent="0.25">
      <c r="B28" t="s">
        <v>42</v>
      </c>
      <c r="C28" s="5">
        <v>4854.8999999999996</v>
      </c>
      <c r="D28" s="5">
        <v>2073.5</v>
      </c>
      <c r="E28" s="5">
        <v>2781.4</v>
      </c>
      <c r="F28" s="17">
        <f>Table4[[#This Row],[GrossProfit]]/Table4[[#This Row],[Revenue]]</f>
        <v>0.57290572411378204</v>
      </c>
      <c r="G28" s="5">
        <v>2058.8000000000002</v>
      </c>
      <c r="H28" s="5">
        <v>722.6</v>
      </c>
      <c r="I28" s="18">
        <f>Table4[[#This Row],[OperatingProfit]]/Table4[[#This Row],[Revenue]]</f>
        <v>0.4240664071350595</v>
      </c>
      <c r="J28" s="5">
        <v>1497.8</v>
      </c>
      <c r="K28" s="18">
        <f>Table4[[#This Row],[NetProfit]]/Table4[[#This Row],[Revenue]]</f>
        <v>0.30851304867247525</v>
      </c>
      <c r="L28" s="5">
        <v>229.5</v>
      </c>
      <c r="M28" s="18">
        <f>Table4[[#This Row],[CashFromOps]]/Table4[[#This Row],[Revenue]]</f>
        <v>4.7271828461966266E-2</v>
      </c>
      <c r="N28" s="5">
        <v>-186.1</v>
      </c>
      <c r="O28" s="18">
        <f>ABS(Table4[[#This Row],[CAPEX]])/Table4[[#This Row],[Revenue]]</f>
        <v>3.8332406434736038E-2</v>
      </c>
      <c r="P28" s="5">
        <v>43.4</v>
      </c>
      <c r="Q28" s="18">
        <f>Table4[[#This Row],[FCF]]/Table4[[#This Row],[Revenue]]</f>
        <v>8.9394220272302222E-3</v>
      </c>
      <c r="R28" s="5">
        <v>-563.1</v>
      </c>
      <c r="S28" s="18">
        <f>ABS(Table4[[#This Row],[Dividends]])/Table4[[#This Row],[Revenue]]</f>
        <v>0.11598591114132115</v>
      </c>
    </row>
    <row r="29" spans="2:19" x14ac:dyDescent="0.25">
      <c r="B29" t="s">
        <v>43</v>
      </c>
      <c r="C29" s="5">
        <v>5372.6</v>
      </c>
      <c r="D29" s="5">
        <v>2246.9</v>
      </c>
      <c r="E29" s="5">
        <v>3125.7</v>
      </c>
      <c r="F29" s="17">
        <f>Table4[[#This Row],[GrossProfit]]/Table4[[#This Row],[Revenue]]</f>
        <v>0.58178535532144582</v>
      </c>
      <c r="G29" s="5">
        <v>2346.1999999999998</v>
      </c>
      <c r="H29" s="5">
        <v>779.5</v>
      </c>
      <c r="I29" s="18">
        <f>Table4[[#This Row],[OperatingProfit]]/Table4[[#This Row],[Revenue]]</f>
        <v>0.43669731601086992</v>
      </c>
      <c r="J29" s="5">
        <v>1837.5</v>
      </c>
      <c r="K29" s="18">
        <f>Table4[[#This Row],[NetProfit]]/Table4[[#This Row],[Revenue]]</f>
        <v>0.34201317797714326</v>
      </c>
      <c r="L29" s="5">
        <v>1619.9</v>
      </c>
      <c r="M29" s="18">
        <f>Table4[[#This Row],[CashFromOps]]/Table4[[#This Row],[Revenue]]</f>
        <v>0.3015113725198228</v>
      </c>
      <c r="N29" s="5">
        <v>-168.5</v>
      </c>
      <c r="O29" s="18">
        <f>ABS(Table4[[#This Row],[CAPEX]])/Table4[[#This Row],[Revenue]]</f>
        <v>3.1362841082529874E-2</v>
      </c>
      <c r="P29" s="5">
        <v>1451.4</v>
      </c>
      <c r="Q29" s="18">
        <f>Table4[[#This Row],[FCF]]/Table4[[#This Row],[Revenue]]</f>
        <v>0.27014853143729295</v>
      </c>
      <c r="R29" s="5">
        <v>-694.3</v>
      </c>
      <c r="S29" s="18">
        <f>ABS(Table4[[#This Row],[Dividends]])/Table4[[#This Row],[Revenue]]</f>
        <v>0.12922979562967649</v>
      </c>
    </row>
    <row r="30" spans="2:19" x14ac:dyDescent="0.25">
      <c r="B30" t="s">
        <v>44</v>
      </c>
      <c r="C30" s="5">
        <v>5617.9</v>
      </c>
      <c r="D30" s="5">
        <v>2384.9</v>
      </c>
      <c r="E30" s="5">
        <v>3233</v>
      </c>
      <c r="F30" s="17">
        <f>Table4[[#This Row],[GrossProfit]]/Table4[[#This Row],[Revenue]]</f>
        <v>0.5754819416507948</v>
      </c>
      <c r="G30" s="5">
        <v>2387</v>
      </c>
      <c r="H30" s="5">
        <v>846</v>
      </c>
      <c r="I30" s="18">
        <f>Table4[[#This Row],[OperatingProfit]]/Table4[[#This Row],[Revenue]]</f>
        <v>0.42489186350771646</v>
      </c>
      <c r="J30" s="5">
        <v>2131.3000000000002</v>
      </c>
      <c r="K30" s="18">
        <f>Table4[[#This Row],[NetProfit]]/Table4[[#This Row],[Revenue]]</f>
        <v>0.37937663539756855</v>
      </c>
      <c r="L30" s="5">
        <v>1522.7</v>
      </c>
      <c r="M30" s="18">
        <f>Table4[[#This Row],[CashFromOps]]/Table4[[#This Row],[Revenue]]</f>
        <v>0.27104434041189773</v>
      </c>
      <c r="N30" s="5">
        <v>-204.6</v>
      </c>
      <c r="O30" s="18">
        <f>ABS(Table4[[#This Row],[CAPEX]])/Table4[[#This Row],[Revenue]]</f>
        <v>3.6419302586375692E-2</v>
      </c>
      <c r="P30" s="5">
        <v>1318.1</v>
      </c>
      <c r="Q30" s="18">
        <f>Table4[[#This Row],[FCF]]/Table4[[#This Row],[Revenue]]</f>
        <v>0.23462503782552199</v>
      </c>
      <c r="R30" s="5">
        <v>-733.9</v>
      </c>
      <c r="S30" s="18">
        <f>ABS(Table4[[#This Row],[Dividends]])/Table4[[#This Row],[Revenue]]</f>
        <v>0.13063600277683832</v>
      </c>
    </row>
    <row r="31" spans="2:19" x14ac:dyDescent="0.25">
      <c r="B31" t="s">
        <v>45</v>
      </c>
      <c r="C31" s="5">
        <v>6206.7</v>
      </c>
      <c r="D31" s="5">
        <v>2616.4</v>
      </c>
      <c r="E31" s="5">
        <v>3590.3</v>
      </c>
      <c r="F31" s="17">
        <f>Table4[[#This Row],[GrossProfit]]/Table4[[#This Row],[Revenue]]</f>
        <v>0.57845553998098831</v>
      </c>
      <c r="G31" s="5">
        <v>2745.7</v>
      </c>
      <c r="H31" s="5">
        <v>844.6</v>
      </c>
      <c r="I31" s="18">
        <f>Table4[[#This Row],[OperatingProfit]]/Table4[[#This Row],[Revenue]]</f>
        <v>0.44237678637601302</v>
      </c>
      <c r="J31" s="5">
        <v>2372.6999999999998</v>
      </c>
      <c r="K31" s="18">
        <f>Table4[[#This Row],[NetProfit]]/Table4[[#This Row],[Revenue]]</f>
        <v>0.38228043888056451</v>
      </c>
      <c r="L31" s="5">
        <v>1918.9</v>
      </c>
      <c r="M31" s="18">
        <f>Table4[[#This Row],[CashFromOps]]/Table4[[#This Row],[Revenue]]</f>
        <v>0.30916590136465433</v>
      </c>
      <c r="N31" s="5">
        <v>-214.6</v>
      </c>
      <c r="O31" s="18">
        <f>ABS(Table4[[#This Row],[CAPEX]])/Table4[[#This Row],[Revenue]]</f>
        <v>3.4575539336523436E-2</v>
      </c>
      <c r="P31" s="5">
        <v>1704.3</v>
      </c>
      <c r="Q31" s="18">
        <f>Table4[[#This Row],[FCF]]/Table4[[#This Row],[Revenue]]</f>
        <v>0.27459036202813092</v>
      </c>
      <c r="R31" s="5">
        <v>-845.8</v>
      </c>
      <c r="S31" s="18">
        <f>ABS(Table4[[#This Row],[Dividends]])/Table4[[#This Row],[Revenue]]</f>
        <v>0.13627209306072469</v>
      </c>
    </row>
    <row r="32" spans="2:19" x14ac:dyDescent="0.25">
      <c r="B32" t="s">
        <v>46</v>
      </c>
      <c r="C32" s="5">
        <v>7671.9</v>
      </c>
      <c r="D32" s="5">
        <v>2993.2</v>
      </c>
      <c r="E32" s="5">
        <v>4678.7</v>
      </c>
      <c r="F32" s="17">
        <f>Table4[[#This Row],[GrossProfit]]/Table4[[#This Row],[Revenue]]</f>
        <v>0.60984892920919198</v>
      </c>
      <c r="G32" s="5">
        <v>3710</v>
      </c>
      <c r="H32" s="5">
        <v>968.7</v>
      </c>
      <c r="I32" s="18">
        <f>Table4[[#This Row],[OperatingProfit]]/Table4[[#This Row],[Revenue]]</f>
        <v>0.48358294555455628</v>
      </c>
      <c r="J32" s="5">
        <v>3082.9</v>
      </c>
      <c r="K32" s="18">
        <f>Table4[[#This Row],[NetProfit]]/Table4[[#This Row],[Revenue]]</f>
        <v>0.40184308971701926</v>
      </c>
      <c r="L32" s="5">
        <v>3452</v>
      </c>
      <c r="M32" s="18">
        <f>Table4[[#This Row],[CashFromOps]]/Table4[[#This Row],[Revenue]]</f>
        <v>0.44995372723836341</v>
      </c>
      <c r="N32" s="5">
        <v>-239.1</v>
      </c>
      <c r="O32" s="18">
        <f>ABS(Table4[[#This Row],[CAPEX]])/Table4[[#This Row],[Revenue]]</f>
        <v>3.1165682555820591E-2</v>
      </c>
      <c r="P32" s="5">
        <v>3212.9</v>
      </c>
      <c r="Q32" s="18">
        <f>Table4[[#This Row],[FCF]]/Table4[[#This Row],[Revenue]]</f>
        <v>0.41878804468254283</v>
      </c>
      <c r="R32" s="5">
        <v>-1701.9</v>
      </c>
      <c r="S32" s="18">
        <f>ABS(Table4[[#This Row],[Dividends]])/Table4[[#This Row],[Revenue]]</f>
        <v>0.22183552966018849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L33"/>
  <sheetViews>
    <sheetView workbookViewId="0">
      <selection activeCell="H20" sqref="H20:H22"/>
    </sheetView>
  </sheetViews>
  <sheetFormatPr defaultRowHeight="15" x14ac:dyDescent="0.25"/>
  <cols>
    <col min="2" max="2" width="12.42578125" customWidth="1"/>
    <col min="3" max="3" width="11.140625" bestFit="1" customWidth="1"/>
    <col min="4" max="4" width="9.7109375" customWidth="1"/>
    <col min="5" max="5" width="11.28515625" bestFit="1" customWidth="1"/>
    <col min="6" max="6" width="9.42578125" bestFit="1" customWidth="1"/>
    <col min="7" max="7" width="14.140625" bestFit="1" customWidth="1"/>
    <col min="8" max="8" width="9.85546875" customWidth="1"/>
    <col min="9" max="9" width="14.7109375" customWidth="1"/>
    <col min="10" max="10" width="9.5703125" customWidth="1"/>
    <col min="11" max="11" width="19.85546875" customWidth="1"/>
    <col min="12" max="12" width="11.42578125" customWidth="1"/>
  </cols>
  <sheetData>
    <row r="2" spans="2:12" x14ac:dyDescent="0.25">
      <c r="B2" t="s">
        <v>5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L2" t="s">
        <v>61</v>
      </c>
    </row>
    <row r="3" spans="2:12" x14ac:dyDescent="0.25">
      <c r="B3" t="s">
        <v>17</v>
      </c>
      <c r="C3">
        <v>245.1</v>
      </c>
      <c r="D3" s="16" t="e">
        <f>(Table3[[#This Row],[Revenue]]-C2)/C2</f>
        <v>#VALUE!</v>
      </c>
      <c r="E3">
        <v>-10.4</v>
      </c>
      <c r="F3" s="16" t="e">
        <f>(Table3[[#This Row],[Dividend]]-E2)/E2</f>
        <v>#VALUE!</v>
      </c>
      <c r="G3">
        <v>4.7E-2</v>
      </c>
      <c r="H3" s="16" t="e">
        <f>(Table3[[#This Row],[DivPerShare]]-G2)/G2</f>
        <v>#VALUE!</v>
      </c>
      <c r="I3">
        <v>655.654</v>
      </c>
      <c r="J3" s="16" t="e">
        <f>(Table3[[#This Row],[MarketValue]]-I2)/I2</f>
        <v>#VALUE!</v>
      </c>
      <c r="K3">
        <v>238.667</v>
      </c>
      <c r="L3" s="16" t="e">
        <f>(Table3[[#This Row],[SharesOutstanding]]-K2)/K2</f>
        <v>#VALUE!</v>
      </c>
    </row>
    <row r="4" spans="2:12" x14ac:dyDescent="0.25">
      <c r="B4" t="s">
        <v>18</v>
      </c>
      <c r="C4">
        <v>310</v>
      </c>
      <c r="D4" s="16">
        <f>(Table3[[#This Row],[Revenue]]-C3)/C3</f>
        <v>0.26478988168094658</v>
      </c>
      <c r="E4">
        <v>-12.1</v>
      </c>
      <c r="F4" s="16">
        <f>(Table3[[#This Row],[Dividend]]-E3)/E3</f>
        <v>0.16346153846153838</v>
      </c>
      <c r="G4">
        <v>5.6000000000000001E-2</v>
      </c>
      <c r="H4" s="16">
        <f>(Table3[[#This Row],[DivPerShare]]-G3)/G3</f>
        <v>0.19148936170212769</v>
      </c>
      <c r="I4">
        <v>844.91899999999998</v>
      </c>
      <c r="J4" s="16">
        <f>(Table3[[#This Row],[MarketValue]]-I3)/I3</f>
        <v>0.28866597321148041</v>
      </c>
      <c r="K4">
        <v>249.23099999999999</v>
      </c>
      <c r="L4" s="16">
        <f>(Table3[[#This Row],[SharesOutstanding]]-K3)/K3</f>
        <v>4.4262508013256936E-2</v>
      </c>
    </row>
    <row r="5" spans="2:12" x14ac:dyDescent="0.25">
      <c r="B5" t="s">
        <v>19</v>
      </c>
      <c r="C5">
        <v>382.4</v>
      </c>
      <c r="D5" s="16">
        <f>(Table3[[#This Row],[Revenue]]-C4)/C4</f>
        <v>0.23354838709677411</v>
      </c>
      <c r="E5">
        <v>-15.1</v>
      </c>
      <c r="F5" s="16">
        <f>(Table3[[#This Row],[Dividend]]-E4)/E4</f>
        <v>0.24793388429752067</v>
      </c>
      <c r="G5">
        <v>6.9000000000000006E-2</v>
      </c>
      <c r="H5" s="16">
        <f>(Table3[[#This Row],[DivPerShare]]-G4)/G4</f>
        <v>0.23214285714285723</v>
      </c>
      <c r="I5">
        <v>872.85</v>
      </c>
      <c r="J5" s="16">
        <f>(Table3[[#This Row],[MarketValue]]-I4)/I4</f>
        <v>3.3057606705494895E-2</v>
      </c>
      <c r="K5">
        <v>244.8</v>
      </c>
      <c r="L5" s="16">
        <f>(Table3[[#This Row],[SharesOutstanding]]-K4)/K4</f>
        <v>-1.7778687241956189E-2</v>
      </c>
    </row>
    <row r="6" spans="2:12" x14ac:dyDescent="0.25">
      <c r="B6" t="s">
        <v>20</v>
      </c>
      <c r="C6">
        <v>439.3</v>
      </c>
      <c r="D6" s="16">
        <f>(Table3[[#This Row],[Revenue]]-C5)/C5</f>
        <v>0.14879707112970722</v>
      </c>
      <c r="E6">
        <v>-18.3</v>
      </c>
      <c r="F6" s="16">
        <f>(Table3[[#This Row],[Dividend]]-E5)/E5</f>
        <v>0.21192052980132459</v>
      </c>
      <c r="G6">
        <v>8.5999999999999993E-2</v>
      </c>
      <c r="H6" s="16">
        <f>(Table3[[#This Row],[DivPerShare]]-G5)/G5</f>
        <v>0.24637681159420269</v>
      </c>
      <c r="I6">
        <v>1527.68</v>
      </c>
      <c r="J6" s="16">
        <f>(Table3[[#This Row],[MarketValue]]-I5)/I5</f>
        <v>0.75022054190296161</v>
      </c>
      <c r="K6">
        <v>247.541</v>
      </c>
      <c r="L6" s="16">
        <f>(Table3[[#This Row],[SharesOutstanding]]-K5)/K5</f>
        <v>1.1196895424836541E-2</v>
      </c>
    </row>
    <row r="7" spans="2:12" x14ac:dyDescent="0.25">
      <c r="B7" t="s">
        <v>21</v>
      </c>
      <c r="C7">
        <v>586.1</v>
      </c>
      <c r="D7" s="16">
        <f>(Table3[[#This Row],[Revenue]]-C6)/C6</f>
        <v>0.33416799453676305</v>
      </c>
      <c r="E7">
        <v>-24.1</v>
      </c>
      <c r="F7" s="16">
        <f>(Table3[[#This Row],[Dividend]]-E6)/E6</f>
        <v>0.31693989071038253</v>
      </c>
      <c r="G7">
        <v>0.158</v>
      </c>
      <c r="H7" s="16">
        <f>(Table3[[#This Row],[DivPerShare]]-G6)/G6</f>
        <v>0.83720930232558155</v>
      </c>
      <c r="I7">
        <v>2505.5770000000002</v>
      </c>
      <c r="J7" s="16">
        <f>(Table3[[#This Row],[MarketValue]]-I6)/I6</f>
        <v>0.64011900397989119</v>
      </c>
      <c r="K7">
        <v>246.25</v>
      </c>
      <c r="L7" s="16">
        <f>(Table3[[#This Row],[SharesOutstanding]]-K6)/K6</f>
        <v>-5.2152976678610692E-3</v>
      </c>
    </row>
    <row r="8" spans="2:12" x14ac:dyDescent="0.25">
      <c r="B8" t="s">
        <v>22</v>
      </c>
      <c r="C8">
        <v>755</v>
      </c>
      <c r="D8" s="16">
        <f>(Table3[[#This Row],[Revenue]]-C7)/C7</f>
        <v>0.28817607916737753</v>
      </c>
      <c r="E8">
        <v>-30.1</v>
      </c>
      <c r="F8" s="16">
        <f>(Table3[[#This Row],[Dividend]]-E7)/E7</f>
        <v>0.24896265560165973</v>
      </c>
      <c r="G8">
        <v>0.14000000000000001</v>
      </c>
      <c r="H8" s="16">
        <f>(Table3[[#This Row],[DivPerShare]]-G7)/G7</f>
        <v>-0.11392405063291132</v>
      </c>
      <c r="I8">
        <v>3716.0819999999999</v>
      </c>
      <c r="J8" s="16">
        <f>(Table3[[#This Row],[MarketValue]]-I7)/I7</f>
        <v>0.48312424643106139</v>
      </c>
      <c r="K8">
        <v>255.57499999999999</v>
      </c>
      <c r="L8" s="16">
        <f>(Table3[[#This Row],[SharesOutstanding]]-K7)/K7</f>
        <v>3.7868020304568484E-2</v>
      </c>
    </row>
    <row r="9" spans="2:12" x14ac:dyDescent="0.25">
      <c r="B9" t="s">
        <v>23</v>
      </c>
      <c r="C9">
        <v>886.14200000000005</v>
      </c>
      <c r="D9" s="16">
        <f>(Table3[[#This Row],[Revenue]]-C8)/C8</f>
        <v>0.17369801324503317</v>
      </c>
      <c r="E9">
        <v>-40.405999999999999</v>
      </c>
      <c r="F9" s="16">
        <f>(Table3[[#This Row],[Dividend]]-E8)/E8</f>
        <v>0.34239202657807299</v>
      </c>
      <c r="G9">
        <v>0.17799999999999999</v>
      </c>
      <c r="H9" s="16">
        <f>(Table3[[#This Row],[DivPerShare]]-G8)/G8</f>
        <v>0.27142857142857124</v>
      </c>
      <c r="I9">
        <v>4117.47</v>
      </c>
      <c r="J9" s="16">
        <f>(Table3[[#This Row],[MarketValue]]-I8)/I8</f>
        <v>0.10801376288251992</v>
      </c>
      <c r="K9">
        <v>259.91000000000003</v>
      </c>
      <c r="L9" s="16">
        <f>(Table3[[#This Row],[SharesOutstanding]]-K8)/K8</f>
        <v>1.6961752910104808E-2</v>
      </c>
    </row>
    <row r="10" spans="2:12" x14ac:dyDescent="0.25">
      <c r="B10" t="s">
        <v>24</v>
      </c>
      <c r="C10">
        <v>1036.3789999999999</v>
      </c>
      <c r="D10" s="16">
        <f>(Table3[[#This Row],[Revenue]]-C9)/C9</f>
        <v>0.1695405476774601</v>
      </c>
      <c r="E10">
        <v>-48.241</v>
      </c>
      <c r="F10" s="16">
        <f>(Table3[[#This Row],[Dividend]]-E9)/E9</f>
        <v>0.19390684551799239</v>
      </c>
      <c r="G10">
        <v>0.215</v>
      </c>
      <c r="H10" s="16">
        <f>(Table3[[#This Row],[DivPerShare]]-G9)/G9</f>
        <v>0.20786516853932588</v>
      </c>
      <c r="I10">
        <v>4436.79</v>
      </c>
      <c r="J10" s="16">
        <f>(Table3[[#This Row],[MarketValue]]-I9)/I9</f>
        <v>7.7552477613680171E-2</v>
      </c>
      <c r="K10">
        <v>258.815</v>
      </c>
      <c r="L10" s="16">
        <f>(Table3[[#This Row],[SharesOutstanding]]-K9)/K9</f>
        <v>-4.2129968065870004E-3</v>
      </c>
    </row>
    <row r="11" spans="2:12" x14ac:dyDescent="0.25">
      <c r="B11" t="s">
        <v>25</v>
      </c>
      <c r="C11">
        <v>1154</v>
      </c>
      <c r="D11" s="16">
        <f>(Table3[[#This Row],[Revenue]]-C10)/C10</f>
        <v>0.11349226489537138</v>
      </c>
      <c r="E11">
        <v>-62.88</v>
      </c>
      <c r="F11" s="16">
        <f>(Table3[[#This Row],[Dividend]]-E10)/E10</f>
        <v>0.30345556684148345</v>
      </c>
      <c r="G11">
        <v>0.27</v>
      </c>
      <c r="H11" s="16">
        <f>(Table3[[#This Row],[DivPerShare]]-G10)/G10</f>
        <v>0.25581395348837221</v>
      </c>
      <c r="I11">
        <v>5174.2719999999999</v>
      </c>
      <c r="J11" s="16">
        <f>(Table3[[#This Row],[MarketValue]]-I10)/I10</f>
        <v>0.16621972191606996</v>
      </c>
      <c r="K11">
        <v>258.654</v>
      </c>
      <c r="L11" s="16">
        <f>(Table3[[#This Row],[SharesOutstanding]]-K10)/K10</f>
        <v>-6.2206595444623135E-4</v>
      </c>
    </row>
    <row r="12" spans="2:12" x14ac:dyDescent="0.25">
      <c r="B12" t="s">
        <v>26</v>
      </c>
      <c r="C12">
        <v>995</v>
      </c>
      <c r="D12" s="16">
        <f>(Table3[[#This Row],[Revenue]]-C11)/C11</f>
        <v>-0.13778162911611785</v>
      </c>
      <c r="E12">
        <v>-73.837999999999994</v>
      </c>
      <c r="F12" s="16">
        <f>(Table3[[#This Row],[Dividend]]-E11)/E11</f>
        <v>0.17426844783714998</v>
      </c>
      <c r="G12">
        <v>0.30499999999999999</v>
      </c>
      <c r="H12" s="16">
        <f>(Table3[[#This Row],[DivPerShare]]-G11)/G11</f>
        <v>0.12962962962962954</v>
      </c>
      <c r="I12">
        <v>4276.1120000000001</v>
      </c>
      <c r="J12" s="16">
        <f>(Table3[[#This Row],[MarketValue]]-I11)/I11</f>
        <v>-0.17358190678804669</v>
      </c>
      <c r="K12">
        <v>257.89499999999998</v>
      </c>
      <c r="L12" s="16">
        <f>(Table3[[#This Row],[SharesOutstanding]]-K11)/K11</f>
        <v>-2.9344220464404746E-3</v>
      </c>
    </row>
    <row r="13" spans="2:12" x14ac:dyDescent="0.25">
      <c r="B13" t="s">
        <v>27</v>
      </c>
      <c r="C13">
        <v>924</v>
      </c>
      <c r="D13" s="16">
        <f>(Table3[[#This Row],[Revenue]]-C12)/C12</f>
        <v>-7.1356783919597988E-2</v>
      </c>
      <c r="E13">
        <v>-78.700999999999993</v>
      </c>
      <c r="F13" s="16">
        <f>(Table3[[#This Row],[Dividend]]-E12)/E12</f>
        <v>6.5860397085511529E-2</v>
      </c>
      <c r="G13">
        <v>0.32500000000000001</v>
      </c>
      <c r="H13" s="16">
        <f>(Table3[[#This Row],[DivPerShare]]-G12)/G12</f>
        <v>6.5573770491803338E-2</v>
      </c>
      <c r="I13">
        <v>3345.8510000000001</v>
      </c>
      <c r="J13" s="16">
        <f>(Table3[[#This Row],[MarketValue]]-I12)/I12</f>
        <v>-0.21754832427214255</v>
      </c>
      <c r="K13">
        <v>255.26300000000001</v>
      </c>
      <c r="L13" s="16">
        <f>(Table3[[#This Row],[SharesOutstanding]]-K12)/K12</f>
        <v>-1.0205703871730653E-2</v>
      </c>
    </row>
    <row r="14" spans="2:12" x14ac:dyDescent="0.25">
      <c r="B14" t="s">
        <v>28</v>
      </c>
      <c r="C14">
        <v>996</v>
      </c>
      <c r="D14" s="16">
        <f>(Table3[[#This Row],[Revenue]]-C13)/C13</f>
        <v>7.792207792207792E-2</v>
      </c>
      <c r="E14">
        <v>-83.671999999999997</v>
      </c>
      <c r="F14" s="16">
        <f>(Table3[[#This Row],[Dividend]]-E13)/E13</f>
        <v>6.3163111015107867E-2</v>
      </c>
      <c r="G14">
        <v>0.35</v>
      </c>
      <c r="H14" s="16">
        <f>(Table3[[#This Row],[DivPerShare]]-G13)/G13</f>
        <v>7.6923076923076816E-2</v>
      </c>
      <c r="I14">
        <v>5924.3230000000003</v>
      </c>
      <c r="J14" s="16">
        <f>(Table3[[#This Row],[MarketValue]]-I13)/I13</f>
        <v>0.77064758711610293</v>
      </c>
      <c r="K14">
        <v>257.95499999999998</v>
      </c>
      <c r="L14" s="16">
        <f>(Table3[[#This Row],[SharesOutstanding]]-K13)/K13</f>
        <v>1.0545985904733466E-2</v>
      </c>
    </row>
    <row r="15" spans="2:12" x14ac:dyDescent="0.25">
      <c r="B15" t="s">
        <v>29</v>
      </c>
      <c r="C15">
        <v>1277.049</v>
      </c>
      <c r="D15" s="16">
        <f>(Table3[[#This Row],[Revenue]]-C14)/C14</f>
        <v>0.28217771084337345</v>
      </c>
      <c r="E15">
        <v>-96.164000000000001</v>
      </c>
      <c r="F15" s="16">
        <f>(Table3[[#This Row],[Dividend]]-E14)/E14</f>
        <v>0.1492972559518119</v>
      </c>
      <c r="G15">
        <v>0.4</v>
      </c>
      <c r="H15" s="16">
        <f>(Table3[[#This Row],[DivPerShare]]-G14)/G14</f>
        <v>0.14285714285714299</v>
      </c>
      <c r="I15">
        <v>8061.5870000000004</v>
      </c>
      <c r="J15" s="16">
        <f>(Table3[[#This Row],[MarketValue]]-I14)/I14</f>
        <v>0.36076088356424862</v>
      </c>
      <c r="K15">
        <v>268.733</v>
      </c>
      <c r="L15" s="16">
        <f>(Table3[[#This Row],[SharesOutstanding]]-K14)/K14</f>
        <v>4.1782481440561417E-2</v>
      </c>
    </row>
    <row r="16" spans="2:12" x14ac:dyDescent="0.25">
      <c r="B16" t="s">
        <v>30</v>
      </c>
      <c r="C16">
        <v>1512.2</v>
      </c>
      <c r="D16" s="16">
        <f>(Table3[[#This Row],[Revenue]]-C15)/C15</f>
        <v>0.18413623909497606</v>
      </c>
      <c r="E16">
        <v>-119.5</v>
      </c>
      <c r="F16" s="16">
        <f>(Table3[[#This Row],[Dividend]]-E15)/E15</f>
        <v>0.24266877417744684</v>
      </c>
      <c r="G16">
        <v>0.48499999999999999</v>
      </c>
      <c r="H16" s="16">
        <f>(Table3[[#This Row],[DivPerShare]]-G15)/G15</f>
        <v>0.21249999999999991</v>
      </c>
      <c r="I16">
        <v>9486.1190000000006</v>
      </c>
      <c r="J16" s="16">
        <f>(Table3[[#This Row],[MarketValue]]-I15)/I15</f>
        <v>0.176706149794079</v>
      </c>
      <c r="K16">
        <v>272.78500000000003</v>
      </c>
      <c r="L16" s="16">
        <f>(Table3[[#This Row],[SharesOutstanding]]-K15)/K15</f>
        <v>1.5078163083804448E-2</v>
      </c>
    </row>
    <row r="17" spans="2:12" x14ac:dyDescent="0.25">
      <c r="B17" t="s">
        <v>31</v>
      </c>
      <c r="C17">
        <v>1815</v>
      </c>
      <c r="D17" s="16">
        <f>(Table3[[#This Row],[Revenue]]-C16)/C16</f>
        <v>0.20023806374818143</v>
      </c>
      <c r="E17">
        <v>-147.6</v>
      </c>
      <c r="F17" s="16">
        <f>(Table3[[#This Row],[Dividend]]-E16)/E16</f>
        <v>0.23514644351464431</v>
      </c>
      <c r="G17">
        <v>0.59</v>
      </c>
      <c r="H17" s="16">
        <f>(Table3[[#This Row],[DivPerShare]]-G16)/G16</f>
        <v>0.21649484536082472</v>
      </c>
      <c r="I17">
        <v>11597.299000000001</v>
      </c>
      <c r="J17" s="16">
        <f>(Table3[[#This Row],[MarketValue]]-I16)/I16</f>
        <v>0.22255466118441064</v>
      </c>
      <c r="K17">
        <v>278.73700000000002</v>
      </c>
      <c r="L17" s="16">
        <f>(Table3[[#This Row],[SharesOutstanding]]-K16)/K16</f>
        <v>2.181938156423556E-2</v>
      </c>
    </row>
    <row r="18" spans="2:12" x14ac:dyDescent="0.25">
      <c r="B18" t="s">
        <v>32</v>
      </c>
      <c r="C18">
        <v>2228.3000000000002</v>
      </c>
      <c r="D18" s="16">
        <f>(Table3[[#This Row],[Revenue]]-C17)/C17</f>
        <v>0.22771349862258963</v>
      </c>
      <c r="E18">
        <v>-180.3</v>
      </c>
      <c r="F18" s="16">
        <f>(Table3[[#This Row],[Dividend]]-E17)/E17</f>
        <v>0.22154471544715459</v>
      </c>
      <c r="G18">
        <v>0.75</v>
      </c>
      <c r="H18" s="16">
        <f>(Table3[[#This Row],[DivPerShare]]-G17)/G17</f>
        <v>0.27118644067796616</v>
      </c>
      <c r="I18">
        <v>16109.152</v>
      </c>
      <c r="J18" s="16">
        <f>(Table3[[#This Row],[MarketValue]]-I17)/I17</f>
        <v>0.38904343157833549</v>
      </c>
      <c r="K18">
        <v>279.2</v>
      </c>
      <c r="L18" s="16">
        <f>(Table3[[#This Row],[SharesOutstanding]]-K17)/K17</f>
        <v>1.6610640137476023E-3</v>
      </c>
    </row>
    <row r="19" spans="2:12" x14ac:dyDescent="0.25">
      <c r="B19" t="s">
        <v>33</v>
      </c>
      <c r="C19">
        <v>2116.3000000000002</v>
      </c>
      <c r="D19" s="16">
        <f>(Table3[[#This Row],[Revenue]]-C18)/C18</f>
        <v>-5.0262531975048236E-2</v>
      </c>
      <c r="E19">
        <v>-312.5</v>
      </c>
      <c r="F19" s="16">
        <f>(Table3[[#This Row],[Dividend]]-E18)/E18</f>
        <v>0.73322240709927888</v>
      </c>
      <c r="G19">
        <v>0.96</v>
      </c>
      <c r="H19" s="16">
        <f>(Table3[[#This Row],[DivPerShare]]-G18)/G18</f>
        <v>0.27999999999999997</v>
      </c>
      <c r="I19">
        <v>9073.7739999999994</v>
      </c>
      <c r="J19" s="16">
        <f>(Table3[[#This Row],[MarketValue]]-I18)/I18</f>
        <v>-0.43673174106247187</v>
      </c>
      <c r="K19">
        <v>270.10000000000002</v>
      </c>
      <c r="L19" s="16">
        <f>(Table3[[#This Row],[SharesOutstanding]]-K18)/K18</f>
        <v>-3.2593123209168934E-2</v>
      </c>
    </row>
    <row r="20" spans="2:12" x14ac:dyDescent="0.25">
      <c r="B20" t="s">
        <v>34</v>
      </c>
      <c r="C20">
        <v>1867.4</v>
      </c>
      <c r="D20" s="16">
        <f>(Table3[[#This Row],[Revenue]]-C19)/C19</f>
        <v>-0.11761092472711812</v>
      </c>
      <c r="E20">
        <v>-256.89999999999998</v>
      </c>
      <c r="F20" s="16">
        <f>(Table3[[#This Row],[Dividend]]-E19)/E19</f>
        <v>-0.17792000000000008</v>
      </c>
      <c r="G20">
        <v>1</v>
      </c>
      <c r="H20" s="16">
        <f>(Table3[[#This Row],[DivPerShare]]-G19)/G19</f>
        <v>4.1666666666666706E-2</v>
      </c>
      <c r="I20">
        <v>13766.936</v>
      </c>
      <c r="J20" s="16">
        <f>(Table3[[#This Row],[MarketValue]]-I19)/I19</f>
        <v>0.51722271240169748</v>
      </c>
      <c r="K20">
        <v>262.3</v>
      </c>
      <c r="L20" s="16">
        <f>(Table3[[#This Row],[SharesOutstanding]]-K19)/K19</f>
        <v>-2.8878193261754944E-2</v>
      </c>
    </row>
    <row r="21" spans="2:12" x14ac:dyDescent="0.25">
      <c r="B21" t="s">
        <v>35</v>
      </c>
      <c r="C21">
        <v>2367.1999999999998</v>
      </c>
      <c r="D21" s="16">
        <f>(Table3[[#This Row],[Revenue]]-C20)/C20</f>
        <v>0.26764485380743264</v>
      </c>
      <c r="E21">
        <v>-278.89999999999998</v>
      </c>
      <c r="F21" s="16">
        <f>(Table3[[#This Row],[Dividend]]-E20)/E20</f>
        <v>8.563643441027638E-2</v>
      </c>
      <c r="G21">
        <v>1.08</v>
      </c>
      <c r="H21" s="16">
        <f>(Table3[[#This Row],[DivPerShare]]-G20)/G20</f>
        <v>8.0000000000000071E-2</v>
      </c>
      <c r="I21">
        <v>16700.37</v>
      </c>
      <c r="J21" s="16">
        <f>(Table3[[#This Row],[MarketValue]]-I20)/I20</f>
        <v>0.21307820418428614</v>
      </c>
      <c r="K21">
        <v>265.10000000000002</v>
      </c>
      <c r="L21" s="16">
        <f>(Table3[[#This Row],[SharesOutstanding]]-K20)/K20</f>
        <v>1.0674799847502902E-2</v>
      </c>
    </row>
    <row r="22" spans="2:12" x14ac:dyDescent="0.25">
      <c r="B22" t="s">
        <v>36</v>
      </c>
      <c r="C22">
        <v>2747.1</v>
      </c>
      <c r="D22" s="16">
        <f>(Table3[[#This Row],[Revenue]]-C21)/C21</f>
        <v>0.1604849611355188</v>
      </c>
      <c r="E22">
        <v>-317.89999999999998</v>
      </c>
      <c r="F22" s="16">
        <f>(Table3[[#This Row],[Dividend]]-E21)/E21</f>
        <v>0.13983506633201864</v>
      </c>
      <c r="G22">
        <v>1.24</v>
      </c>
      <c r="H22" s="16">
        <f>(Table3[[#This Row],[DivPerShare]]-G21)/G21</f>
        <v>0.14814814814814806</v>
      </c>
      <c r="I22">
        <v>14423.84</v>
      </c>
      <c r="J22" s="16">
        <f>(Table3[[#This Row],[MarketValue]]-I21)/I21</f>
        <v>-0.13631614149866134</v>
      </c>
      <c r="K22">
        <v>263.3</v>
      </c>
      <c r="L22" s="16">
        <f>(Table3[[#This Row],[SharesOutstanding]]-K21)/K21</f>
        <v>-6.7898906073180351E-3</v>
      </c>
    </row>
    <row r="23" spans="2:12" x14ac:dyDescent="0.25">
      <c r="B23" t="s">
        <v>37</v>
      </c>
      <c r="C23">
        <v>3022.5</v>
      </c>
      <c r="D23" s="16">
        <f>(Table3[[#This Row],[Revenue]]-C22)/C22</f>
        <v>0.1002511739652725</v>
      </c>
      <c r="E23">
        <v>-603.4</v>
      </c>
      <c r="F23" s="16">
        <f>(Table3[[#This Row],[Dividend]]-E22)/E22</f>
        <v>0.89808115759672857</v>
      </c>
      <c r="G23">
        <v>1.36</v>
      </c>
      <c r="H23" s="16">
        <f>(Table3[[#This Row],[DivPerShare]]-G22)/G22</f>
        <v>9.6774193548387177E-2</v>
      </c>
      <c r="I23">
        <v>16737.011999999999</v>
      </c>
      <c r="J23" s="16">
        <f>(Table3[[#This Row],[MarketValue]]-I22)/I22</f>
        <v>0.16037144061498176</v>
      </c>
      <c r="K23">
        <v>261</v>
      </c>
      <c r="L23" s="16">
        <f>(Table3[[#This Row],[SharesOutstanding]]-K22)/K22</f>
        <v>-8.7352829472085499E-3</v>
      </c>
    </row>
    <row r="24" spans="2:12" x14ac:dyDescent="0.25">
      <c r="B24" t="s">
        <v>38</v>
      </c>
      <c r="C24">
        <v>3484.2</v>
      </c>
      <c r="D24" s="16">
        <f>(Table3[[#This Row],[Revenue]]-C23)/C23</f>
        <v>0.15275434243176172</v>
      </c>
      <c r="E24">
        <v>-396.7</v>
      </c>
      <c r="F24" s="16">
        <f>(Table3[[#This Row],[Dividend]]-E23)/E23</f>
        <v>-0.34255883327809084</v>
      </c>
      <c r="G24">
        <v>1.52</v>
      </c>
      <c r="H24" s="16">
        <f>(Table3[[#This Row],[DivPerShare]]-G23)/G23</f>
        <v>0.11764705882352934</v>
      </c>
      <c r="I24">
        <v>21953.855</v>
      </c>
      <c r="J24" s="16">
        <f>(Table3[[#This Row],[MarketValue]]-I23)/I23</f>
        <v>0.31169500266833777</v>
      </c>
      <c r="K24">
        <v>266.3</v>
      </c>
      <c r="L24" s="16">
        <f>(Table3[[#This Row],[SharesOutstanding]]-K23)/K23</f>
        <v>2.0306513409961729E-2</v>
      </c>
    </row>
    <row r="25" spans="2:12" x14ac:dyDescent="0.25">
      <c r="B25" t="s">
        <v>39</v>
      </c>
      <c r="C25">
        <v>3982.1</v>
      </c>
      <c r="D25" s="16">
        <f>(Table3[[#This Row],[Revenue]]-C24)/C24</f>
        <v>0.14290224441765689</v>
      </c>
      <c r="E25">
        <v>-462.1</v>
      </c>
      <c r="F25" s="16">
        <f>(Table3[[#This Row],[Dividend]]-E24)/E24</f>
        <v>0.16486009579026981</v>
      </c>
      <c r="G25">
        <v>1.76</v>
      </c>
      <c r="H25" s="16">
        <f>(Table3[[#This Row],[DivPerShare]]-G24)/G24</f>
        <v>0.15789473684210525</v>
      </c>
      <c r="I25">
        <v>22418.904999999999</v>
      </c>
      <c r="J25" s="16">
        <f>(Table3[[#This Row],[MarketValue]]-I24)/I24</f>
        <v>2.118306784844845E-2</v>
      </c>
      <c r="K25">
        <v>267.39999999999998</v>
      </c>
      <c r="L25" s="16">
        <f>(Table3[[#This Row],[SharesOutstanding]]-K24)/K24</f>
        <v>4.1306796845661502E-3</v>
      </c>
    </row>
    <row r="26" spans="2:12" x14ac:dyDescent="0.25">
      <c r="B26" t="s">
        <v>40</v>
      </c>
      <c r="C26">
        <v>4200.6000000000004</v>
      </c>
      <c r="D26" s="16">
        <f>(Table3[[#This Row],[Revenue]]-C25)/C25</f>
        <v>5.4870545691971688E-2</v>
      </c>
      <c r="E26">
        <v>-1059</v>
      </c>
      <c r="F26" s="16">
        <f>(Table3[[#This Row],[Dividend]]-E25)/E25</f>
        <v>1.2917117507033109</v>
      </c>
      <c r="G26">
        <v>2.08</v>
      </c>
      <c r="H26" s="16">
        <f>(Table3[[#This Row],[DivPerShare]]-G25)/G25</f>
        <v>0.18181818181818185</v>
      </c>
      <c r="I26">
        <v>17906.028999999999</v>
      </c>
      <c r="J26" s="16">
        <f>(Table3[[#This Row],[MarketValue]]-I25)/I25</f>
        <v>-0.20129778862973016</v>
      </c>
      <c r="K26">
        <v>260.89999999999998</v>
      </c>
      <c r="L26" s="16">
        <f>(Table3[[#This Row],[SharesOutstanding]]-K25)/K25</f>
        <v>-2.4308152580403891E-2</v>
      </c>
    </row>
    <row r="27" spans="2:12" x14ac:dyDescent="0.25">
      <c r="B27" t="s">
        <v>41</v>
      </c>
      <c r="C27">
        <v>4284.8</v>
      </c>
      <c r="D27" s="16">
        <f>(Table3[[#This Row],[Revenue]]-C26)/C26</f>
        <v>2.0044755511117413E-2</v>
      </c>
      <c r="E27">
        <v>-540.79999999999995</v>
      </c>
      <c r="F27" s="16">
        <f>(Table3[[#This Row],[Dividend]]-E26)/E26</f>
        <v>-0.48932955618508028</v>
      </c>
      <c r="G27">
        <v>2.16</v>
      </c>
      <c r="H27" s="16">
        <f>(Table3[[#This Row],[DivPerShare]]-G26)/G26</f>
        <v>3.8461538461538491E-2</v>
      </c>
      <c r="I27">
        <v>18422.444</v>
      </c>
      <c r="J27" s="16">
        <f>(Table3[[#This Row],[MarketValue]]-I26)/I26</f>
        <v>2.8840286140494966E-2</v>
      </c>
      <c r="K27">
        <v>250.3</v>
      </c>
      <c r="L27" s="16">
        <f>(Table3[[#This Row],[SharesOutstanding]]-K26)/K26</f>
        <v>-4.0628593330777951E-2</v>
      </c>
    </row>
    <row r="28" spans="2:12" x14ac:dyDescent="0.25">
      <c r="B28" t="s">
        <v>42</v>
      </c>
      <c r="C28">
        <v>4854.8999999999996</v>
      </c>
      <c r="D28" s="16">
        <f>(Table3[[#This Row],[Revenue]]-C27)/C27</f>
        <v>0.13305171769977581</v>
      </c>
      <c r="E28">
        <v>-563.1</v>
      </c>
      <c r="F28" s="16">
        <f>(Table3[[#This Row],[Dividend]]-E27)/E27</f>
        <v>4.1235207100591843E-2</v>
      </c>
      <c r="G28">
        <v>2.2799999999999998</v>
      </c>
      <c r="H28" s="16">
        <f>(Table3[[#This Row],[DivPerShare]]-G27)/G27</f>
        <v>5.5555555555555393E-2</v>
      </c>
      <c r="I28">
        <v>25719.496999999999</v>
      </c>
      <c r="J28" s="16">
        <f>(Table3[[#This Row],[MarketValue]]-I27)/I27</f>
        <v>0.3960958166028351</v>
      </c>
      <c r="K28">
        <v>245.1</v>
      </c>
      <c r="L28" s="16">
        <f>(Table3[[#This Row],[SharesOutstanding]]-K27)/K27</f>
        <v>-2.0775069916100748E-2</v>
      </c>
    </row>
    <row r="29" spans="2:12" x14ac:dyDescent="0.25">
      <c r="B29" t="s">
        <v>43</v>
      </c>
      <c r="C29">
        <v>5372.6</v>
      </c>
      <c r="D29" s="16">
        <f>(Table3[[#This Row],[Revenue]]-C28)/C28</f>
        <v>0.10663453418196066</v>
      </c>
      <c r="E29">
        <v>-694.3</v>
      </c>
      <c r="F29" s="16">
        <f>(Table3[[#This Row],[Dividend]]-E28)/E28</f>
        <v>0.23299591546794518</v>
      </c>
      <c r="G29">
        <v>2.8</v>
      </c>
      <c r="H29" s="16">
        <f>(Table3[[#This Row],[DivPerShare]]-G28)/G28</f>
        <v>0.22807017543859651</v>
      </c>
      <c r="I29">
        <v>21978.53</v>
      </c>
      <c r="J29" s="16">
        <f>(Table3[[#This Row],[MarketValue]]-I28)/I28</f>
        <v>-0.14545257242005941</v>
      </c>
      <c r="K29">
        <v>246.9</v>
      </c>
      <c r="L29" s="16">
        <f>(Table3[[#This Row],[SharesOutstanding]]-K28)/K28</f>
        <v>7.3439412484700584E-3</v>
      </c>
    </row>
    <row r="30" spans="2:12" x14ac:dyDescent="0.25">
      <c r="B30" t="s">
        <v>44</v>
      </c>
      <c r="C30">
        <v>5617.9</v>
      </c>
      <c r="D30" s="16">
        <f>(Table3[[#This Row],[Revenue]]-C29)/C29</f>
        <v>4.5657595949819316E-2</v>
      </c>
      <c r="E30">
        <v>-733.9</v>
      </c>
      <c r="F30" s="16">
        <f>(Table3[[#This Row],[Dividend]]-E29)/E29</f>
        <v>5.7035863459599635E-2</v>
      </c>
      <c r="G30">
        <v>3.04</v>
      </c>
      <c r="H30" s="16">
        <f>(Table3[[#This Row],[DivPerShare]]-G29)/G29</f>
        <v>8.5714285714285798E-2</v>
      </c>
      <c r="I30">
        <v>28658.473999999998</v>
      </c>
      <c r="J30" s="16">
        <f>(Table3[[#This Row],[MarketValue]]-I29)/I29</f>
        <v>0.30393042664818803</v>
      </c>
      <c r="K30">
        <v>238.6</v>
      </c>
      <c r="L30" s="16">
        <f>(Table3[[#This Row],[SharesOutstanding]]-K29)/K29</f>
        <v>-3.3616848926691013E-2</v>
      </c>
    </row>
    <row r="31" spans="2:12" x14ac:dyDescent="0.25">
      <c r="B31" t="s">
        <v>45</v>
      </c>
      <c r="C31">
        <v>6206.7</v>
      </c>
      <c r="D31" s="16">
        <f>(Table3[[#This Row],[Revenue]]-C30)/C30</f>
        <v>0.10480784634827965</v>
      </c>
      <c r="E31">
        <v>-845.8</v>
      </c>
      <c r="F31" s="16">
        <f>(Table3[[#This Row],[Dividend]]-E30)/E30</f>
        <v>0.15247308897669978</v>
      </c>
      <c r="G31">
        <v>3.6</v>
      </c>
      <c r="H31" s="16">
        <f>(Table3[[#This Row],[DivPerShare]]-G30)/G30</f>
        <v>0.18421052631578949</v>
      </c>
      <c r="I31">
        <v>34511.620999999999</v>
      </c>
      <c r="J31" s="16">
        <f>(Table3[[#This Row],[MarketValue]]-I30)/I30</f>
        <v>0.20423791580807832</v>
      </c>
      <c r="K31">
        <v>231.2</v>
      </c>
      <c r="L31" s="16">
        <f>(Table3[[#This Row],[SharesOutstanding]]-K30)/K30</f>
        <v>-3.1014249790444284E-2</v>
      </c>
    </row>
    <row r="32" spans="2:12" x14ac:dyDescent="0.25">
      <c r="B32" t="s">
        <v>46</v>
      </c>
      <c r="C32">
        <v>7671.9</v>
      </c>
      <c r="D32" s="16">
        <f>(Table3[[#This Row],[Revenue]]-C31)/C31</f>
        <v>0.23606747547005652</v>
      </c>
      <c r="E32">
        <v>-1701.9</v>
      </c>
      <c r="F32" s="16">
        <f>(Table3[[#This Row],[Dividend]]-E31)/E31</f>
        <v>1.0121778198155595</v>
      </c>
      <c r="G32">
        <v>4.32</v>
      </c>
      <c r="H32" s="16">
        <f>(Table3[[#This Row],[DivPerShare]]-G31)/G31</f>
        <v>0.20000000000000004</v>
      </c>
      <c r="I32">
        <v>45064.972000000002</v>
      </c>
      <c r="J32" s="16">
        <f>(Table3[[#This Row],[MarketValue]]-I31)/I31</f>
        <v>0.30579122898921507</v>
      </c>
      <c r="K32">
        <v>228.8</v>
      </c>
      <c r="L32" s="16">
        <f>(Table3[[#This Row],[SharesOutstanding]]-K31)/K31</f>
        <v>-1.0380622837370145E-2</v>
      </c>
    </row>
    <row r="33" spans="7:10" x14ac:dyDescent="0.25">
      <c r="G33">
        <v>4.8</v>
      </c>
      <c r="H33" s="16">
        <f>(Table3[[#This Row],[DivPerShare]]-G32)/G32</f>
        <v>0.11111111111111099</v>
      </c>
      <c r="J33" s="1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R32"/>
  <sheetViews>
    <sheetView workbookViewId="0">
      <selection activeCell="P32" sqref="P32"/>
    </sheetView>
  </sheetViews>
  <sheetFormatPr defaultRowHeight="15" x14ac:dyDescent="0.25"/>
  <cols>
    <col min="2" max="2" width="12.42578125" customWidth="1"/>
    <col min="4" max="4" width="11.28515625" bestFit="1" customWidth="1"/>
    <col min="5" max="5" width="11.140625" customWidth="1"/>
    <col min="6" max="6" width="20.5703125" customWidth="1"/>
    <col min="9" max="9" width="12.5703125" bestFit="1" customWidth="1"/>
    <col min="10" max="10" width="15.5703125" bestFit="1" customWidth="1"/>
    <col min="11" max="11" width="10.5703125" bestFit="1" customWidth="1"/>
    <col min="12" max="12" width="21.5703125" bestFit="1" customWidth="1"/>
    <col min="13" max="13" width="18.5703125" bestFit="1" customWidth="1"/>
    <col min="15" max="15" width="15.85546875" bestFit="1" customWidth="1"/>
    <col min="16" max="16" width="13.140625" bestFit="1" customWidth="1"/>
    <col min="18" max="18" width="16.140625" bestFit="1" customWidth="1"/>
  </cols>
  <sheetData>
    <row r="2" spans="2:18" x14ac:dyDescent="0.25">
      <c r="B2" t="s">
        <v>5</v>
      </c>
      <c r="C2" t="s">
        <v>85</v>
      </c>
      <c r="D2" t="s">
        <v>86</v>
      </c>
      <c r="E2" t="s">
        <v>54</v>
      </c>
      <c r="F2" t="s">
        <v>87</v>
      </c>
      <c r="I2" t="s">
        <v>5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</row>
    <row r="3" spans="2:18" x14ac:dyDescent="0.25">
      <c r="B3" t="s">
        <v>17</v>
      </c>
      <c r="C3" s="5">
        <v>1.6</v>
      </c>
      <c r="D3" s="5">
        <v>-5</v>
      </c>
      <c r="E3" s="5">
        <v>-10.4</v>
      </c>
      <c r="F3" s="5">
        <f>Table6[[#This Row],[Issues]]+Table6[[#This Row],[BuyBack]]+Table6[[#This Row],[Dividend]]</f>
        <v>-13.8</v>
      </c>
      <c r="I3" t="s">
        <v>17</v>
      </c>
      <c r="J3" s="5">
        <v>45.1</v>
      </c>
      <c r="K3" s="5">
        <v>26.5</v>
      </c>
      <c r="L3" s="5">
        <v>0</v>
      </c>
      <c r="M3" s="5">
        <v>31.6</v>
      </c>
      <c r="N3" s="5">
        <v>0</v>
      </c>
      <c r="O3" s="5">
        <v>61.7</v>
      </c>
      <c r="P3" s="5">
        <v>144.4</v>
      </c>
      <c r="Q3" s="5">
        <v>0</v>
      </c>
      <c r="R3" s="5">
        <v>44.8</v>
      </c>
    </row>
    <row r="4" spans="2:18" x14ac:dyDescent="0.25">
      <c r="B4" t="s">
        <v>18</v>
      </c>
      <c r="C4" s="5">
        <v>3</v>
      </c>
      <c r="D4" s="5">
        <v>-2.2999999999999998</v>
      </c>
      <c r="E4" s="5">
        <v>-12.1</v>
      </c>
      <c r="F4" s="5">
        <f>Table6[[#This Row],[Issues]]+Table6[[#This Row],[BuyBack]]+Table6[[#This Row],[Dividend]]</f>
        <v>-11.399999999999999</v>
      </c>
      <c r="I4" t="s">
        <v>18</v>
      </c>
      <c r="J4" s="5">
        <v>38.299999999999997</v>
      </c>
      <c r="K4" s="5">
        <v>26.1</v>
      </c>
      <c r="L4" s="5">
        <v>0</v>
      </c>
      <c r="M4" s="5">
        <v>97</v>
      </c>
      <c r="N4" s="5">
        <v>0</v>
      </c>
      <c r="O4" s="5">
        <v>140.1</v>
      </c>
      <c r="P4" s="5">
        <v>123.3</v>
      </c>
      <c r="Q4" s="5">
        <v>0</v>
      </c>
      <c r="R4" s="5">
        <v>58.3</v>
      </c>
    </row>
    <row r="5" spans="2:18" x14ac:dyDescent="0.25">
      <c r="B5" t="s">
        <v>19</v>
      </c>
      <c r="C5" s="5">
        <v>-26.4</v>
      </c>
      <c r="D5" s="5">
        <v>0</v>
      </c>
      <c r="E5" s="5">
        <v>-15.1</v>
      </c>
      <c r="F5" s="5">
        <f>Table6[[#This Row],[Issues]]+Table6[[#This Row],[BuyBack]]+Table6[[#This Row],[Dividend]]</f>
        <v>-41.5</v>
      </c>
      <c r="I5" t="s">
        <v>19</v>
      </c>
      <c r="J5" s="5">
        <v>111.1</v>
      </c>
      <c r="K5" s="5">
        <v>93.7</v>
      </c>
      <c r="L5" s="5">
        <v>0</v>
      </c>
      <c r="M5" s="5">
        <v>121.7</v>
      </c>
      <c r="N5" s="5">
        <v>0</v>
      </c>
      <c r="O5" s="5">
        <v>168.4</v>
      </c>
      <c r="P5" s="5">
        <v>128.9</v>
      </c>
      <c r="Q5" s="5">
        <v>0</v>
      </c>
      <c r="R5" s="5">
        <v>64.8</v>
      </c>
    </row>
    <row r="6" spans="2:18" x14ac:dyDescent="0.25">
      <c r="B6" t="s">
        <v>20</v>
      </c>
      <c r="C6" s="5">
        <v>-9.6999999999999993</v>
      </c>
      <c r="D6" s="5">
        <v>0</v>
      </c>
      <c r="E6" s="5">
        <v>-18.3</v>
      </c>
      <c r="F6" s="5">
        <f>Table6[[#This Row],[Issues]]+Table6[[#This Row],[BuyBack]]+Table6[[#This Row],[Dividend]]</f>
        <v>-28</v>
      </c>
      <c r="I6" t="s">
        <v>20</v>
      </c>
      <c r="J6" s="5">
        <v>101.8</v>
      </c>
      <c r="K6" s="5">
        <v>77.900000000000006</v>
      </c>
      <c r="L6" s="5">
        <v>0</v>
      </c>
      <c r="M6" s="5">
        <v>149.6</v>
      </c>
      <c r="N6" s="5">
        <v>0</v>
      </c>
      <c r="O6" s="5">
        <v>205.4</v>
      </c>
      <c r="P6" s="5">
        <v>159.9</v>
      </c>
      <c r="Q6" s="5">
        <v>0</v>
      </c>
      <c r="R6" s="5">
        <v>69.5</v>
      </c>
    </row>
    <row r="7" spans="2:18" x14ac:dyDescent="0.25">
      <c r="B7" t="s">
        <v>21</v>
      </c>
      <c r="C7" s="5">
        <v>5.0999999999999996</v>
      </c>
      <c r="D7" s="5">
        <v>-19.7</v>
      </c>
      <c r="E7" s="5">
        <v>-24.1</v>
      </c>
      <c r="F7" s="5">
        <f>Table6[[#This Row],[Issues]]+Table6[[#This Row],[BuyBack]]+Table6[[#This Row],[Dividend]]</f>
        <v>-38.700000000000003</v>
      </c>
      <c r="I7" t="s">
        <v>21</v>
      </c>
      <c r="J7" s="5">
        <v>141.19999999999999</v>
      </c>
      <c r="K7" s="5">
        <v>82.4</v>
      </c>
      <c r="L7" s="5">
        <v>0</v>
      </c>
      <c r="M7" s="5">
        <v>168.6</v>
      </c>
      <c r="N7" s="5">
        <v>0</v>
      </c>
      <c r="O7" s="5">
        <v>241.8</v>
      </c>
      <c r="P7" s="5">
        <v>237</v>
      </c>
      <c r="Q7" s="5">
        <v>0</v>
      </c>
      <c r="R7" s="5">
        <v>94.9</v>
      </c>
    </row>
    <row r="8" spans="2:18" x14ac:dyDescent="0.25">
      <c r="B8" t="s">
        <v>22</v>
      </c>
      <c r="C8" s="5">
        <v>15.1</v>
      </c>
      <c r="D8" s="5">
        <v>-9.6999999999999993</v>
      </c>
      <c r="E8" s="5">
        <v>-30.1</v>
      </c>
      <c r="F8" s="5">
        <f>Table6[[#This Row],[Issues]]+Table6[[#This Row],[BuyBack]]+Table6[[#This Row],[Dividend]]</f>
        <v>-24.700000000000003</v>
      </c>
      <c r="I8" t="s">
        <v>22</v>
      </c>
      <c r="J8" s="5">
        <v>197.8</v>
      </c>
      <c r="K8" s="5">
        <v>127.7</v>
      </c>
      <c r="L8" s="5">
        <v>0</v>
      </c>
      <c r="M8" s="5">
        <v>173.7</v>
      </c>
      <c r="N8" s="5">
        <v>0</v>
      </c>
      <c r="O8" s="5">
        <v>260.5</v>
      </c>
      <c r="P8" s="5">
        <v>385.6</v>
      </c>
      <c r="Q8" s="5">
        <v>0</v>
      </c>
      <c r="R8" s="5">
        <v>109.6</v>
      </c>
    </row>
    <row r="9" spans="2:18" x14ac:dyDescent="0.25">
      <c r="B9" t="s">
        <v>23</v>
      </c>
      <c r="C9" s="5">
        <v>12.901</v>
      </c>
      <c r="D9" s="5">
        <v>-36.423999999999999</v>
      </c>
      <c r="E9" s="5">
        <v>-40.405999999999999</v>
      </c>
      <c r="F9" s="5">
        <f>Table6[[#This Row],[Issues]]+Table6[[#This Row],[BuyBack]]+Table6[[#This Row],[Dividend]]</f>
        <v>-63.929000000000002</v>
      </c>
      <c r="I9" t="s">
        <v>23</v>
      </c>
      <c r="J9" s="5">
        <v>231.97499999999999</v>
      </c>
      <c r="K9" s="5">
        <v>175.417</v>
      </c>
      <c r="L9" s="5">
        <v>0</v>
      </c>
      <c r="M9" s="5">
        <v>0</v>
      </c>
      <c r="N9" s="5">
        <v>0</v>
      </c>
      <c r="O9" s="5">
        <v>0</v>
      </c>
      <c r="P9" s="5">
        <v>796.8</v>
      </c>
      <c r="Q9" s="5">
        <v>0</v>
      </c>
      <c r="R9" s="5">
        <v>182.5</v>
      </c>
    </row>
    <row r="10" spans="2:18" x14ac:dyDescent="0.25">
      <c r="B10" t="s">
        <v>24</v>
      </c>
      <c r="C10" s="5">
        <v>9.9670000000000005</v>
      </c>
      <c r="D10" s="5">
        <v>-67.418000000000006</v>
      </c>
      <c r="E10" s="5">
        <v>-48.241</v>
      </c>
      <c r="F10" s="5">
        <f>Table6[[#This Row],[Issues]]+Table6[[#This Row],[BuyBack]]+Table6[[#This Row],[Dividend]]</f>
        <v>-105.69200000000001</v>
      </c>
      <c r="I10" t="s">
        <v>24</v>
      </c>
      <c r="J10" s="5">
        <v>296.93700000000001</v>
      </c>
      <c r="K10" s="5">
        <v>219.52</v>
      </c>
      <c r="L10" s="5">
        <v>358.47199999999998</v>
      </c>
      <c r="M10" s="5">
        <v>233.92400000000001</v>
      </c>
      <c r="N10" s="5">
        <v>0</v>
      </c>
      <c r="O10" s="5">
        <v>714.03300000000002</v>
      </c>
      <c r="P10" s="5">
        <v>284.00599999999997</v>
      </c>
      <c r="Q10" s="5">
        <v>150</v>
      </c>
      <c r="R10" s="5">
        <v>17.635000000000002</v>
      </c>
    </row>
    <row r="11" spans="2:18" x14ac:dyDescent="0.25">
      <c r="B11" t="s">
        <v>25</v>
      </c>
      <c r="C11" s="5">
        <v>19.279</v>
      </c>
      <c r="D11" s="5">
        <v>0</v>
      </c>
      <c r="E11" s="5">
        <v>-62.88</v>
      </c>
      <c r="F11" s="5">
        <f>Table6[[#This Row],[Issues]]+Table6[[#This Row],[BuyBack]]+Table6[[#This Row],[Dividend]]</f>
        <v>-43.600999999999999</v>
      </c>
      <c r="I11" t="s">
        <v>25</v>
      </c>
      <c r="J11" s="5">
        <v>323</v>
      </c>
      <c r="K11" s="5">
        <v>237.38800000000001</v>
      </c>
      <c r="L11" s="5">
        <v>0</v>
      </c>
      <c r="M11" s="5">
        <v>0</v>
      </c>
      <c r="N11" s="5">
        <v>0</v>
      </c>
      <c r="O11" s="5">
        <v>0</v>
      </c>
      <c r="P11" s="5">
        <v>1469</v>
      </c>
      <c r="Q11" s="5">
        <v>0</v>
      </c>
      <c r="R11" s="5">
        <v>478</v>
      </c>
    </row>
    <row r="12" spans="2:18" x14ac:dyDescent="0.25">
      <c r="B12" t="s">
        <v>26</v>
      </c>
      <c r="C12" s="5">
        <v>13.102</v>
      </c>
      <c r="D12" s="5">
        <v>-30.922999999999998</v>
      </c>
      <c r="E12" s="5">
        <v>-73.837999999999994</v>
      </c>
      <c r="F12" s="5">
        <f>Table6[[#This Row],[Issues]]+Table6[[#This Row],[BuyBack]]+Table6[[#This Row],[Dividend]]</f>
        <v>-91.658999999999992</v>
      </c>
      <c r="I12" t="s">
        <v>26</v>
      </c>
      <c r="J12" s="5">
        <v>290</v>
      </c>
      <c r="K12" s="5">
        <v>248.625</v>
      </c>
      <c r="L12" s="5">
        <v>0</v>
      </c>
      <c r="M12" s="5">
        <v>0</v>
      </c>
      <c r="N12" s="5">
        <v>0</v>
      </c>
      <c r="O12" s="5">
        <v>0</v>
      </c>
      <c r="P12" s="5">
        <v>1313</v>
      </c>
      <c r="Q12" s="5">
        <v>0</v>
      </c>
      <c r="R12" s="5">
        <v>235</v>
      </c>
    </row>
    <row r="13" spans="2:18" x14ac:dyDescent="0.25">
      <c r="B13" t="s">
        <v>27</v>
      </c>
      <c r="C13" s="5">
        <v>25.32</v>
      </c>
      <c r="D13" s="5">
        <v>-95.772999999999996</v>
      </c>
      <c r="E13" s="5">
        <v>-78.700999999999993</v>
      </c>
      <c r="F13" s="5">
        <f>Table6[[#This Row],[Issues]]+Table6[[#This Row],[BuyBack]]+Table6[[#This Row],[Dividend]]</f>
        <v>-149.154</v>
      </c>
      <c r="I13" t="s">
        <v>27</v>
      </c>
      <c r="J13" s="5">
        <v>269</v>
      </c>
      <c r="K13" s="5">
        <v>242.953</v>
      </c>
      <c r="L13" s="5">
        <v>0</v>
      </c>
      <c r="M13" s="5">
        <v>0</v>
      </c>
      <c r="N13" s="5">
        <v>0</v>
      </c>
      <c r="O13" s="5">
        <v>0</v>
      </c>
      <c r="P13" s="5">
        <v>1370</v>
      </c>
      <c r="Q13" s="5">
        <v>0</v>
      </c>
      <c r="R13" s="5">
        <v>236</v>
      </c>
    </row>
    <row r="14" spans="2:18" x14ac:dyDescent="0.25">
      <c r="B14" t="s">
        <v>28</v>
      </c>
      <c r="C14" s="5">
        <v>27.169</v>
      </c>
      <c r="D14" s="5">
        <v>-19.963000000000001</v>
      </c>
      <c r="E14" s="5">
        <v>-83.671999999999997</v>
      </c>
      <c r="F14" s="5">
        <f>Table6[[#This Row],[Issues]]+Table6[[#This Row],[BuyBack]]+Table6[[#This Row],[Dividend]]</f>
        <v>-76.465999999999994</v>
      </c>
      <c r="I14" t="s">
        <v>28</v>
      </c>
      <c r="J14" s="5">
        <v>297</v>
      </c>
      <c r="K14" s="5">
        <v>265.25799999999998</v>
      </c>
      <c r="L14" s="5">
        <v>0</v>
      </c>
      <c r="M14" s="5">
        <v>0</v>
      </c>
      <c r="N14" s="5">
        <v>0</v>
      </c>
      <c r="O14" s="5">
        <v>0</v>
      </c>
      <c r="P14" s="5">
        <v>1547</v>
      </c>
      <c r="Q14" s="5">
        <v>0</v>
      </c>
      <c r="R14" s="5">
        <v>218</v>
      </c>
    </row>
    <row r="15" spans="2:18" x14ac:dyDescent="0.25">
      <c r="B15" t="s">
        <v>29</v>
      </c>
      <c r="C15" s="5">
        <v>75.149000000000001</v>
      </c>
      <c r="D15" s="5">
        <v>-18.334</v>
      </c>
      <c r="E15" s="5">
        <v>-96.164000000000001</v>
      </c>
      <c r="F15" s="5">
        <f>Table6[[#This Row],[Issues]]+Table6[[#This Row],[BuyBack]]+Table6[[#This Row],[Dividend]]</f>
        <v>-39.349000000000004</v>
      </c>
      <c r="I15" t="s">
        <v>29</v>
      </c>
      <c r="J15" s="5">
        <v>374.28</v>
      </c>
      <c r="K15" s="5">
        <v>331.21100000000001</v>
      </c>
      <c r="L15" s="5">
        <v>499.75</v>
      </c>
      <c r="M15" s="5">
        <v>329.23399999999998</v>
      </c>
      <c r="N15" s="5">
        <v>0</v>
      </c>
      <c r="O15" s="5">
        <v>987.32600000000002</v>
      </c>
      <c r="P15" s="5">
        <v>941.49900000000002</v>
      </c>
      <c r="Q15" s="5">
        <v>131</v>
      </c>
      <c r="R15" s="5">
        <v>100.52500000000001</v>
      </c>
    </row>
    <row r="16" spans="2:18" x14ac:dyDescent="0.25">
      <c r="B16" t="s">
        <v>30</v>
      </c>
      <c r="C16" s="5">
        <v>48</v>
      </c>
      <c r="D16" s="5">
        <v>-75.900000000000006</v>
      </c>
      <c r="E16" s="5">
        <v>-119.5</v>
      </c>
      <c r="F16" s="5">
        <f>Table6[[#This Row],[Issues]]+Table6[[#This Row],[BuyBack]]+Table6[[#This Row],[Dividend]]</f>
        <v>-147.4</v>
      </c>
      <c r="I16" t="s">
        <v>30</v>
      </c>
      <c r="J16" s="5">
        <v>539.5</v>
      </c>
      <c r="K16" s="5">
        <v>487.2</v>
      </c>
      <c r="L16" s="5">
        <v>803.6</v>
      </c>
      <c r="M16" s="5">
        <v>0</v>
      </c>
      <c r="N16" s="5">
        <v>0</v>
      </c>
      <c r="O16" s="5">
        <v>978.6</v>
      </c>
      <c r="P16" s="5">
        <v>1331.9</v>
      </c>
      <c r="Q16" s="5">
        <v>171</v>
      </c>
      <c r="R16" s="5">
        <v>103.4</v>
      </c>
    </row>
    <row r="17" spans="2:18" x14ac:dyDescent="0.25">
      <c r="B17" t="s">
        <v>31</v>
      </c>
      <c r="C17" s="5">
        <v>105.1</v>
      </c>
      <c r="D17" s="5">
        <v>-171</v>
      </c>
      <c r="E17" s="5">
        <v>-147.6</v>
      </c>
      <c r="F17" s="5">
        <f>Table6[[#This Row],[Issues]]+Table6[[#This Row],[BuyBack]]+Table6[[#This Row],[Dividend]]</f>
        <v>-213.5</v>
      </c>
      <c r="I17" t="s">
        <v>31</v>
      </c>
      <c r="J17" s="5">
        <v>593.20000000000005</v>
      </c>
      <c r="K17" s="5">
        <v>498.8</v>
      </c>
      <c r="L17" s="5">
        <v>773</v>
      </c>
      <c r="M17" s="5">
        <v>0</v>
      </c>
      <c r="N17" s="5">
        <v>0</v>
      </c>
      <c r="O17" s="5">
        <v>996.5</v>
      </c>
      <c r="P17" s="5">
        <v>1768.8</v>
      </c>
      <c r="Q17" s="5">
        <v>224</v>
      </c>
      <c r="R17" s="5">
        <v>114.4</v>
      </c>
    </row>
    <row r="18" spans="2:18" x14ac:dyDescent="0.25">
      <c r="B18" t="s">
        <v>32</v>
      </c>
      <c r="C18" s="5">
        <v>91.6</v>
      </c>
      <c r="D18" s="5">
        <v>-312.10000000000002</v>
      </c>
      <c r="E18" s="5">
        <v>-180.3</v>
      </c>
      <c r="F18" s="5">
        <f>Table6[[#This Row],[Issues]]+Table6[[#This Row],[BuyBack]]+Table6[[#This Row],[Dividend]]</f>
        <v>-400.80000000000007</v>
      </c>
      <c r="I18" t="s">
        <v>32</v>
      </c>
      <c r="J18" s="5">
        <v>758</v>
      </c>
      <c r="K18" s="5">
        <v>612.4</v>
      </c>
      <c r="L18" s="5">
        <v>785.1</v>
      </c>
      <c r="M18" s="5">
        <v>0</v>
      </c>
      <c r="N18" s="5">
        <v>0</v>
      </c>
      <c r="O18" s="5">
        <v>1050.4000000000001</v>
      </c>
      <c r="P18" s="5">
        <v>2126.9</v>
      </c>
      <c r="Q18" s="5">
        <v>285.89999999999998</v>
      </c>
      <c r="R18" s="5">
        <v>114.3</v>
      </c>
    </row>
    <row r="19" spans="2:18" x14ac:dyDescent="0.25">
      <c r="B19" t="s">
        <v>33</v>
      </c>
      <c r="C19" s="5">
        <v>100.4</v>
      </c>
      <c r="D19" s="5">
        <v>-614.20000000000005</v>
      </c>
      <c r="E19" s="5">
        <v>-312.5</v>
      </c>
      <c r="F19" s="5">
        <f>Table6[[#This Row],[Issues]]+Table6[[#This Row],[BuyBack]]+Table6[[#This Row],[Dividend]]</f>
        <v>-826.30000000000007</v>
      </c>
      <c r="I19" t="s">
        <v>33</v>
      </c>
      <c r="J19" s="5">
        <v>741.8</v>
      </c>
      <c r="K19" s="5">
        <v>597.70000000000005</v>
      </c>
      <c r="L19" s="5">
        <v>619.1</v>
      </c>
      <c r="M19" s="5">
        <v>0</v>
      </c>
      <c r="N19" s="5">
        <v>0</v>
      </c>
      <c r="O19" s="5">
        <v>796.4</v>
      </c>
      <c r="P19" s="5">
        <v>2023</v>
      </c>
      <c r="Q19" s="5">
        <v>172.8</v>
      </c>
      <c r="R19" s="5">
        <v>157.80000000000001</v>
      </c>
    </row>
    <row r="20" spans="2:18" x14ac:dyDescent="0.25">
      <c r="B20" t="s">
        <v>34</v>
      </c>
      <c r="C20" s="5">
        <v>47.7</v>
      </c>
      <c r="D20" s="5">
        <v>-71</v>
      </c>
      <c r="E20" s="5">
        <v>-256.89999999999998</v>
      </c>
      <c r="F20" s="5">
        <f>Table6[[#This Row],[Issues]]+Table6[[#This Row],[BuyBack]]+Table6[[#This Row],[Dividend]]</f>
        <v>-280.2</v>
      </c>
      <c r="I20" t="s">
        <v>34</v>
      </c>
      <c r="J20" s="5">
        <v>535.6</v>
      </c>
      <c r="K20" s="5">
        <v>401.7</v>
      </c>
      <c r="L20" s="5">
        <v>743.3</v>
      </c>
      <c r="M20" s="5">
        <v>0</v>
      </c>
      <c r="N20" s="5">
        <v>0</v>
      </c>
      <c r="O20" s="5">
        <v>989.5</v>
      </c>
      <c r="P20" s="5">
        <v>2220.8000000000002</v>
      </c>
      <c r="Q20" s="5">
        <v>166.8</v>
      </c>
      <c r="R20" s="5">
        <v>161.30000000000001</v>
      </c>
    </row>
    <row r="21" spans="2:18" x14ac:dyDescent="0.25">
      <c r="B21" t="s">
        <v>35</v>
      </c>
      <c r="C21" s="5">
        <v>83</v>
      </c>
      <c r="D21" s="5">
        <v>-240</v>
      </c>
      <c r="E21" s="5">
        <v>-278.89999999999998</v>
      </c>
      <c r="F21" s="5">
        <f>Table6[[#This Row],[Issues]]+Table6[[#This Row],[BuyBack]]+Table6[[#This Row],[Dividend]]</f>
        <v>-435.9</v>
      </c>
      <c r="I21" t="s">
        <v>35</v>
      </c>
      <c r="J21" s="5">
        <v>732.8</v>
      </c>
      <c r="K21" s="5">
        <v>614.79999999999995</v>
      </c>
      <c r="L21" s="5">
        <v>813.1</v>
      </c>
      <c r="M21" s="5">
        <v>0</v>
      </c>
      <c r="N21" s="5">
        <v>0</v>
      </c>
      <c r="O21" s="5">
        <v>1121</v>
      </c>
      <c r="P21" s="5">
        <v>2521</v>
      </c>
      <c r="Q21" s="5">
        <v>185.1</v>
      </c>
      <c r="R21" s="5">
        <v>160.4</v>
      </c>
    </row>
    <row r="22" spans="2:18" x14ac:dyDescent="0.25">
      <c r="B22" t="s">
        <v>36</v>
      </c>
      <c r="C22" s="5">
        <v>50.6</v>
      </c>
      <c r="D22" s="5">
        <v>-479.7</v>
      </c>
      <c r="E22" s="5">
        <v>-317.89999999999998</v>
      </c>
      <c r="F22" s="5">
        <f>Table6[[#This Row],[Issues]]+Table6[[#This Row],[BuyBack]]+Table6[[#This Row],[Dividend]]</f>
        <v>-747</v>
      </c>
      <c r="I22" t="s">
        <v>36</v>
      </c>
      <c r="J22" s="5">
        <v>948.4</v>
      </c>
      <c r="K22" s="5">
        <v>866.1</v>
      </c>
      <c r="L22" s="5">
        <v>897.9</v>
      </c>
      <c r="M22" s="5">
        <v>0</v>
      </c>
      <c r="N22" s="5">
        <v>0</v>
      </c>
      <c r="O22" s="5">
        <v>1202.4000000000001</v>
      </c>
      <c r="P22" s="5">
        <v>2567.9</v>
      </c>
      <c r="Q22" s="5">
        <v>286.39999999999998</v>
      </c>
      <c r="R22" s="5">
        <v>63.2</v>
      </c>
    </row>
    <row r="23" spans="2:18" x14ac:dyDescent="0.25">
      <c r="B23" t="s">
        <v>37</v>
      </c>
      <c r="C23" s="5">
        <v>0</v>
      </c>
      <c r="D23" s="5">
        <v>-135.19999999999999</v>
      </c>
      <c r="E23" s="5">
        <v>-603.4</v>
      </c>
      <c r="F23" s="5">
        <f>Table6[[#This Row],[Issues]]+Table6[[#This Row],[BuyBack]]+Table6[[#This Row],[Dividend]]</f>
        <v>-738.59999999999991</v>
      </c>
      <c r="I23" t="s">
        <v>37</v>
      </c>
      <c r="J23" s="5">
        <v>902.8</v>
      </c>
      <c r="K23" s="5">
        <v>825.9</v>
      </c>
      <c r="L23" s="5">
        <v>879.1</v>
      </c>
      <c r="M23" s="5">
        <v>0</v>
      </c>
      <c r="N23" s="5">
        <v>0</v>
      </c>
      <c r="O23" s="5">
        <v>1233</v>
      </c>
      <c r="P23" s="5">
        <v>2969.8</v>
      </c>
      <c r="Q23" s="5">
        <v>265.89999999999998</v>
      </c>
      <c r="R23" s="5">
        <v>90.8</v>
      </c>
    </row>
    <row r="24" spans="2:18" x14ac:dyDescent="0.25">
      <c r="B24" t="s">
        <v>38</v>
      </c>
      <c r="C24" s="5">
        <v>0</v>
      </c>
      <c r="D24" s="5">
        <v>-14.1</v>
      </c>
      <c r="E24" s="5">
        <v>-396.7</v>
      </c>
      <c r="F24" s="5">
        <f>Table6[[#This Row],[Issues]]+Table6[[#This Row],[BuyBack]]+Table6[[#This Row],[Dividend]]</f>
        <v>-410.8</v>
      </c>
      <c r="I24" t="s">
        <v>38</v>
      </c>
      <c r="J24" s="5">
        <v>1233.2</v>
      </c>
      <c r="K24" s="5">
        <v>1127.4000000000001</v>
      </c>
      <c r="L24" s="5">
        <v>1398</v>
      </c>
      <c r="M24" s="5">
        <v>0</v>
      </c>
      <c r="N24" s="5">
        <v>0</v>
      </c>
      <c r="O24" s="5">
        <v>1796.8</v>
      </c>
      <c r="P24" s="5">
        <v>3236.3</v>
      </c>
      <c r="Q24" s="5">
        <v>142.6</v>
      </c>
      <c r="R24" s="5">
        <v>72.400000000000006</v>
      </c>
    </row>
    <row r="25" spans="2:18" x14ac:dyDescent="0.25">
      <c r="B25" t="s">
        <v>39</v>
      </c>
      <c r="C25" s="5">
        <v>0</v>
      </c>
      <c r="D25" s="5">
        <v>-415.5</v>
      </c>
      <c r="E25" s="5">
        <v>-462.1</v>
      </c>
      <c r="F25" s="5">
        <f>Table6[[#This Row],[Issues]]+Table6[[#This Row],[BuyBack]]+Table6[[#This Row],[Dividend]]</f>
        <v>-877.6</v>
      </c>
      <c r="I25" t="s">
        <v>39</v>
      </c>
      <c r="J25" s="5">
        <v>1343.9</v>
      </c>
      <c r="K25" s="5">
        <v>1217.7</v>
      </c>
      <c r="L25" s="5">
        <v>1506.1</v>
      </c>
      <c r="M25" s="5">
        <v>0</v>
      </c>
      <c r="N25" s="5">
        <v>0</v>
      </c>
      <c r="O25" s="5">
        <v>1948.9</v>
      </c>
      <c r="P25" s="5">
        <v>3695.5</v>
      </c>
      <c r="Q25" s="5">
        <v>167</v>
      </c>
      <c r="R25" s="5">
        <v>82.2</v>
      </c>
    </row>
    <row r="26" spans="2:18" x14ac:dyDescent="0.25">
      <c r="B26" t="s">
        <v>40</v>
      </c>
      <c r="C26" s="5">
        <v>0</v>
      </c>
      <c r="D26" s="5">
        <v>-987.8</v>
      </c>
      <c r="E26" s="5">
        <v>-1059</v>
      </c>
      <c r="F26" s="5">
        <f>Table6[[#This Row],[Issues]]+Table6[[#This Row],[BuyBack]]+Table6[[#This Row],[Dividend]]</f>
        <v>-2046.8</v>
      </c>
      <c r="I26" t="s">
        <v>40</v>
      </c>
      <c r="J26" s="5">
        <v>1530.5</v>
      </c>
      <c r="K26" s="5">
        <v>1379.2</v>
      </c>
      <c r="L26" s="5">
        <v>1172.3</v>
      </c>
      <c r="M26" s="5">
        <v>0</v>
      </c>
      <c r="N26" s="5">
        <v>0</v>
      </c>
      <c r="O26" s="5">
        <v>1618.3</v>
      </c>
      <c r="P26" s="5">
        <v>3488.6</v>
      </c>
      <c r="Q26" s="5">
        <v>191.8</v>
      </c>
      <c r="R26" s="5">
        <v>153.1</v>
      </c>
    </row>
    <row r="27" spans="2:18" x14ac:dyDescent="0.25">
      <c r="B27" t="s">
        <v>41</v>
      </c>
      <c r="C27" s="5">
        <v>0</v>
      </c>
      <c r="D27" s="5">
        <v>-676.9</v>
      </c>
      <c r="E27" s="5">
        <v>-540.79999999999995</v>
      </c>
      <c r="F27" s="5">
        <f>Table6[[#This Row],[Issues]]+Table6[[#This Row],[BuyBack]]+Table6[[#This Row],[Dividend]]</f>
        <v>-1217.6999999999998</v>
      </c>
      <c r="I27" t="s">
        <v>41</v>
      </c>
      <c r="J27" s="5">
        <v>170.5</v>
      </c>
      <c r="K27" s="5">
        <v>22.2</v>
      </c>
      <c r="L27" s="5">
        <v>1204.9000000000001</v>
      </c>
      <c r="M27" s="5">
        <v>0</v>
      </c>
      <c r="N27" s="5">
        <v>0</v>
      </c>
      <c r="O27" s="5">
        <v>1660</v>
      </c>
      <c r="P27" s="5">
        <v>4565</v>
      </c>
      <c r="Q27" s="5">
        <v>220.1</v>
      </c>
      <c r="R27" s="5">
        <v>996.3</v>
      </c>
    </row>
    <row r="28" spans="2:18" x14ac:dyDescent="0.25">
      <c r="B28" t="s">
        <v>42</v>
      </c>
      <c r="C28" s="5">
        <v>0</v>
      </c>
      <c r="D28" s="5">
        <v>-458.1</v>
      </c>
      <c r="E28" s="5">
        <v>-563.1</v>
      </c>
      <c r="F28" s="5">
        <f>Table6[[#This Row],[Issues]]+Table6[[#This Row],[BuyBack]]+Table6[[#This Row],[Dividend]]</f>
        <v>-1021.2</v>
      </c>
      <c r="I28" t="s">
        <v>42</v>
      </c>
      <c r="J28" s="5">
        <v>229.5</v>
      </c>
      <c r="K28" s="5">
        <v>43.4</v>
      </c>
      <c r="L28" s="5">
        <v>1902.7</v>
      </c>
      <c r="M28" s="5">
        <v>0</v>
      </c>
      <c r="N28" s="5">
        <v>0</v>
      </c>
      <c r="O28" s="5">
        <v>2468</v>
      </c>
      <c r="P28" s="5">
        <v>5067.3999999999996</v>
      </c>
      <c r="Q28" s="5">
        <v>284.5</v>
      </c>
      <c r="R28" s="5">
        <v>1426.5</v>
      </c>
    </row>
    <row r="29" spans="2:18" x14ac:dyDescent="0.25">
      <c r="B29" t="s">
        <v>43</v>
      </c>
      <c r="C29" s="5">
        <v>0</v>
      </c>
      <c r="D29" s="5">
        <v>-1090.4000000000001</v>
      </c>
      <c r="E29" s="5">
        <v>-694.3</v>
      </c>
      <c r="F29" s="5">
        <f>Table6[[#This Row],[Issues]]+Table6[[#This Row],[BuyBack]]+Table6[[#This Row],[Dividend]]</f>
        <v>-1784.7</v>
      </c>
      <c r="I29" t="s">
        <v>43</v>
      </c>
      <c r="J29" s="5">
        <v>1619.9</v>
      </c>
      <c r="K29" s="5">
        <v>1451.4</v>
      </c>
      <c r="L29" s="5">
        <v>1425.2</v>
      </c>
      <c r="M29" s="5">
        <v>0</v>
      </c>
      <c r="N29" s="5">
        <v>0</v>
      </c>
      <c r="O29" s="5">
        <v>1974.8</v>
      </c>
      <c r="P29" s="5">
        <v>5714.5</v>
      </c>
      <c r="Q29" s="5">
        <v>282.7</v>
      </c>
      <c r="R29" s="5">
        <v>1282.3</v>
      </c>
    </row>
    <row r="30" spans="2:18" x14ac:dyDescent="0.25">
      <c r="B30" t="s">
        <v>44</v>
      </c>
      <c r="C30" s="5">
        <v>0</v>
      </c>
      <c r="D30" s="5">
        <v>-705.8</v>
      </c>
      <c r="E30" s="5">
        <v>-733.9</v>
      </c>
      <c r="F30" s="5">
        <f>Table6[[#This Row],[Issues]]+Table6[[#This Row],[BuyBack]]+Table6[[#This Row],[Dividend]]</f>
        <v>-1439.6999999999998</v>
      </c>
      <c r="I30" t="s">
        <v>44</v>
      </c>
      <c r="J30" s="5">
        <v>1522.7</v>
      </c>
      <c r="K30" s="5">
        <v>1318.1</v>
      </c>
      <c r="L30" s="5">
        <v>1781.8</v>
      </c>
      <c r="M30" s="5">
        <v>0</v>
      </c>
      <c r="N30" s="5">
        <v>0</v>
      </c>
      <c r="O30" s="5">
        <v>2428.4</v>
      </c>
      <c r="P30" s="5">
        <v>6902</v>
      </c>
      <c r="Q30" s="5">
        <v>246.3</v>
      </c>
      <c r="R30" s="5">
        <v>1982</v>
      </c>
    </row>
    <row r="31" spans="2:18" x14ac:dyDescent="0.25">
      <c r="B31" t="s">
        <v>45</v>
      </c>
      <c r="C31" s="5">
        <v>0</v>
      </c>
      <c r="D31" s="5">
        <v>-1201.9000000000001</v>
      </c>
      <c r="E31" s="5">
        <v>-845.8</v>
      </c>
      <c r="F31" s="5">
        <f>Table6[[#This Row],[Issues]]+Table6[[#This Row],[BuyBack]]+Table6[[#This Row],[Dividend]]</f>
        <v>-2047.7</v>
      </c>
      <c r="I31" t="s">
        <v>45</v>
      </c>
      <c r="J31" s="5">
        <v>1918.9</v>
      </c>
      <c r="K31" s="5">
        <v>1704.3</v>
      </c>
      <c r="L31" s="5">
        <v>2151.6999999999998</v>
      </c>
      <c r="M31" s="5">
        <v>0</v>
      </c>
      <c r="N31" s="5">
        <v>0</v>
      </c>
      <c r="O31" s="5">
        <v>3014.8</v>
      </c>
      <c r="P31" s="5">
        <v>7644.2</v>
      </c>
      <c r="Q31" s="5">
        <v>272.7</v>
      </c>
      <c r="R31" s="5">
        <v>1117.5999999999999</v>
      </c>
    </row>
    <row r="32" spans="2:18" x14ac:dyDescent="0.25">
      <c r="B32" t="s">
        <v>46</v>
      </c>
      <c r="C32" s="5">
        <v>0</v>
      </c>
      <c r="D32" s="5">
        <v>-1138.5</v>
      </c>
      <c r="E32" s="5">
        <v>-1701.9</v>
      </c>
      <c r="F32" s="5">
        <f>Table6[[#This Row],[Issues]]+Table6[[#This Row],[BuyBack]]+Table6[[#This Row],[Dividend]]</f>
        <v>-2840.4</v>
      </c>
      <c r="I32" t="s">
        <v>46</v>
      </c>
      <c r="J32" s="5">
        <v>3452</v>
      </c>
      <c r="K32" s="5">
        <v>3212.9</v>
      </c>
      <c r="L32" s="5">
        <v>1523.1</v>
      </c>
      <c r="M32" s="5">
        <v>0</v>
      </c>
      <c r="N32" s="5">
        <v>0</v>
      </c>
      <c r="O32" s="5">
        <v>2581.4</v>
      </c>
      <c r="P32" s="5">
        <v>9927.6</v>
      </c>
      <c r="Q32" s="5">
        <v>508.9</v>
      </c>
      <c r="R32" s="5">
        <v>1746.4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dimension ref="C2:L36"/>
  <sheetViews>
    <sheetView workbookViewId="0">
      <selection activeCell="D6" sqref="D6"/>
    </sheetView>
  </sheetViews>
  <sheetFormatPr defaultRowHeight="15" x14ac:dyDescent="0.25"/>
  <sheetData>
    <row r="2" spans="3:12" x14ac:dyDescent="0.25">
      <c r="C2" s="31" t="s">
        <v>88</v>
      </c>
      <c r="D2" s="31"/>
      <c r="G2" s="32" t="s">
        <v>93</v>
      </c>
      <c r="H2" s="32"/>
      <c r="K2" s="33" t="s">
        <v>94</v>
      </c>
      <c r="L2" s="34"/>
    </row>
    <row r="3" spans="3:12" x14ac:dyDescent="0.25">
      <c r="C3" s="31"/>
      <c r="D3" s="31"/>
      <c r="G3" s="32"/>
      <c r="H3" s="32"/>
      <c r="K3" s="34"/>
      <c r="L3" s="34"/>
    </row>
    <row r="4" spans="3:12" x14ac:dyDescent="0.25">
      <c r="C4" s="19" t="s">
        <v>89</v>
      </c>
      <c r="D4" s="20">
        <v>3.3</v>
      </c>
      <c r="G4" s="23" t="s">
        <v>92</v>
      </c>
      <c r="H4" s="24">
        <v>1</v>
      </c>
      <c r="K4" s="26" t="s">
        <v>92</v>
      </c>
      <c r="L4" s="27">
        <v>3</v>
      </c>
    </row>
    <row r="5" spans="3:12" x14ac:dyDescent="0.25">
      <c r="C5" s="19" t="s">
        <v>90</v>
      </c>
      <c r="D5" s="21">
        <v>0.08</v>
      </c>
      <c r="G5" s="23" t="s">
        <v>90</v>
      </c>
      <c r="H5" s="25">
        <v>0.08</v>
      </c>
      <c r="K5" s="26" t="s">
        <v>89</v>
      </c>
      <c r="L5" s="27">
        <v>1</v>
      </c>
    </row>
    <row r="6" spans="3:12" x14ac:dyDescent="0.25">
      <c r="C6" s="22" t="s">
        <v>91</v>
      </c>
      <c r="D6" s="22" t="s">
        <v>92</v>
      </c>
      <c r="G6" s="14" t="s">
        <v>91</v>
      </c>
      <c r="H6" s="14" t="s">
        <v>92</v>
      </c>
      <c r="K6" s="28" t="s">
        <v>91</v>
      </c>
      <c r="L6" s="28" t="s">
        <v>95</v>
      </c>
    </row>
    <row r="7" spans="3:12" x14ac:dyDescent="0.25">
      <c r="C7">
        <v>1</v>
      </c>
      <c r="D7" s="1">
        <f>$D$4*(1+$D$5)^C7</f>
        <v>3.5640000000000001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3.8491200000000001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4.1570496000000006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4.4896135680000011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4.8487826534400007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5.2366852657152014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5.6556200869724176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6.1080696939302115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6.5967152694446289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7.1244524910001994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7.6944086902802153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8.3099613855026337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8.9747582963428432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9.6927389600502725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10.468158076854296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11.305610723002639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12.21005958084285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13.18686434731028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14.241813495095103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15.381158574702711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16.611651260678929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17.940583361533246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19.375830030455905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20.925896432892376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22.599968147523771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24.407965599325671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26.360602847271725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28.469451075053463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30.747007161057741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33.206767733942364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dimension ref="B2:T32"/>
  <sheetViews>
    <sheetView tabSelected="1" workbookViewId="0">
      <selection activeCell="O17" sqref="O17"/>
    </sheetView>
  </sheetViews>
  <sheetFormatPr defaultRowHeight="15" x14ac:dyDescent="0.25"/>
  <cols>
    <col min="3" max="3" width="10" customWidth="1"/>
    <col min="4" max="4" width="14.42578125" customWidth="1"/>
  </cols>
  <sheetData>
    <row r="2" spans="2:20" x14ac:dyDescent="0.25">
      <c r="B2" t="s">
        <v>91</v>
      </c>
      <c r="C2" t="s">
        <v>96</v>
      </c>
      <c r="D2" t="s">
        <v>1</v>
      </c>
      <c r="E2" t="s">
        <v>100</v>
      </c>
      <c r="I2" s="35" t="s">
        <v>104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2:20" x14ac:dyDescent="0.25">
      <c r="B3">
        <v>1993</v>
      </c>
      <c r="C3" s="5">
        <v>5.6000000000000001E-2</v>
      </c>
      <c r="D3" s="5">
        <v>3.02</v>
      </c>
      <c r="E3" s="2">
        <f>Table7[[#This Row],[Coupon]]/Table7[[#This Row],[PriceMedian]]</f>
        <v>1.8543046357615896E-2</v>
      </c>
      <c r="I3" t="s">
        <v>91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1994</v>
      </c>
      <c r="C4" s="5">
        <v>6.9000000000000006E-2</v>
      </c>
      <c r="D4" s="5">
        <v>3.7649999999999899</v>
      </c>
      <c r="E4" s="2">
        <f>Table7[[#This Row],[Coupon]]/Table7[[#This Row],[PriceMedian]]</f>
        <v>1.8326693227091684E-2</v>
      </c>
      <c r="I4" t="s">
        <v>96</v>
      </c>
      <c r="J4" s="5">
        <v>4.8</v>
      </c>
      <c r="K4" s="5">
        <f>(J4*$J6)+J4</f>
        <v>5.52</v>
      </c>
      <c r="L4" s="5">
        <f t="shared" ref="L4:T4" si="0">(K4*$J6)+K4</f>
        <v>6.3479999999999999</v>
      </c>
      <c r="M4" s="5">
        <f t="shared" si="0"/>
        <v>7.3002000000000002</v>
      </c>
      <c r="N4" s="5">
        <f t="shared" si="0"/>
        <v>8.3952299999999997</v>
      </c>
      <c r="O4" s="5">
        <f t="shared" si="0"/>
        <v>9.6545144999999994</v>
      </c>
      <c r="P4" s="5">
        <f t="shared" si="0"/>
        <v>11.102691674999999</v>
      </c>
      <c r="Q4" s="5">
        <f t="shared" si="0"/>
        <v>12.768095426249999</v>
      </c>
      <c r="R4" s="5">
        <f t="shared" si="0"/>
        <v>14.6833097401875</v>
      </c>
      <c r="S4" s="5">
        <f t="shared" si="0"/>
        <v>16.885806201215626</v>
      </c>
      <c r="T4" s="5">
        <f t="shared" si="0"/>
        <v>19.41867713139797</v>
      </c>
    </row>
    <row r="5" spans="2:20" x14ac:dyDescent="0.25">
      <c r="B5">
        <v>1995</v>
      </c>
      <c r="C5" s="5">
        <v>8.5999999999999993E-2</v>
      </c>
      <c r="D5" s="5">
        <v>4.8049999999999997</v>
      </c>
      <c r="E5" s="2">
        <f>Table7[[#This Row],[Coupon]]/Table7[[#This Row],[PriceMedian]]</f>
        <v>1.7898022892819977E-2</v>
      </c>
      <c r="I5" t="s">
        <v>97</v>
      </c>
      <c r="J5" s="5">
        <v>135</v>
      </c>
      <c r="K5" s="1">
        <f>K4/$J7</f>
        <v>200.72727272727272</v>
      </c>
      <c r="L5" s="1">
        <f t="shared" ref="L5:T5" si="1">L4/$J7</f>
        <v>230.83636363636364</v>
      </c>
      <c r="M5" s="1">
        <f t="shared" si="1"/>
        <v>265.46181818181822</v>
      </c>
      <c r="N5" s="1">
        <f t="shared" si="1"/>
        <v>305.28109090909089</v>
      </c>
      <c r="O5" s="1">
        <f t="shared" si="1"/>
        <v>351.07325454545452</v>
      </c>
      <c r="P5" s="1">
        <f t="shared" si="1"/>
        <v>403.73424272727272</v>
      </c>
      <c r="Q5" s="1">
        <f t="shared" si="1"/>
        <v>464.2943791363636</v>
      </c>
      <c r="R5" s="1">
        <f t="shared" si="1"/>
        <v>533.93853600681814</v>
      </c>
      <c r="S5" s="1">
        <f t="shared" si="1"/>
        <v>614.02931640784095</v>
      </c>
      <c r="T5" s="1">
        <f t="shared" si="1"/>
        <v>706.13371386901713</v>
      </c>
    </row>
    <row r="6" spans="2:20" x14ac:dyDescent="0.25">
      <c r="B6">
        <v>1996</v>
      </c>
      <c r="C6" s="5">
        <v>0.158</v>
      </c>
      <c r="D6" s="5">
        <v>7.06</v>
      </c>
      <c r="E6" s="2">
        <f>Table7[[#This Row],[Coupon]]/Table7[[#This Row],[PriceMedian]]</f>
        <v>2.2379603399433429E-2</v>
      </c>
      <c r="I6" t="s">
        <v>98</v>
      </c>
      <c r="J6" s="29">
        <v>0.15</v>
      </c>
    </row>
    <row r="7" spans="2:20" x14ac:dyDescent="0.25">
      <c r="B7">
        <v>1997</v>
      </c>
      <c r="C7" s="5">
        <v>0.14000000000000001</v>
      </c>
      <c r="D7" s="5">
        <v>12.91</v>
      </c>
      <c r="E7" s="2">
        <f>Table7[[#This Row],[Coupon]]/Table7[[#This Row],[PriceMedian]]</f>
        <v>1.0844306738962046E-2</v>
      </c>
      <c r="I7" t="s">
        <v>99</v>
      </c>
      <c r="J7" s="2">
        <v>2.75E-2</v>
      </c>
    </row>
    <row r="8" spans="2:20" x14ac:dyDescent="0.25">
      <c r="B8">
        <v>1998</v>
      </c>
      <c r="C8" s="5">
        <v>0.17799999999999999</v>
      </c>
      <c r="D8" s="5">
        <v>17.38</v>
      </c>
      <c r="E8" s="2">
        <f>Table7[[#This Row],[Coupon]]/Table7[[#This Row],[PriceMedian]]</f>
        <v>1.0241657077100116E-2</v>
      </c>
      <c r="I8" t="s">
        <v>100</v>
      </c>
      <c r="J8" s="2">
        <f>J4/$J5</f>
        <v>3.5555555555555556E-2</v>
      </c>
      <c r="K8" s="2">
        <f t="shared" ref="K8:T8" si="2">K4/$J5</f>
        <v>4.0888888888888884E-2</v>
      </c>
      <c r="L8" s="2">
        <f t="shared" si="2"/>
        <v>4.7022222222222222E-2</v>
      </c>
      <c r="M8" s="2">
        <f t="shared" si="2"/>
        <v>5.4075555555555557E-2</v>
      </c>
      <c r="N8" s="2">
        <f t="shared" si="2"/>
        <v>6.2186888888888889E-2</v>
      </c>
      <c r="O8" s="2">
        <f t="shared" si="2"/>
        <v>7.1514922222222221E-2</v>
      </c>
      <c r="P8" s="2">
        <f t="shared" si="2"/>
        <v>8.2242160555555555E-2</v>
      </c>
      <c r="Q8" s="2">
        <f t="shared" si="2"/>
        <v>9.4578484638888891E-2</v>
      </c>
      <c r="R8" s="2">
        <f t="shared" si="2"/>
        <v>0.10876525733472223</v>
      </c>
      <c r="S8" s="2">
        <f t="shared" si="2"/>
        <v>0.12508004593493055</v>
      </c>
      <c r="T8" s="2">
        <f t="shared" si="2"/>
        <v>0.14384205282517015</v>
      </c>
    </row>
    <row r="9" spans="2:20" x14ac:dyDescent="0.25">
      <c r="B9">
        <v>1999</v>
      </c>
      <c r="C9" s="5">
        <v>0.215</v>
      </c>
      <c r="D9" s="5">
        <v>17.395</v>
      </c>
      <c r="E9" s="2">
        <f>Table7[[#This Row],[Coupon]]/Table7[[#This Row],[PriceMedian]]</f>
        <v>1.2359873526875538E-2</v>
      </c>
    </row>
    <row r="10" spans="2:20" x14ac:dyDescent="0.25">
      <c r="B10">
        <v>2000</v>
      </c>
      <c r="C10" s="5">
        <v>0.27</v>
      </c>
      <c r="D10" s="5">
        <v>20.425000000000001</v>
      </c>
      <c r="E10" s="2">
        <f>Table7[[#This Row],[Coupon]]/Table7[[#This Row],[PriceMedian]]</f>
        <v>1.3219094247246023E-2</v>
      </c>
    </row>
    <row r="11" spans="2:20" x14ac:dyDescent="0.25">
      <c r="B11">
        <v>2001</v>
      </c>
      <c r="C11" s="5">
        <v>0.30499999999999999</v>
      </c>
      <c r="D11" s="5">
        <v>17.574999999999999</v>
      </c>
      <c r="E11" s="2">
        <f>Table7[[#This Row],[Coupon]]/Table7[[#This Row],[PriceMedian]]</f>
        <v>1.7354196301564723E-2</v>
      </c>
      <c r="I11" s="35" t="s">
        <v>105</v>
      </c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</row>
    <row r="12" spans="2:20" x14ac:dyDescent="0.25">
      <c r="B12">
        <v>2002</v>
      </c>
      <c r="C12" s="5">
        <v>0.32500000000000001</v>
      </c>
      <c r="D12" s="5">
        <v>15.91</v>
      </c>
      <c r="E12" s="2">
        <f>Table7[[#This Row],[Coupon]]/Table7[[#This Row],[PriceMedian]]</f>
        <v>2.0427404148334383E-2</v>
      </c>
      <c r="I12" t="s">
        <v>91</v>
      </c>
      <c r="J12">
        <v>2017</v>
      </c>
      <c r="K12">
        <v>2018</v>
      </c>
      <c r="L12">
        <v>2019</v>
      </c>
      <c r="M12">
        <v>2020</v>
      </c>
      <c r="N12">
        <v>2021</v>
      </c>
      <c r="O12">
        <v>2022</v>
      </c>
      <c r="P12">
        <v>2023</v>
      </c>
      <c r="Q12">
        <v>2024</v>
      </c>
      <c r="R12">
        <v>2025</v>
      </c>
      <c r="S12">
        <v>2026</v>
      </c>
      <c r="T12">
        <v>2027</v>
      </c>
    </row>
    <row r="13" spans="2:20" x14ac:dyDescent="0.25">
      <c r="B13">
        <v>2003</v>
      </c>
      <c r="C13" s="5">
        <v>0.35</v>
      </c>
      <c r="D13" s="5">
        <v>19.425000000000001</v>
      </c>
      <c r="E13" s="2">
        <f>Table7[[#This Row],[Coupon]]/Table7[[#This Row],[PriceMedian]]</f>
        <v>1.8018018018018018E-2</v>
      </c>
      <c r="I13" t="s">
        <v>96</v>
      </c>
      <c r="J13" s="5">
        <v>2.2799999999999998</v>
      </c>
      <c r="K13" s="5">
        <f>(J13*$J15)+J13</f>
        <v>2.6447999999999996</v>
      </c>
      <c r="L13" s="5">
        <f t="shared" ref="L13:T13" si="3">(K13*$J15)+K13</f>
        <v>3.0679679999999996</v>
      </c>
      <c r="M13" s="5">
        <f t="shared" si="3"/>
        <v>3.5588428799999994</v>
      </c>
      <c r="N13" s="5">
        <f t="shared" si="3"/>
        <v>4.1282577407999996</v>
      </c>
      <c r="O13" s="5">
        <f t="shared" si="3"/>
        <v>4.7887789793279998</v>
      </c>
      <c r="P13" s="5">
        <f t="shared" si="3"/>
        <v>5.55498361602048</v>
      </c>
      <c r="Q13" s="5">
        <f t="shared" si="3"/>
        <v>6.443780994583757</v>
      </c>
      <c r="R13" s="5">
        <f t="shared" si="3"/>
        <v>7.4747859537171584</v>
      </c>
      <c r="S13" s="5">
        <f t="shared" si="3"/>
        <v>8.6707517063119042</v>
      </c>
      <c r="T13" s="5">
        <f t="shared" si="3"/>
        <v>10.058071979321809</v>
      </c>
    </row>
    <row r="14" spans="2:20" x14ac:dyDescent="0.25">
      <c r="B14">
        <v>2004</v>
      </c>
      <c r="C14" s="5">
        <v>0.4</v>
      </c>
      <c r="D14" s="5">
        <v>25.535</v>
      </c>
      <c r="E14" s="2">
        <f>Table7[[#This Row],[Coupon]]/Table7[[#This Row],[PriceMedian]]</f>
        <v>1.566477383982769E-2</v>
      </c>
      <c r="I14" t="s">
        <v>97</v>
      </c>
      <c r="J14" s="5">
        <v>71.260000000000005</v>
      </c>
      <c r="K14" s="1">
        <f>K13/$J16</f>
        <v>96.174545454545438</v>
      </c>
      <c r="L14" s="1">
        <f t="shared" ref="L14" si="4">L13/$J16</f>
        <v>111.56247272727271</v>
      </c>
      <c r="M14" s="1">
        <f t="shared" ref="M14" si="5">M13/$J16</f>
        <v>129.41246836363635</v>
      </c>
      <c r="N14" s="1">
        <f t="shared" ref="N14" si="6">N13/$J16</f>
        <v>150.11846330181817</v>
      </c>
      <c r="O14" s="1">
        <f t="shared" ref="O14" si="7">O13/$J16</f>
        <v>174.13741743010908</v>
      </c>
      <c r="P14" s="1">
        <f t="shared" ref="P14" si="8">P13/$J16</f>
        <v>201.99940421892654</v>
      </c>
      <c r="Q14" s="1">
        <f t="shared" ref="Q14" si="9">Q13/$J16</f>
        <v>234.3193088939548</v>
      </c>
      <c r="R14" s="1">
        <f t="shared" ref="R14" si="10">R13/$J16</f>
        <v>271.81039831698757</v>
      </c>
      <c r="S14" s="1">
        <f t="shared" ref="S14" si="11">S13/$J16</f>
        <v>315.30006204770558</v>
      </c>
      <c r="T14" s="1">
        <f t="shared" ref="T14" si="12">T13/$J16</f>
        <v>365.74807197533852</v>
      </c>
    </row>
    <row r="15" spans="2:20" x14ac:dyDescent="0.25">
      <c r="B15">
        <v>2005</v>
      </c>
      <c r="C15" s="5">
        <v>0.48499999999999999</v>
      </c>
      <c r="D15" s="5">
        <v>31.32</v>
      </c>
      <c r="E15" s="2">
        <f>Table7[[#This Row],[Coupon]]/Table7[[#This Row],[PriceMedian]]</f>
        <v>1.5485312899106003E-2</v>
      </c>
      <c r="I15" t="s">
        <v>98</v>
      </c>
      <c r="J15" s="29">
        <v>0.16</v>
      </c>
    </row>
    <row r="16" spans="2:20" x14ac:dyDescent="0.25">
      <c r="B16">
        <v>2006</v>
      </c>
      <c r="C16" s="5">
        <v>0.59</v>
      </c>
      <c r="D16" s="5">
        <v>40.89</v>
      </c>
      <c r="E16" s="2">
        <f>Table7[[#This Row],[Coupon]]/Table7[[#This Row],[PriceMedian]]</f>
        <v>1.4428955734898507E-2</v>
      </c>
      <c r="I16" t="s">
        <v>99</v>
      </c>
      <c r="J16" s="2">
        <v>2.75E-2</v>
      </c>
    </row>
    <row r="17" spans="2:20" x14ac:dyDescent="0.25">
      <c r="B17">
        <v>2007</v>
      </c>
      <c r="C17" s="5">
        <v>0.75</v>
      </c>
      <c r="D17" s="5">
        <v>51.04</v>
      </c>
      <c r="E17" s="2">
        <f>Table7[[#This Row],[Coupon]]/Table7[[#This Row],[PriceMedian]]</f>
        <v>1.469435736677116E-2</v>
      </c>
      <c r="I17" t="s">
        <v>100</v>
      </c>
      <c r="J17" s="2">
        <f>J13/$J14</f>
        <v>3.1995509402189162E-2</v>
      </c>
      <c r="K17" s="2">
        <f t="shared" ref="K17:T17" si="13">K13/$J14</f>
        <v>3.7114790906539422E-2</v>
      </c>
      <c r="L17" s="2">
        <f t="shared" si="13"/>
        <v>4.3053157451585736E-2</v>
      </c>
      <c r="M17" s="2">
        <f t="shared" si="13"/>
        <v>4.9941662643839452E-2</v>
      </c>
      <c r="N17" s="2">
        <f t="shared" si="13"/>
        <v>5.7932328666853765E-2</v>
      </c>
      <c r="O17" s="2">
        <f t="shared" si="13"/>
        <v>6.7201501253550372E-2</v>
      </c>
      <c r="P17" s="2">
        <f t="shared" si="13"/>
        <v>7.795374145411843E-2</v>
      </c>
      <c r="Q17" s="2">
        <f t="shared" si="13"/>
        <v>9.0426340086777385E-2</v>
      </c>
      <c r="R17" s="2">
        <f t="shared" si="13"/>
        <v>0.10489455450066178</v>
      </c>
      <c r="S17" s="2">
        <f t="shared" si="13"/>
        <v>0.12167768322076766</v>
      </c>
      <c r="T17" s="2">
        <f t="shared" si="13"/>
        <v>0.1411461125360905</v>
      </c>
    </row>
    <row r="18" spans="2:20" x14ac:dyDescent="0.25">
      <c r="B18">
        <v>2008</v>
      </c>
      <c r="C18" s="5">
        <v>0.96</v>
      </c>
      <c r="D18" s="5">
        <v>52.67</v>
      </c>
      <c r="E18" s="2">
        <f>Table7[[#This Row],[Coupon]]/Table7[[#This Row],[PriceMedian]]</f>
        <v>1.8226694513005504E-2</v>
      </c>
    </row>
    <row r="19" spans="2:20" x14ac:dyDescent="0.25">
      <c r="B19">
        <v>2009</v>
      </c>
      <c r="C19" s="5">
        <v>1</v>
      </c>
      <c r="D19" s="5">
        <v>41.96</v>
      </c>
      <c r="E19" s="2">
        <f>Table7[[#This Row],[Coupon]]/Table7[[#This Row],[PriceMedian]]</f>
        <v>2.3832221163012392E-2</v>
      </c>
    </row>
    <row r="20" spans="2:20" x14ac:dyDescent="0.25">
      <c r="B20">
        <v>2010</v>
      </c>
      <c r="C20" s="5">
        <v>1.08</v>
      </c>
      <c r="D20" s="5">
        <v>51.78</v>
      </c>
      <c r="E20" s="2">
        <f>Table7[[#This Row],[Coupon]]/Table7[[#This Row],[PriceMedian]]</f>
        <v>2.085747392815759E-2</v>
      </c>
    </row>
    <row r="21" spans="2:20" x14ac:dyDescent="0.25">
      <c r="B21">
        <v>2011</v>
      </c>
      <c r="C21" s="5">
        <v>1.24</v>
      </c>
      <c r="D21" s="5">
        <v>58.325000000000003</v>
      </c>
      <c r="E21" s="2">
        <f>Table7[[#This Row],[Coupon]]/Table7[[#This Row],[PriceMedian]]</f>
        <v>2.1260180025717959E-2</v>
      </c>
    </row>
    <row r="22" spans="2:20" x14ac:dyDescent="0.25">
      <c r="B22">
        <v>2012</v>
      </c>
      <c r="C22" s="5">
        <v>1.36</v>
      </c>
      <c r="D22" s="5">
        <v>62.125</v>
      </c>
      <c r="E22" s="2">
        <f>Table7[[#This Row],[Coupon]]/Table7[[#This Row],[PriceMedian]]</f>
        <v>2.1891348088531187E-2</v>
      </c>
    </row>
    <row r="23" spans="2:20" x14ac:dyDescent="0.25">
      <c r="B23">
        <v>2013</v>
      </c>
      <c r="C23" s="5">
        <v>1.52</v>
      </c>
      <c r="D23" s="5">
        <v>74.465000000000003</v>
      </c>
      <c r="E23" s="2">
        <f>Table7[[#This Row],[Coupon]]/Table7[[#This Row],[PriceMedian]]</f>
        <v>2.0412274222789229E-2</v>
      </c>
    </row>
    <row r="24" spans="2:20" x14ac:dyDescent="0.25">
      <c r="B24">
        <v>2014</v>
      </c>
      <c r="C24" s="5">
        <v>1.76</v>
      </c>
      <c r="D24" s="5">
        <v>81.224999999999994</v>
      </c>
      <c r="E24" s="2">
        <f>Table7[[#This Row],[Coupon]]/Table7[[#This Row],[PriceMedian]]</f>
        <v>2.1668205601723608E-2</v>
      </c>
    </row>
    <row r="25" spans="2:20" x14ac:dyDescent="0.25">
      <c r="B25">
        <v>2015</v>
      </c>
      <c r="C25" s="5">
        <v>2.08</v>
      </c>
      <c r="D25" s="5">
        <v>78.144999999999996</v>
      </c>
      <c r="E25" s="2">
        <f>Table7[[#This Row],[Coupon]]/Table7[[#This Row],[PriceMedian]]</f>
        <v>2.6617186000383902E-2</v>
      </c>
    </row>
    <row r="26" spans="2:20" x14ac:dyDescent="0.25">
      <c r="B26">
        <v>2016</v>
      </c>
      <c r="C26" s="5">
        <v>2.16</v>
      </c>
      <c r="D26" s="5">
        <v>71.344999999999999</v>
      </c>
      <c r="E26" s="2">
        <f>Table7[[#This Row],[Coupon]]/Table7[[#This Row],[PriceMedian]]</f>
        <v>3.0275422244025511E-2</v>
      </c>
    </row>
    <row r="27" spans="2:20" x14ac:dyDescent="0.25">
      <c r="B27">
        <v>2017</v>
      </c>
      <c r="C27" s="5">
        <v>2.2799999999999998</v>
      </c>
      <c r="D27" s="5">
        <v>75.31</v>
      </c>
      <c r="E27" s="2">
        <f>Table7[[#This Row],[Coupon]]/Table7[[#This Row],[PriceMedian]]</f>
        <v>3.0274863895896956E-2</v>
      </c>
    </row>
    <row r="28" spans="2:20" x14ac:dyDescent="0.25">
      <c r="B28">
        <v>2018</v>
      </c>
      <c r="C28" s="5">
        <v>2.8</v>
      </c>
      <c r="D28" s="5">
        <v>111.63</v>
      </c>
      <c r="E28" s="2">
        <f>Table7[[#This Row],[Coupon]]/Table7[[#This Row],[PriceMedian]]</f>
        <v>2.5082863029651528E-2</v>
      </c>
    </row>
    <row r="29" spans="2:20" x14ac:dyDescent="0.25">
      <c r="B29">
        <v>2019</v>
      </c>
      <c r="C29" s="5">
        <v>3.04</v>
      </c>
      <c r="D29" s="5">
        <v>107.58</v>
      </c>
      <c r="E29" s="2">
        <f>Table7[[#This Row],[Coupon]]/Table7[[#This Row],[PriceMedian]]</f>
        <v>2.8258040527979179E-2</v>
      </c>
    </row>
    <row r="30" spans="2:20" x14ac:dyDescent="0.25">
      <c r="B30">
        <v>2020</v>
      </c>
      <c r="C30" s="5">
        <v>3.6</v>
      </c>
      <c r="D30" s="5">
        <v>130.15</v>
      </c>
      <c r="E30" s="2">
        <f>Table7[[#This Row],[Coupon]]/Table7[[#This Row],[PriceMedian]]</f>
        <v>2.7660391855551286E-2</v>
      </c>
    </row>
    <row r="31" spans="2:20" x14ac:dyDescent="0.25">
      <c r="B31">
        <v>2021</v>
      </c>
      <c r="C31" s="5">
        <v>4.32</v>
      </c>
      <c r="D31" s="5">
        <v>194.97</v>
      </c>
      <c r="E31" s="2">
        <f>Table7[[#This Row],[Coupon]]/Table7[[#This Row],[PriceMedian]]</f>
        <v>2.2157254962301896E-2</v>
      </c>
    </row>
    <row r="32" spans="2:20" x14ac:dyDescent="0.25">
      <c r="B32">
        <v>2022</v>
      </c>
      <c r="C32" s="5">
        <v>4.8</v>
      </c>
      <c r="D32" s="5">
        <v>147.41</v>
      </c>
      <c r="E32" s="2">
        <f>Table7[[#This Row],[Coupon]]/Table7[[#This Row],[PriceMedian]]</f>
        <v>3.2562241367614139E-2</v>
      </c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5985-ABB7-47BD-AA64-257B0285301F}">
  <dimension ref="C2:F7"/>
  <sheetViews>
    <sheetView workbookViewId="0">
      <selection activeCell="F3" sqref="F3:F7"/>
    </sheetView>
  </sheetViews>
  <sheetFormatPr defaultRowHeight="15" x14ac:dyDescent="0.25"/>
  <cols>
    <col min="6" max="6" width="8.140625" bestFit="1" customWidth="1"/>
  </cols>
  <sheetData>
    <row r="2" spans="3:6" x14ac:dyDescent="0.25">
      <c r="C2" t="s">
        <v>91</v>
      </c>
      <c r="D2" t="s">
        <v>101</v>
      </c>
      <c r="E2" t="s">
        <v>102</v>
      </c>
      <c r="F2" t="s">
        <v>103</v>
      </c>
    </row>
    <row r="3" spans="3:6" x14ac:dyDescent="0.25">
      <c r="C3" t="s">
        <v>42</v>
      </c>
      <c r="D3">
        <v>4854.8999999999996</v>
      </c>
      <c r="E3">
        <v>991100</v>
      </c>
      <c r="F3" s="30">
        <f>Table8[[#This Row],[Rev]]/Table8[[#This Row],[AUM]]</f>
        <v>4.8984966199172629E-3</v>
      </c>
    </row>
    <row r="4" spans="3:6" x14ac:dyDescent="0.25">
      <c r="C4" t="s">
        <v>43</v>
      </c>
      <c r="D4">
        <v>5372.6</v>
      </c>
      <c r="E4">
        <v>962300</v>
      </c>
      <c r="F4" s="30">
        <f>Table8[[#This Row],[Rev]]/Table8[[#This Row],[AUM]]</f>
        <v>5.5830821988984728E-3</v>
      </c>
    </row>
    <row r="5" spans="3:6" x14ac:dyDescent="0.25">
      <c r="C5" t="s">
        <v>44</v>
      </c>
      <c r="D5">
        <v>5617.9</v>
      </c>
      <c r="E5">
        <v>1206800</v>
      </c>
      <c r="F5" s="30">
        <f>Table8[[#This Row],[Rev]]/Table8[[#This Row],[AUM]]</f>
        <v>4.6552038448790184E-3</v>
      </c>
    </row>
    <row r="6" spans="3:6" x14ac:dyDescent="0.25">
      <c r="C6" t="s">
        <v>45</v>
      </c>
      <c r="D6">
        <v>6206.7</v>
      </c>
      <c r="E6">
        <v>1470500</v>
      </c>
      <c r="F6" s="30">
        <f>Table8[[#This Row],[Rev]]/Table8[[#This Row],[AUM]]</f>
        <v>4.2208092485549135E-3</v>
      </c>
    </row>
    <row r="7" spans="3:6" x14ac:dyDescent="0.25">
      <c r="C7" t="s">
        <v>46</v>
      </c>
      <c r="D7">
        <v>7671.9</v>
      </c>
      <c r="E7">
        <v>1687800</v>
      </c>
      <c r="F7" s="30">
        <f>Table8[[#This Row],[Rev]]/Table8[[#This Row],[AUM]]</f>
        <v>4.5455030216850333E-3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IOV</vt:lpstr>
      <vt:lpstr>Margins</vt:lpstr>
      <vt:lpstr>Growth</vt:lpstr>
      <vt:lpstr>Owner</vt:lpstr>
      <vt:lpstr>Formulas</vt:lpstr>
      <vt:lpstr>Ebond</vt:lpstr>
      <vt:lpstr>AUM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2022-04-29T19:13:56Z</dcterms:modified>
</cp:coreProperties>
</file>