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/Users/hadenstuart/Documents/Comp5700/Assignment6/"/>
    </mc:Choice>
  </mc:AlternateContent>
  <xr:revisionPtr revIDLastSave="0" documentId="13_ncr:1_{28D508CE-D18B-0D49-8233-E6CEB3EFC519}" xr6:coauthVersionLast="45" xr6:coauthVersionMax="45" xr10:uidLastSave="{00000000-0000-0000-0000-000000000000}"/>
  <bookViews>
    <workbookView xWindow="0" yWindow="460" windowWidth="28800" windowHeight="16260" activeTab="7" xr2:uid="{00000000-000D-0000-FFFF-FFFF00000000}"/>
  </bookViews>
  <sheets>
    <sheet name="Description" sheetId="4" r:id="rId1"/>
    <sheet name="Process" sheetId="16" r:id="rId2"/>
    <sheet name="Component History" sheetId="13" r:id="rId3"/>
    <sheet name="Project History" sheetId="24" r:id="rId4"/>
    <sheet name="Activities" sheetId="25" r:id="rId5"/>
    <sheet name="Architecture" sheetId="26" r:id="rId6"/>
    <sheet name="COCOMO" sheetId="34" r:id="rId7"/>
    <sheet name="Solution" sheetId="21" r:id="rId8"/>
    <sheet name="Calc-1" sheetId="9" r:id="rId9"/>
    <sheet name="Calc-2" sheetId="18" r:id="rId10"/>
    <sheet name="Calc-3" sheetId="10" r:id="rId11"/>
    <sheet name="Calc-4" sheetId="20" r:id="rId12"/>
    <sheet name="Calc-5" sheetId="37" r:id="rId13"/>
  </sheets>
  <definedNames>
    <definedName name="DefectLog1A">#REF!</definedName>
    <definedName name="DefectLog2A">#REF!</definedName>
    <definedName name="DefectLog4A" localSheetId="4">#REF!</definedName>
    <definedName name="DefectLog4A" localSheetId="5">#REF!</definedName>
    <definedName name="DefectLog4A" localSheetId="8">'Calc-1'!#REF!</definedName>
    <definedName name="DefectLog4A" localSheetId="10">'Calc-3'!#REF!</definedName>
    <definedName name="DefectLog4A" localSheetId="11">'Calc-4'!#REF!</definedName>
    <definedName name="DefectLog4A" localSheetId="12">'Calc-5'!#REF!</definedName>
    <definedName name="DefectLog4A" localSheetId="6">#REF!</definedName>
    <definedName name="DefectLog4A" localSheetId="3">#REF!</definedName>
    <definedName name="DefectLog4A" localSheetId="7">Solution!#REF!</definedName>
    <definedName name="DefectLog4A">#REF!</definedName>
    <definedName name="FunctionalSpecification6A" localSheetId="4">#REF!</definedName>
    <definedName name="FunctionalSpecification6A" localSheetId="5">#REF!</definedName>
    <definedName name="FunctionalSpecification6A" localSheetId="8">'Calc-1'!#REF!</definedName>
    <definedName name="FunctionalSpecification6A" localSheetId="10">'Calc-3'!#REF!</definedName>
    <definedName name="FunctionalSpecification6A" localSheetId="11">'Calc-4'!#REF!</definedName>
    <definedName name="FunctionalSpecification6A" localSheetId="12">'Calc-5'!#REF!</definedName>
    <definedName name="FunctionalSpecification6A" localSheetId="6">#REF!</definedName>
    <definedName name="FunctionalSpecification6A" localSheetId="3">#REF!</definedName>
    <definedName name="FunctionalSpecification6A" localSheetId="7">Solution!#REF!</definedName>
    <definedName name="FunctionalSpecification6A">#REF!</definedName>
    <definedName name="go_to">#REF!</definedName>
    <definedName name="HistoricalData4A" localSheetId="4">#REF!</definedName>
    <definedName name="HistoricalData4A" localSheetId="5">#REF!</definedName>
    <definedName name="HistoricalData4A" localSheetId="8">'Calc-1'!#REF!</definedName>
    <definedName name="HistoricalData4A" localSheetId="10">'Calc-3'!#REF!</definedName>
    <definedName name="HistoricalData4A" localSheetId="11">'Calc-4'!#REF!</definedName>
    <definedName name="HistoricalData4A" localSheetId="12">'Calc-5'!#REF!</definedName>
    <definedName name="HistoricalData4A" localSheetId="6">#REF!</definedName>
    <definedName name="HistoricalData4A" localSheetId="3">#REF!</definedName>
    <definedName name="HistoricalData4A" localSheetId="7">Solution!#REF!</definedName>
    <definedName name="HistoricalData4A">#REF!</definedName>
    <definedName name="InstructorAssessment1A">#REF!</definedName>
    <definedName name="InstructorAssessment2A">#REF!</definedName>
    <definedName name="InstructorAssessment4A" localSheetId="8">'Calc-1'!#REF!</definedName>
    <definedName name="InstructorAssessment4A" localSheetId="10">'Calc-3'!#REF!</definedName>
    <definedName name="InstructorAssessment4A" localSheetId="11">'Calc-4'!#REF!</definedName>
    <definedName name="InstructorAssessment4A" localSheetId="12">'Calc-5'!#REF!</definedName>
    <definedName name="InstructorAssessment4A" localSheetId="7">Solution!$A$4</definedName>
    <definedName name="InstructorAssessment4A">#REF!</definedName>
    <definedName name="LessonLearned4A" localSheetId="4">#REF!</definedName>
    <definedName name="LessonLearned4A" localSheetId="5">#REF!</definedName>
    <definedName name="LessonLearned4A" localSheetId="8">'Calc-1'!#REF!</definedName>
    <definedName name="LessonLearned4A" localSheetId="10">'Calc-3'!#REF!</definedName>
    <definedName name="LessonLearned4A" localSheetId="11">'Calc-4'!#REF!</definedName>
    <definedName name="LessonLearned4A" localSheetId="12">'Calc-5'!#REF!</definedName>
    <definedName name="LessonLearned4A" localSheetId="6">#REF!</definedName>
    <definedName name="LessonLearned4A" localSheetId="3">#REF!</definedName>
    <definedName name="LessonLearned4A" localSheetId="7">Solution!#REF!</definedName>
    <definedName name="LessonLearned4A">#REF!</definedName>
    <definedName name="Lessons1A">#REF!</definedName>
    <definedName name="LessonsLearned2A">#REF!</definedName>
    <definedName name="OperationalSpecification6A" localSheetId="4">#REF!</definedName>
    <definedName name="OperationalSpecification6A" localSheetId="5">#REF!</definedName>
    <definedName name="OperationalSpecification6A" localSheetId="8">'Calc-1'!#REF!</definedName>
    <definedName name="OperationalSpecification6A" localSheetId="10">'Calc-3'!#REF!</definedName>
    <definedName name="OperationalSpecification6A" localSheetId="11">'Calc-4'!#REF!</definedName>
    <definedName name="OperationalSpecification6A" localSheetId="12">'Calc-5'!#REF!</definedName>
    <definedName name="OperationalSpecification6A" localSheetId="6">#REF!</definedName>
    <definedName name="OperationalSpecification6A" localSheetId="3">#REF!</definedName>
    <definedName name="OperationalSpecification6A" localSheetId="7">Solution!#REF!</definedName>
    <definedName name="OperationalSpecification6A">#REF!</definedName>
    <definedName name="PlanSummary1A">#REF!</definedName>
    <definedName name="_xlnm.Print_Area" localSheetId="4">Activities!$A$1:$E$15</definedName>
    <definedName name="_xlnm.Print_Area" localSheetId="5">Architecture!$A$1:$C$1</definedName>
    <definedName name="_xlnm.Print_Area" localSheetId="6">COCOMO!$A$1:$C$1</definedName>
    <definedName name="_xlnm.Print_Area" localSheetId="2">'Component History'!$A$1:$E$89</definedName>
    <definedName name="_xlnm.Print_Area" localSheetId="0">Description!$A$1:$G$7</definedName>
    <definedName name="_xlnm.Print_Area" localSheetId="3">'Project History'!$A$1:$E$22</definedName>
    <definedName name="ProjectPlan2A">#REF!</definedName>
    <definedName name="ProjectPlanSummary4A" localSheetId="4">#REF!</definedName>
    <definedName name="ProjectPlanSummary4A" localSheetId="5">#REF!</definedName>
    <definedName name="ProjectPlanSummary4A" localSheetId="8">'Calc-1'!#REF!</definedName>
    <definedName name="ProjectPlanSummary4A" localSheetId="10">'Calc-3'!#REF!</definedName>
    <definedName name="ProjectPlanSummary4A" localSheetId="11">'Calc-4'!#REF!</definedName>
    <definedName name="ProjectPlanSummary4A" localSheetId="12">'Calc-5'!#REF!</definedName>
    <definedName name="ProjectPlanSummary4A" localSheetId="6">#REF!</definedName>
    <definedName name="ProjectPlanSummary4A" localSheetId="3">#REF!</definedName>
    <definedName name="ProjectPlanSummary4A" localSheetId="7">Solution!#REF!</definedName>
    <definedName name="ProjectPlanSummary4A">#REF!</definedName>
    <definedName name="Schedule6A" localSheetId="4">#REF!</definedName>
    <definedName name="Schedule6A" localSheetId="5">#REF!</definedName>
    <definedName name="Schedule6A" localSheetId="8">'Calc-1'!#REF!</definedName>
    <definedName name="Schedule6A" localSheetId="10">'Calc-3'!#REF!</definedName>
    <definedName name="Schedule6A" localSheetId="11">'Calc-4'!#REF!</definedName>
    <definedName name="Schedule6A" localSheetId="12">'Calc-5'!#REF!</definedName>
    <definedName name="Schedule6A" localSheetId="6">#REF!</definedName>
    <definedName name="Schedule6A" localSheetId="3">#REF!</definedName>
    <definedName name="Schedule6A" localSheetId="7">Solution!#REF!</definedName>
    <definedName name="Schedule6A">#REF!</definedName>
    <definedName name="SizeEstimate4A" localSheetId="4">#REF!</definedName>
    <definedName name="SizeEstimate4A" localSheetId="5">#REF!</definedName>
    <definedName name="SizeEstimate4A" localSheetId="8">'Calc-1'!#REF!</definedName>
    <definedName name="SizeEstimate4A" localSheetId="10">'Calc-3'!#REF!</definedName>
    <definedName name="SizeEstimate4A" localSheetId="11">'Calc-4'!#REF!</definedName>
    <definedName name="SizeEstimate4A" localSheetId="12">'Calc-5'!#REF!</definedName>
    <definedName name="SizeEstimate4A" localSheetId="6">#REF!</definedName>
    <definedName name="SizeEstimate4A" localSheetId="3">#REF!</definedName>
    <definedName name="SizeEstimate4A" localSheetId="7">Solution!#REF!</definedName>
    <definedName name="SizeEstimate4A">#REF!</definedName>
    <definedName name="Source1A">#REF!</definedName>
    <definedName name="SourceCode2A">#REF!</definedName>
    <definedName name="SourceCode4A" localSheetId="4">#REF!</definedName>
    <definedName name="SourceCode4A" localSheetId="5">#REF!</definedName>
    <definedName name="SourceCode4A" localSheetId="8">'Calc-1'!#REF!</definedName>
    <definedName name="SourceCode4A" localSheetId="10">'Calc-3'!#REF!</definedName>
    <definedName name="SourceCode4A" localSheetId="11">'Calc-4'!#REF!</definedName>
    <definedName name="SourceCode4A" localSheetId="12">'Calc-5'!#REF!</definedName>
    <definedName name="SourceCode4A" localSheetId="6">#REF!</definedName>
    <definedName name="SourceCode4A" localSheetId="3">#REF!</definedName>
    <definedName name="SourceCode4A" localSheetId="7">Solution!#REF!</definedName>
    <definedName name="SourceCode4A">#REF!</definedName>
    <definedName name="Standards1A">#REF!</definedName>
    <definedName name="TaskPlan6A" localSheetId="4">#REF!</definedName>
    <definedName name="TaskPlan6A" localSheetId="5">#REF!</definedName>
    <definedName name="TaskPlan6A" localSheetId="8">'Calc-1'!#REF!</definedName>
    <definedName name="TaskPlan6A" localSheetId="10">'Calc-3'!#REF!</definedName>
    <definedName name="TaskPlan6A" localSheetId="11">'Calc-4'!#REF!</definedName>
    <definedName name="TaskPlan6A" localSheetId="12">'Calc-5'!#REF!</definedName>
    <definedName name="TaskPlan6A" localSheetId="6">#REF!</definedName>
    <definedName name="TaskPlan6A" localSheetId="3">#REF!</definedName>
    <definedName name="TaskPlan6A" localSheetId="7">Solution!#REF!</definedName>
    <definedName name="TaskPlan6A">#REF!</definedName>
    <definedName name="TestReport1A">#REF!</definedName>
    <definedName name="TestReport2A">#REF!</definedName>
    <definedName name="TestReport4A" localSheetId="4">#REF!</definedName>
    <definedName name="TestReport4A" localSheetId="5">#REF!</definedName>
    <definedName name="TestReport4A" localSheetId="8">'Calc-1'!#REF!</definedName>
    <definedName name="TestReport4A" localSheetId="10">'Calc-3'!#REF!</definedName>
    <definedName name="TestReport4A" localSheetId="11">'Calc-4'!#REF!</definedName>
    <definedName name="TestReport4A" localSheetId="12">'Calc-5'!#REF!</definedName>
    <definedName name="TestReport4A" localSheetId="6">#REF!</definedName>
    <definedName name="TestReport4A" localSheetId="3">#REF!</definedName>
    <definedName name="TestReport4A" localSheetId="7">Solution!#REF!</definedName>
    <definedName name="TestReport4A">#REF!</definedName>
    <definedName name="TimeLog1A">#REF!</definedName>
    <definedName name="TimeLog4A" localSheetId="4">#REF!</definedName>
    <definedName name="TimeLog4A" localSheetId="5">#REF!</definedName>
    <definedName name="TimeLog4A" localSheetId="8">'Calc-1'!#REF!</definedName>
    <definedName name="TimeLog4A" localSheetId="10">'Calc-3'!#REF!</definedName>
    <definedName name="TimeLog4A" localSheetId="11">'Calc-4'!#REF!</definedName>
    <definedName name="TimeLog4A" localSheetId="12">'Calc-5'!#REF!</definedName>
    <definedName name="TimeLog4A" localSheetId="6">#REF!</definedName>
    <definedName name="TimeLog4A" localSheetId="3">#REF!</definedName>
    <definedName name="TimeLog4A" localSheetId="7">Solution!#REF!</definedName>
    <definedName name="TimeLog4A">#REF!</definedName>
    <definedName name="TimeRecordingLog2A">#REF!</definedName>
    <definedName name="toc6A" localSheetId="4">#REF!</definedName>
    <definedName name="toc6A" localSheetId="5">#REF!</definedName>
    <definedName name="toc6A" localSheetId="8">'Calc-1'!#REF!</definedName>
    <definedName name="toc6A" localSheetId="10">'Calc-3'!#REF!</definedName>
    <definedName name="toc6A" localSheetId="11">'Calc-4'!#REF!</definedName>
    <definedName name="toc6A" localSheetId="12">'Calc-5'!#REF!</definedName>
    <definedName name="toc6A" localSheetId="6">#REF!</definedName>
    <definedName name="toc6A" localSheetId="3">#REF!</definedName>
    <definedName name="toc6A" localSheetId="7">Solution!#REF!</definedName>
    <definedName name="toc6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" i="37" l="1"/>
  <c r="K30" i="37"/>
  <c r="K22" i="37"/>
  <c r="K20" i="37"/>
  <c r="K19" i="37"/>
  <c r="K28" i="37"/>
  <c r="K18" i="37"/>
  <c r="K10" i="37"/>
  <c r="K9" i="37"/>
  <c r="K8" i="37"/>
  <c r="K12" i="37" s="1"/>
  <c r="O32" i="20"/>
  <c r="L17" i="20"/>
  <c r="L22" i="20"/>
  <c r="L20" i="20"/>
  <c r="I8" i="20"/>
  <c r="I9" i="20"/>
  <c r="I10" i="20"/>
  <c r="I11" i="20"/>
  <c r="I12" i="20"/>
  <c r="I13" i="20"/>
  <c r="I14" i="20"/>
  <c r="L21" i="20" s="1"/>
  <c r="I15" i="20"/>
  <c r="I16" i="20"/>
  <c r="I17" i="20"/>
  <c r="I18" i="20"/>
  <c r="I19" i="20"/>
  <c r="I20" i="20"/>
  <c r="I21" i="20"/>
  <c r="I22" i="20"/>
  <c r="I23" i="20"/>
  <c r="I24" i="20"/>
  <c r="I25" i="20"/>
  <c r="I26" i="20"/>
  <c r="I7" i="20"/>
  <c r="L18" i="20"/>
  <c r="L19" i="20" s="1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L12" i="20"/>
  <c r="H12" i="20"/>
  <c r="H11" i="20"/>
  <c r="H10" i="20"/>
  <c r="H9" i="20"/>
  <c r="L8" i="20"/>
  <c r="L9" i="20" s="1"/>
  <c r="H8" i="20"/>
  <c r="H7" i="20"/>
  <c r="L12" i="10"/>
  <c r="H8" i="10"/>
  <c r="H28" i="10" s="1"/>
  <c r="L10" i="10" s="1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7" i="10"/>
  <c r="L8" i="10"/>
  <c r="L9" i="10" s="1"/>
  <c r="M11" i="18"/>
  <c r="L6" i="18"/>
  <c r="L7" i="18"/>
  <c r="L8" i="18"/>
  <c r="L9" i="18"/>
  <c r="L10" i="18"/>
  <c r="L5" i="18"/>
  <c r="H7" i="18"/>
  <c r="H8" i="18"/>
  <c r="H9" i="18"/>
  <c r="H10" i="18"/>
  <c r="H5" i="18"/>
  <c r="H6" i="18"/>
  <c r="M6" i="18" s="1"/>
  <c r="C19" i="18" s="1"/>
  <c r="N81" i="9"/>
  <c r="N82" i="9"/>
  <c r="N83" i="9"/>
  <c r="N84" i="9"/>
  <c r="N85" i="9"/>
  <c r="N86" i="9"/>
  <c r="N87" i="9"/>
  <c r="N88" i="9"/>
  <c r="N89" i="9"/>
  <c r="N90" i="9"/>
  <c r="N91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6" i="9"/>
  <c r="M86" i="9"/>
  <c r="M16" i="9"/>
  <c r="L75" i="9"/>
  <c r="M75" i="9" s="1"/>
  <c r="L76" i="9"/>
  <c r="M76" i="9" s="1"/>
  <c r="L77" i="9"/>
  <c r="M77" i="9" s="1"/>
  <c r="L78" i="9"/>
  <c r="M78" i="9" s="1"/>
  <c r="L79" i="9"/>
  <c r="M79" i="9" s="1"/>
  <c r="L80" i="9"/>
  <c r="M80" i="9" s="1"/>
  <c r="L81" i="9"/>
  <c r="M81" i="9" s="1"/>
  <c r="L82" i="9"/>
  <c r="M82" i="9" s="1"/>
  <c r="L83" i="9"/>
  <c r="M83" i="9" s="1"/>
  <c r="L84" i="9"/>
  <c r="M84" i="9" s="1"/>
  <c r="L85" i="9"/>
  <c r="M85" i="9" s="1"/>
  <c r="L86" i="9"/>
  <c r="L87" i="9"/>
  <c r="M87" i="9" s="1"/>
  <c r="L88" i="9"/>
  <c r="M88" i="9" s="1"/>
  <c r="L89" i="9"/>
  <c r="M89" i="9" s="1"/>
  <c r="L90" i="9"/>
  <c r="M90" i="9" s="1"/>
  <c r="L91" i="9"/>
  <c r="M91" i="9" s="1"/>
  <c r="L41" i="9"/>
  <c r="M41" i="9" s="1"/>
  <c r="L42" i="9"/>
  <c r="M42" i="9" s="1"/>
  <c r="L43" i="9"/>
  <c r="M43" i="9" s="1"/>
  <c r="L44" i="9"/>
  <c r="M44" i="9" s="1"/>
  <c r="L45" i="9"/>
  <c r="M45" i="9" s="1"/>
  <c r="L46" i="9"/>
  <c r="M46" i="9" s="1"/>
  <c r="L47" i="9"/>
  <c r="M47" i="9" s="1"/>
  <c r="L48" i="9"/>
  <c r="M48" i="9" s="1"/>
  <c r="L49" i="9"/>
  <c r="M49" i="9" s="1"/>
  <c r="L50" i="9"/>
  <c r="M50" i="9" s="1"/>
  <c r="L51" i="9"/>
  <c r="M51" i="9" s="1"/>
  <c r="L52" i="9"/>
  <c r="M52" i="9" s="1"/>
  <c r="L53" i="9"/>
  <c r="M53" i="9" s="1"/>
  <c r="L54" i="9"/>
  <c r="M54" i="9" s="1"/>
  <c r="L55" i="9"/>
  <c r="M55" i="9" s="1"/>
  <c r="L56" i="9"/>
  <c r="M56" i="9" s="1"/>
  <c r="L57" i="9"/>
  <c r="M57" i="9" s="1"/>
  <c r="L58" i="9"/>
  <c r="M58" i="9" s="1"/>
  <c r="L59" i="9"/>
  <c r="M59" i="9" s="1"/>
  <c r="L60" i="9"/>
  <c r="M60" i="9" s="1"/>
  <c r="L61" i="9"/>
  <c r="M61" i="9" s="1"/>
  <c r="L62" i="9"/>
  <c r="M62" i="9" s="1"/>
  <c r="L63" i="9"/>
  <c r="M63" i="9" s="1"/>
  <c r="L64" i="9"/>
  <c r="M64" i="9" s="1"/>
  <c r="L65" i="9"/>
  <c r="M65" i="9" s="1"/>
  <c r="L66" i="9"/>
  <c r="M66" i="9" s="1"/>
  <c r="L67" i="9"/>
  <c r="M67" i="9" s="1"/>
  <c r="L68" i="9"/>
  <c r="M68" i="9" s="1"/>
  <c r="L69" i="9"/>
  <c r="M69" i="9" s="1"/>
  <c r="L70" i="9"/>
  <c r="M70" i="9" s="1"/>
  <c r="L71" i="9"/>
  <c r="M71" i="9" s="1"/>
  <c r="L72" i="9"/>
  <c r="M72" i="9" s="1"/>
  <c r="L73" i="9"/>
  <c r="M73" i="9" s="1"/>
  <c r="L74" i="9"/>
  <c r="M74" i="9" s="1"/>
  <c r="L8" i="9"/>
  <c r="M8" i="9" s="1"/>
  <c r="L9" i="9"/>
  <c r="M9" i="9" s="1"/>
  <c r="L10" i="9"/>
  <c r="M10" i="9" s="1"/>
  <c r="L11" i="9"/>
  <c r="M11" i="9" s="1"/>
  <c r="L12" i="9"/>
  <c r="M12" i="9" s="1"/>
  <c r="L13" i="9"/>
  <c r="M13" i="9" s="1"/>
  <c r="L14" i="9"/>
  <c r="M14" i="9" s="1"/>
  <c r="L15" i="9"/>
  <c r="M15" i="9" s="1"/>
  <c r="L16" i="9"/>
  <c r="L17" i="9"/>
  <c r="M17" i="9" s="1"/>
  <c r="L18" i="9"/>
  <c r="M18" i="9" s="1"/>
  <c r="L19" i="9"/>
  <c r="M19" i="9" s="1"/>
  <c r="L20" i="9"/>
  <c r="M20" i="9" s="1"/>
  <c r="L21" i="9"/>
  <c r="M21" i="9" s="1"/>
  <c r="L22" i="9"/>
  <c r="M22" i="9" s="1"/>
  <c r="L23" i="9"/>
  <c r="M23" i="9" s="1"/>
  <c r="L24" i="9"/>
  <c r="M24" i="9" s="1"/>
  <c r="L25" i="9"/>
  <c r="M25" i="9" s="1"/>
  <c r="L26" i="9"/>
  <c r="M26" i="9" s="1"/>
  <c r="L27" i="9"/>
  <c r="M27" i="9" s="1"/>
  <c r="L28" i="9"/>
  <c r="M28" i="9" s="1"/>
  <c r="L29" i="9"/>
  <c r="M29" i="9" s="1"/>
  <c r="L30" i="9"/>
  <c r="M30" i="9" s="1"/>
  <c r="L31" i="9"/>
  <c r="M31" i="9" s="1"/>
  <c r="L32" i="9"/>
  <c r="M32" i="9" s="1"/>
  <c r="L33" i="9"/>
  <c r="M33" i="9" s="1"/>
  <c r="L34" i="9"/>
  <c r="M34" i="9" s="1"/>
  <c r="L35" i="9"/>
  <c r="M35" i="9" s="1"/>
  <c r="L36" i="9"/>
  <c r="M36" i="9" s="1"/>
  <c r="L37" i="9"/>
  <c r="M37" i="9" s="1"/>
  <c r="L38" i="9"/>
  <c r="M38" i="9" s="1"/>
  <c r="L39" i="9"/>
  <c r="M39" i="9" s="1"/>
  <c r="L40" i="9"/>
  <c r="M40" i="9" s="1"/>
  <c r="L7" i="9"/>
  <c r="M7" i="9" s="1"/>
  <c r="L6" i="9"/>
  <c r="M6" i="9" s="1"/>
  <c r="K32" i="37" l="1"/>
  <c r="H28" i="20"/>
  <c r="L10" i="20" s="1"/>
  <c r="H29" i="20"/>
  <c r="L11" i="20" s="1"/>
  <c r="H29" i="10"/>
  <c r="L11" i="10" s="1"/>
  <c r="M10" i="18"/>
  <c r="C23" i="18" s="1"/>
  <c r="M5" i="18"/>
  <c r="C18" i="18" s="1"/>
  <c r="M9" i="18"/>
  <c r="C22" i="18" s="1"/>
  <c r="M8" i="18"/>
  <c r="C21" i="18" s="1"/>
  <c r="M7" i="18"/>
  <c r="C20" i="18" s="1"/>
  <c r="B15" i="9"/>
  <c r="B14" i="9"/>
  <c r="A93" i="21"/>
  <c r="A84" i="21"/>
  <c r="A2" i="20" s="1"/>
  <c r="D9" i="9" l="1"/>
  <c r="C6" i="9"/>
  <c r="C10" i="9"/>
  <c r="D8" i="9"/>
  <c r="B10" i="9"/>
  <c r="B8" i="9"/>
  <c r="B7" i="9"/>
  <c r="D7" i="9"/>
  <c r="B9" i="9"/>
  <c r="D6" i="9"/>
  <c r="C9" i="9"/>
  <c r="C8" i="9"/>
  <c r="C7" i="9"/>
  <c r="A2" i="37"/>
  <c r="C11" i="21" l="1"/>
  <c r="B11" i="21"/>
  <c r="A73" i="21"/>
  <c r="A72" i="21"/>
  <c r="A71" i="21"/>
  <c r="A70" i="21"/>
  <c r="A77" i="21"/>
  <c r="A18" i="16" s="1"/>
  <c r="I65" i="16"/>
  <c r="A75" i="21"/>
  <c r="A74" i="21"/>
  <c r="A24" i="16"/>
  <c r="A68" i="21"/>
  <c r="A2" i="18" s="1"/>
  <c r="A60" i="21"/>
  <c r="A2" i="9" s="1"/>
  <c r="I41" i="16"/>
  <c r="I61" i="16" s="1"/>
  <c r="I49" i="16"/>
  <c r="I53" i="16"/>
  <c r="I57" i="16" s="1"/>
  <c r="F4" i="4"/>
  <c r="B5" i="4"/>
  <c r="F5" i="4"/>
  <c r="C5" i="4"/>
  <c r="D5" i="4"/>
  <c r="B6" i="4"/>
  <c r="D34" i="16"/>
  <c r="I45" i="16"/>
  <c r="A12" i="16" l="1"/>
  <c r="A2" i="10"/>
  <c r="A14" i="16"/>
</calcChain>
</file>

<file path=xl/sharedStrings.xml><?xml version="1.0" encoding="utf-8"?>
<sst xmlns="http://schemas.openxmlformats.org/spreadsheetml/2006/main" count="992" uniqueCount="433">
  <si>
    <t>Component35</t>
  </si>
  <si>
    <t>Component36</t>
  </si>
  <si>
    <t>Component37</t>
  </si>
  <si>
    <t>Component38</t>
  </si>
  <si>
    <t>Component39</t>
  </si>
  <si>
    <t>Component40</t>
  </si>
  <si>
    <t>Component41</t>
  </si>
  <si>
    <t>Component42</t>
  </si>
  <si>
    <t>Component43</t>
  </si>
  <si>
    <t>Component44</t>
  </si>
  <si>
    <t>Component45</t>
  </si>
  <si>
    <t>Component46</t>
  </si>
  <si>
    <t>Component47</t>
  </si>
  <si>
    <t>Component48</t>
  </si>
  <si>
    <t>Component49</t>
  </si>
  <si>
    <t>Component50</t>
  </si>
  <si>
    <t>Component51</t>
  </si>
  <si>
    <t>Component52</t>
  </si>
  <si>
    <t>Component53</t>
  </si>
  <si>
    <t>Component54</t>
  </si>
  <si>
    <t>Component55</t>
  </si>
  <si>
    <t>Component56</t>
  </si>
  <si>
    <t>Component57</t>
  </si>
  <si>
    <t>Component58</t>
  </si>
  <si>
    <t>Component59</t>
  </si>
  <si>
    <t>Component60</t>
  </si>
  <si>
    <t>Component61</t>
  </si>
  <si>
    <t>Component62</t>
  </si>
  <si>
    <t>Component63</t>
  </si>
  <si>
    <t>Component64</t>
  </si>
  <si>
    <t>Component65</t>
  </si>
  <si>
    <t>Component66</t>
  </si>
  <si>
    <t>Component67</t>
  </si>
  <si>
    <t>Component68</t>
  </si>
  <si>
    <t>Component69</t>
  </si>
  <si>
    <t>Component70</t>
  </si>
  <si>
    <t>Component71</t>
  </si>
  <si>
    <t>Component72</t>
  </si>
  <si>
    <t>Component73</t>
  </si>
  <si>
    <t>Component74</t>
  </si>
  <si>
    <t>Component75</t>
  </si>
  <si>
    <t>Component76</t>
  </si>
  <si>
    <t>Component77</t>
  </si>
  <si>
    <t>Component78</t>
  </si>
  <si>
    <t>Component79</t>
  </si>
  <si>
    <t>Component80</t>
  </si>
  <si>
    <t>Component81</t>
  </si>
  <si>
    <t>Component82</t>
  </si>
  <si>
    <t>Component83</t>
  </si>
  <si>
    <t>Component84</t>
  </si>
  <si>
    <t>Component85</t>
  </si>
  <si>
    <t>Component86</t>
  </si>
  <si>
    <t>Analysis</t>
  </si>
  <si>
    <t>Architecture</t>
  </si>
  <si>
    <t>Construction</t>
  </si>
  <si>
    <t>Refactoring</t>
  </si>
  <si>
    <t>Review</t>
  </si>
  <si>
    <t>Integration Test</t>
  </si>
  <si>
    <t>Sandbox</t>
  </si>
  <si>
    <t>to gain experience with estimating size and effort.</t>
    <phoneticPr fontId="0" type="noConversion"/>
  </si>
  <si>
    <t>The worksheets in this assignment provide you with a hypothetical historical development database as well as with a forecast of standard components for a hypothetical project.  Please use this information to determine the size and effort of the project.</t>
    <phoneticPr fontId="0" type="noConversion"/>
  </si>
  <si>
    <t>Is productivity calcuated in LOC/hr?</t>
    <phoneticPr fontId="11" type="noConversion"/>
  </si>
  <si>
    <t>I/O</t>
  </si>
  <si>
    <t>Component10</t>
  </si>
  <si>
    <t>Component11</t>
  </si>
  <si>
    <t>Component12</t>
  </si>
  <si>
    <t>Component13</t>
  </si>
  <si>
    <t>Component14</t>
  </si>
  <si>
    <t>Component15</t>
  </si>
  <si>
    <t>Component16</t>
  </si>
  <si>
    <t>Component17</t>
  </si>
  <si>
    <t>Component18</t>
  </si>
  <si>
    <t>Component19</t>
  </si>
  <si>
    <t>Component20</t>
  </si>
  <si>
    <t>Component21</t>
  </si>
  <si>
    <t>Component22</t>
  </si>
  <si>
    <t>Component23</t>
  </si>
  <si>
    <t>Component24</t>
  </si>
  <si>
    <t>Component25</t>
  </si>
  <si>
    <t>Component26</t>
  </si>
  <si>
    <t>Component27</t>
  </si>
  <si>
    <t>Component28</t>
  </si>
  <si>
    <t>Component29</t>
  </si>
  <si>
    <t>Component30</t>
  </si>
  <si>
    <t>Component31</t>
  </si>
  <si>
    <t>Component32</t>
  </si>
  <si>
    <t>Component33</t>
  </si>
  <si>
    <t>Component34</t>
  </si>
  <si>
    <t>Defects Injected To Date %</t>
  </si>
  <si>
    <t>Defects Removed To Date %</t>
  </si>
  <si>
    <t>IO</t>
  </si>
  <si>
    <t>Parameters</t>
  </si>
  <si>
    <t>normal</t>
  </si>
  <si>
    <t>log-normal</t>
  </si>
  <si>
    <t>stdev</t>
  </si>
  <si>
    <t>standard deviation of the values</t>
  </si>
  <si>
    <t>Project14</t>
  </si>
  <si>
    <t>Project15</t>
  </si>
  <si>
    <t>Project16</t>
  </si>
  <si>
    <t>Project17</t>
  </si>
  <si>
    <t>Project18</t>
  </si>
  <si>
    <t>Project19</t>
  </si>
  <si>
    <t>Project20</t>
  </si>
  <si>
    <t>VS</t>
  </si>
  <si>
    <t>Process Script</t>
  </si>
  <si>
    <t>Entry</t>
  </si>
  <si>
    <t>Tasks</t>
  </si>
  <si>
    <t>Exit</t>
  </si>
  <si>
    <t>Notes:</t>
  </si>
  <si>
    <t>Identifier</t>
  </si>
  <si>
    <t>Total Loc</t>
  </si>
  <si>
    <r>
      <t xml:space="preserve">Estimates on New Development:  </t>
    </r>
    <r>
      <rPr>
        <sz val="14"/>
        <rFont val="Arial"/>
        <family val="2"/>
      </rPr>
      <t>Please provide answers to the questions below.  If a result is not calculable, please fill the box with a "NA" and defend your answer in the supporting calculations section.  Each cell should contain a number, "NA", or a value from a drop-down menu; do not indicate units (such as "min", "hr", "LOC", etc.)  Please do not leave any boxes blank;  I will assume that an empty box means you did not answer the question.</t>
    </r>
  </si>
  <si>
    <t xml:space="preserve"> - This spreadsheet with "Assignment" completed.</t>
  </si>
  <si>
    <t>Project1</t>
  </si>
  <si>
    <t>Project2</t>
  </si>
  <si>
    <t>Project3</t>
  </si>
  <si>
    <t>Project4</t>
  </si>
  <si>
    <t>Planned LOC (LOCp)</t>
  </si>
  <si>
    <t>Project8</t>
  </si>
  <si>
    <t>Project9</t>
  </si>
  <si>
    <t>Project10</t>
  </si>
  <si>
    <t>Lower prediction interval (LPI)</t>
    <phoneticPr fontId="0" type="noConversion"/>
  </si>
  <si>
    <t>Blackout begins</t>
    <phoneticPr fontId="0" type="noConversion"/>
  </si>
  <si>
    <t>6pm</t>
    <phoneticPr fontId="0" type="noConversion"/>
  </si>
  <si>
    <t>Planned size  (LOCp)</t>
    <phoneticPr fontId="0" type="noConversion"/>
  </si>
  <si>
    <t>VL</t>
  </si>
  <si>
    <t>Are all regions highlighted in yellow complete?  (Either with a value, or NA if the cell is not applicable. No units of measure.)</t>
  </si>
  <si>
    <r>
      <t>LOC</t>
    </r>
    <r>
      <rPr>
        <vertAlign val="subscript"/>
        <sz val="10"/>
        <rFont val="Arial"/>
        <family val="2"/>
      </rPr>
      <t>E</t>
    </r>
    <r>
      <rPr>
        <sz val="10"/>
        <rFont val="Arial"/>
        <family val="2"/>
      </rPr>
      <t xml:space="preserve"> x Time</t>
    </r>
  </si>
  <si>
    <r>
      <t>LOC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x Time</t>
    </r>
  </si>
  <si>
    <t>low</t>
    <phoneticPr fontId="0" type="noConversion"/>
  </si>
  <si>
    <t>medium</t>
    <phoneticPr fontId="0" type="noConversion"/>
  </si>
  <si>
    <t>high</t>
    <phoneticPr fontId="0" type="noConversion"/>
  </si>
  <si>
    <t>Low</t>
    <phoneticPr fontId="0" type="noConversion"/>
  </si>
  <si>
    <t>Mid</t>
    <phoneticPr fontId="0" type="noConversion"/>
  </si>
  <si>
    <t>High</t>
    <phoneticPr fontId="0" type="noConversion"/>
  </si>
  <si>
    <t>VS</t>
    <phoneticPr fontId="0" type="noConversion"/>
  </si>
  <si>
    <t>S</t>
    <phoneticPr fontId="0" type="noConversion"/>
  </si>
  <si>
    <t>M</t>
    <phoneticPr fontId="0" type="noConversion"/>
  </si>
  <si>
    <t>L</t>
    <phoneticPr fontId="0" type="noConversion"/>
  </si>
  <si>
    <t>VL</t>
    <phoneticPr fontId="0" type="noConversion"/>
  </si>
  <si>
    <t>LOC</t>
    <phoneticPr fontId="0" type="noConversion"/>
  </si>
  <si>
    <t>Lower prediction interval (LPI)</t>
  </si>
  <si>
    <t>Upper prediction interval (UPI)</t>
  </si>
  <si>
    <t>Productivity (Prod)</t>
    <phoneticPr fontId="0" type="noConversion"/>
  </si>
  <si>
    <t>LOC/hr</t>
    <phoneticPr fontId="0" type="noConversion"/>
  </si>
  <si>
    <t>Minutes</t>
    <phoneticPr fontId="0" type="noConversion"/>
  </si>
  <si>
    <t>Project5</t>
  </si>
  <si>
    <t>Project6</t>
  </si>
  <si>
    <t>Project7</t>
  </si>
  <si>
    <t>average</t>
  </si>
  <si>
    <t>values</t>
  </si>
  <si>
    <t>average of the values</t>
  </si>
  <si>
    <t>Are correlation values based on correct data sets?</t>
    <phoneticPr fontId="11" type="noConversion"/>
  </si>
  <si>
    <t>correl</t>
  </si>
  <si>
    <t>parms:</t>
  </si>
  <si>
    <t>x's, y's</t>
  </si>
  <si>
    <t>returns:</t>
  </si>
  <si>
    <t>correlation coefficient</t>
  </si>
  <si>
    <t>X</t>
  </si>
  <si>
    <t>Y</t>
  </si>
  <si>
    <t>example:</t>
  </si>
  <si>
    <t>Decision D</t>
  </si>
  <si>
    <t>Are the lifecycle activities distributed according to historical performance?</t>
  </si>
  <si>
    <t>Quality checks</t>
  </si>
  <si>
    <t>General</t>
  </si>
  <si>
    <t xml:space="preserve"> - complete "Assignment" worksheet</t>
  </si>
  <si>
    <t xml:space="preserve"> - (optional) intermediate calculations</t>
  </si>
  <si>
    <t>Assignment:</t>
  </si>
  <si>
    <t>Are supporting calculations understandable?</t>
  </si>
  <si>
    <t>11:55pm</t>
  </si>
  <si>
    <t>Central time</t>
  </si>
  <si>
    <t>Minutes</t>
  </si>
  <si>
    <t>Postmortem</t>
  </si>
  <si>
    <t>Phase</t>
  </si>
  <si>
    <t>Type</t>
  </si>
  <si>
    <t>Data</t>
  </si>
  <si>
    <t>Instructor Assessment</t>
  </si>
  <si>
    <t>Total</t>
  </si>
  <si>
    <t>Aspect</t>
  </si>
  <si>
    <t>5700/6700 due date:</t>
  </si>
  <si>
    <t>Actual LOC (LOCa)</t>
  </si>
  <si>
    <t>Is the range calculation valid?  It is correct?</t>
  </si>
  <si>
    <t>Operations</t>
  </si>
  <si>
    <t xml:space="preserve"> - Selected cells in this spreadsheet are locked against inadvertent editing.  Should you need to unlock the spreadsheet, select the protected worksheet, select Tools -&gt; Protection -&gt; unprotect.  Use "comp6700" if a password is requested.  </t>
  </si>
  <si>
    <t>Supporting Calculations for</t>
  </si>
  <si>
    <t>Useful Excel Functions</t>
  </si>
  <si>
    <t xml:space="preserve"> - This homework assignment is be accomplished individually</t>
  </si>
  <si>
    <t>Deliverables:</t>
  </si>
  <si>
    <t>Name:</t>
  </si>
  <si>
    <t>Special Instructions:</t>
  </si>
  <si>
    <t>Methods</t>
  </si>
  <si>
    <t>Calculation</t>
  </si>
  <si>
    <t>Logic</t>
  </si>
  <si>
    <t>S</t>
  </si>
  <si>
    <t>M</t>
  </si>
  <si>
    <t>L</t>
  </si>
  <si>
    <t>Productivity</t>
  </si>
  <si>
    <t>Name of this  file:</t>
  </si>
  <si>
    <t>COMP 6700/6706 -- Software Process</t>
  </si>
  <si>
    <t>Objective:</t>
  </si>
  <si>
    <t>not applicable</t>
  </si>
  <si>
    <t>Confidence</t>
    <phoneticPr fontId="0" type="noConversion"/>
  </si>
  <si>
    <t>Project History:  The following is a record of actual/estimated performance on past projects.  Note:  times are in minutes.</t>
  </si>
  <si>
    <t xml:space="preserve"> - this spreadsheet</t>
  </si>
  <si>
    <t>given the data at right,</t>
  </si>
  <si>
    <t>"=CORREL(F83:F88,G83:G88)"</t>
  </si>
  <si>
    <t>yields</t>
  </si>
  <si>
    <t>sum</t>
  </si>
  <si>
    <t>sum of the values</t>
  </si>
  <si>
    <t>Project11</t>
  </si>
  <si>
    <t>Project12</t>
  </si>
  <si>
    <t>Project13</t>
  </si>
  <si>
    <t>Time in Phase To Date %</t>
  </si>
  <si>
    <t>6706 due date:</t>
  </si>
  <si>
    <t xml:space="preserve"> - (Optional) Explanatory calculations on worksheets "Calc-1", "Calc-2", etc.</t>
  </si>
  <si>
    <t>Total raw size (LOCr)</t>
  </si>
  <si>
    <t>Planned effort (Ep)</t>
  </si>
  <si>
    <t>Size matrix</t>
  </si>
  <si>
    <t>LOC/Method</t>
  </si>
  <si>
    <t>Are buckets sized by a log-normal distribution?</t>
  </si>
  <si>
    <t>Are new components sized according to the size matrix?</t>
  </si>
  <si>
    <t>Does the Lower Prediction Interval (LPI) represent a valid value?</t>
  </si>
  <si>
    <t>Component Name</t>
  </si>
  <si>
    <t>Design Approach</t>
  </si>
  <si>
    <t>Superclass</t>
  </si>
  <si>
    <t>Component Type</t>
  </si>
  <si>
    <t>Collaborators</t>
  </si>
  <si>
    <t>OO</t>
  </si>
  <si>
    <t>Notes</t>
  </si>
  <si>
    <t>Component</t>
  </si>
  <si>
    <t>Username:</t>
  </si>
  <si>
    <t>Planned Effort      (Ep)</t>
  </si>
  <si>
    <t>Actual Effort (Ea)</t>
  </si>
  <si>
    <t>see lecture notes</t>
  </si>
  <si>
    <t>Component sizing</t>
  </si>
  <si>
    <t>Raw New LOC</t>
  </si>
  <si>
    <t>ForecastedComponent01</t>
  </si>
  <si>
    <t>ForecastedComponent02</t>
  </si>
  <si>
    <t>ForecastedComponent03, ForecastedComponent04</t>
  </si>
  <si>
    <t>ForecastedComponent03</t>
  </si>
  <si>
    <t>ForecastedComponent04</t>
  </si>
  <si>
    <t>ForecastedComponent05</t>
  </si>
  <si>
    <t>ForecastedComponent06</t>
  </si>
  <si>
    <t>CA05</t>
  </si>
  <si>
    <t>exp</t>
  </si>
  <si>
    <t>power</t>
  </si>
  <si>
    <t>the average of the x's above is "=AVERAGE(F42:F47)", or</t>
  </si>
  <si>
    <t>the std of the x's above is "=STDEV(F42:F47)", or</t>
  </si>
  <si>
    <t>the sum of the x's above is "=SUM(F42:F47)", which yields</t>
  </si>
  <si>
    <t>ln</t>
  </si>
  <si>
    <t>value</t>
  </si>
  <si>
    <t>natural logarithm of the value</t>
  </si>
  <si>
    <t>the natural logarithm of the value above is "=ln(I59)", which yields</t>
  </si>
  <si>
    <t>the antilog of the natural log abve "=exp(I59)", which is</t>
  </si>
  <si>
    <t>ceiling</t>
  </si>
  <si>
    <t>value, places</t>
  </si>
  <si>
    <t>a value that is rounded up to the nearest significant digit</t>
  </si>
  <si>
    <t>the integer ceiling of 4.1667 is "=ceiling(4.1667,1)", which is:</t>
  </si>
  <si>
    <t>Raw LOC    (LOCr)</t>
  </si>
  <si>
    <t>Component87</t>
  </si>
  <si>
    <t>Project planning</t>
  </si>
  <si>
    <t>Repatterning</t>
  </si>
  <si>
    <t>Interation Planning</t>
  </si>
  <si>
    <t>Has each new component been given a relative size?</t>
  </si>
  <si>
    <t>Are base components accounted for?</t>
  </si>
  <si>
    <t>Is effort based on the new and modified components?</t>
  </si>
  <si>
    <t xml:space="preserve"> - When complete, upload the spreadsheet to Canvas</t>
  </si>
  <si>
    <t>Component History:  The following is a record of historical components.</t>
  </si>
  <si>
    <t>Activities:  The following describes the to-date percentages for development time and defects.</t>
  </si>
  <si>
    <t>ForecastedComponent02, ForecastedComponent05</t>
  </si>
  <si>
    <t>floor</t>
  </si>
  <si>
    <t>a value that is rounded down to the nearest significant digit</t>
  </si>
  <si>
    <t>the integer floor of 4.1667 is "=floor(4.1667,1)", which is</t>
  </si>
  <si>
    <t>Solution</t>
  </si>
  <si>
    <t>Supporting calculations for</t>
  </si>
  <si>
    <t>Possible Score</t>
  </si>
  <si>
    <t>Earned Score</t>
  </si>
  <si>
    <t>Comment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</si>
  <si>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</si>
  <si>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</si>
  <si>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</si>
  <si>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</si>
  <si>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</si>
  <si>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</si>
  <si>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</si>
  <si>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</si>
  <si>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</si>
  <si>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</si>
  <si>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</si>
  <si>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</si>
  <si>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</si>
  <si>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</si>
  <si>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</si>
  <si>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</si>
  <si>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</si>
  <si>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</si>
  <si>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</si>
  <si>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</si>
  <si>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</si>
  <si>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</si>
  <si>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</si>
  <si>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</si>
  <si>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</si>
  <si>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</si>
  <si>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</si>
  <si>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</si>
  <si>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</si>
  <si>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</si>
  <si>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</si>
  <si>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Never</t>
  </si>
  <si>
    <t xml:space="preserve">Architecture:  The following CRC cards describe the solution.  </t>
  </si>
  <si>
    <t>Component1</t>
  </si>
  <si>
    <t>Component2</t>
  </si>
  <si>
    <t>Component3</t>
  </si>
  <si>
    <t>Component4</t>
  </si>
  <si>
    <t>Component5</t>
  </si>
  <si>
    <t>Component6</t>
  </si>
  <si>
    <t>Component7</t>
  </si>
  <si>
    <t>Component8</t>
  </si>
  <si>
    <t>Component9</t>
  </si>
  <si>
    <t xml:space="preserve"> </t>
  </si>
  <si>
    <t>4 methods</t>
  </si>
  <si>
    <t>5 methods</t>
  </si>
  <si>
    <t>No historical component approximates the functionality of this component. This component is most similar in complexity to Component51</t>
  </si>
  <si>
    <t>7 methods</t>
  </si>
  <si>
    <t>The functionality of this component is available by deleting 17 LOC from, modifying 16 LOC of, and adding 29 LOC to Component82 as well as adding 1 new method(s) to Component82</t>
  </si>
  <si>
    <t>The functionality of this component is available by deleting 14 LOC from, modifying 13 LOC of, and adding 21 LOC to Component70 as well as adding 1 new method(s) to Component70</t>
  </si>
  <si>
    <t>FD</t>
  </si>
  <si>
    <t>1 method</t>
  </si>
  <si>
    <t>The functionality of this component is available by deleting 12 LOC from, modifying 11 LOC of, and adding 20 LOC to Component59.</t>
  </si>
  <si>
    <t>No historical component approximates the functionality of this component. This component is most similar in complexity to Component58</t>
  </si>
  <si>
    <t>No historical component approximates the functionality of this component. This component is most similar in complexity to Component31</t>
  </si>
  <si>
    <t>Size calculations</t>
  </si>
  <si>
    <t>Bottom-up effort calculations</t>
  </si>
  <si>
    <t>Top-down effort calculations</t>
  </si>
  <si>
    <t>Precedent</t>
  </si>
  <si>
    <t>Flexibility</t>
  </si>
  <si>
    <t>Risk resolution</t>
  </si>
  <si>
    <t>Team Cohesion</t>
  </si>
  <si>
    <t>Process Level</t>
  </si>
  <si>
    <t>Very Low</t>
  </si>
  <si>
    <t>Low</t>
  </si>
  <si>
    <t>Nominal</t>
  </si>
  <si>
    <t>High</t>
  </si>
  <si>
    <t>Very High</t>
  </si>
  <si>
    <t>Extra High</t>
  </si>
  <si>
    <t>Product attributes</t>
  </si>
  <si>
    <t>Required software reliability</t>
  </si>
  <si>
    <t>Size of application database</t>
  </si>
  <si>
    <t>Complexity of the product</t>
  </si>
  <si>
    <t>Hardware attributes</t>
  </si>
  <si>
    <t>Run-time performance constraints</t>
  </si>
  <si>
    <t>Memory constraints</t>
  </si>
  <si>
    <t>Volatility of the virtual machine environment</t>
  </si>
  <si>
    <t>Required turnabout time</t>
  </si>
  <si>
    <t>Personnel attributes</t>
  </si>
  <si>
    <t>Analyst capability</t>
  </si>
  <si>
    <t>Applications experience</t>
  </si>
  <si>
    <t>Software engineer capability</t>
  </si>
  <si>
    <t>Virtual machine experience</t>
  </si>
  <si>
    <t>Programming language experience</t>
  </si>
  <si>
    <t>Project attributes</t>
  </si>
  <si>
    <t>Application of software engineering methods</t>
  </si>
  <si>
    <t>Use of software tools</t>
  </si>
  <si>
    <t>Required development schedule</t>
  </si>
  <si>
    <t>Scale Factors</t>
  </si>
  <si>
    <t>Cost Drivers</t>
  </si>
  <si>
    <t>Person months, worst case:</t>
  </si>
  <si>
    <t>Person months, best case:</t>
  </si>
  <si>
    <t>Person Months</t>
  </si>
  <si>
    <t>2.718^power</t>
  </si>
  <si>
    <t>Person months, if all factors are nominal:</t>
  </si>
  <si>
    <t>Personnel continuity</t>
  </si>
  <si>
    <t>How much overall effort do you anticipate expending in construction?</t>
  </si>
  <si>
    <t>COCOMO:  The following values are COCOMO reference factors and drivers</t>
  </si>
  <si>
    <t>Big</t>
  </si>
  <si>
    <t>Haden Stuart</t>
  </si>
  <si>
    <t>has0027</t>
  </si>
  <si>
    <t>average =</t>
  </si>
  <si>
    <t xml:space="preserve">std = </t>
  </si>
  <si>
    <t>Loc/Methods</t>
  </si>
  <si>
    <t>ln(Loc/Methods)</t>
  </si>
  <si>
    <t>Relative Size</t>
  </si>
  <si>
    <t>Estimation Basis</t>
  </si>
  <si>
    <t>Modified LOC</t>
  </si>
  <si>
    <t>Added LOC</t>
  </si>
  <si>
    <t>Deleted LOC</t>
  </si>
  <si>
    <t>Base LOC</t>
  </si>
  <si>
    <t>New Methods</t>
  </si>
  <si>
    <t>New LOC</t>
  </si>
  <si>
    <t>Totals</t>
  </si>
  <si>
    <t>Component 51</t>
  </si>
  <si>
    <t>Component 82</t>
  </si>
  <si>
    <t>Component 70</t>
  </si>
  <si>
    <t>Component 31</t>
  </si>
  <si>
    <t>Component 59</t>
  </si>
  <si>
    <t>Component 58</t>
  </si>
  <si>
    <t>5</t>
  </si>
  <si>
    <t>8</t>
  </si>
  <si>
    <t>6</t>
  </si>
  <si>
    <t>For new methods I did, operations + new methods = 7 + 1 = 8</t>
  </si>
  <si>
    <t>For new methods I did, operations + new methods = 5 + 1 = 6</t>
  </si>
  <si>
    <t>4</t>
  </si>
  <si>
    <t>1</t>
  </si>
  <si>
    <t>LOCr =</t>
  </si>
  <si>
    <t>sum(LOCa)/sum(LOCr) =</t>
  </si>
  <si>
    <t>LOCp =</t>
  </si>
  <si>
    <t>LOCa/LOCr</t>
  </si>
  <si>
    <t>min =</t>
  </si>
  <si>
    <t>max =</t>
  </si>
  <si>
    <t>LPI =</t>
  </si>
  <si>
    <t>UPI =</t>
  </si>
  <si>
    <t>Confidence =</t>
  </si>
  <si>
    <t>LOW</t>
  </si>
  <si>
    <t>low</t>
  </si>
  <si>
    <t>Size Calculations</t>
  </si>
  <si>
    <t>Effort Calculations</t>
  </si>
  <si>
    <t>Prod =</t>
  </si>
  <si>
    <t>sum(Ea)/sum(LOCa) =</t>
  </si>
  <si>
    <t>Ep =</t>
  </si>
  <si>
    <t>Ea/LOCa</t>
  </si>
  <si>
    <t>HIGH</t>
  </si>
  <si>
    <t>high</t>
  </si>
  <si>
    <t>Construction Phase = 50% for Time In to Date so: Ep * 0.5</t>
  </si>
  <si>
    <t>A =</t>
  </si>
  <si>
    <t>B =</t>
  </si>
  <si>
    <t xml:space="preserve">Size = </t>
  </si>
  <si>
    <t>SUM(SF) =</t>
  </si>
  <si>
    <t xml:space="preserve">PRODUCT(EM) = </t>
  </si>
  <si>
    <t>PM Nominal</t>
  </si>
  <si>
    <t>PM =</t>
  </si>
  <si>
    <t>PM Worst</t>
  </si>
  <si>
    <t>PM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</si>
</sst>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i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0"/>
      <name val="ArialMT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0" fillId="0" borderId="0" xfId="0" applyAlignment="1" applyProtection="1"/>
    <xf numFmtId="0" fontId="0" fillId="0" borderId="0" xfId="0" applyFill="1" applyBorder="1" applyAlignment="1" applyProtection="1"/>
    <xf numFmtId="15" fontId="0" fillId="0" borderId="0" xfId="0" applyNumberFormat="1"/>
    <xf numFmtId="0" fontId="0" fillId="0" borderId="0" xfId="0" applyAlignment="1" applyProtection="1">
      <protection locked="0"/>
    </xf>
    <xf numFmtId="15" fontId="0" fillId="0" borderId="0" xfId="0" applyNumberFormat="1" applyAlignment="1" applyProtection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right" vertical="top" wrapText="1"/>
    </xf>
    <xf numFmtId="0" fontId="3" fillId="0" borderId="0" xfId="0" applyFont="1" applyAlignment="1">
      <alignment horizontal="right"/>
    </xf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 applyProtection="1">
      <alignment horizontal="left" vertical="top" wrapText="1"/>
    </xf>
    <xf numFmtId="15" fontId="0" fillId="0" borderId="2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Protection="1"/>
    <xf numFmtId="0" fontId="0" fillId="0" borderId="0" xfId="0" applyFill="1" applyBorder="1" applyProtection="1"/>
    <xf numFmtId="0" fontId="0" fillId="0" borderId="0" xfId="0" applyAlignment="1" applyProtection="1">
      <alignment horizontal="center"/>
    </xf>
    <xf numFmtId="0" fontId="0" fillId="0" borderId="0" xfId="0" applyAlignment="1">
      <alignment horizontal="left"/>
    </xf>
    <xf numFmtId="1" fontId="10" fillId="0" borderId="0" xfId="0" applyNumberFormat="1" applyFont="1" applyAlignment="1" applyProtection="1">
      <protection locked="0"/>
    </xf>
    <xf numFmtId="1" fontId="3" fillId="0" borderId="3" xfId="0" applyNumberFormat="1" applyFont="1" applyBorder="1" applyAlignment="1" applyProtection="1">
      <alignment horizontal="center" wrapText="1"/>
    </xf>
    <xf numFmtId="0" fontId="3" fillId="0" borderId="0" xfId="0" applyFont="1" applyAlignment="1"/>
    <xf numFmtId="0" fontId="4" fillId="0" borderId="0" xfId="0" applyFont="1"/>
    <xf numFmtId="0" fontId="6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6" fillId="0" borderId="0" xfId="0" applyFont="1" applyBorder="1"/>
    <xf numFmtId="1" fontId="3" fillId="0" borderId="3" xfId="0" applyNumberFormat="1" applyFont="1" applyBorder="1" applyAlignment="1" applyProtection="1">
      <alignment wrapText="1"/>
    </xf>
    <xf numFmtId="1" fontId="3" fillId="0" borderId="0" xfId="0" applyNumberFormat="1" applyFont="1" applyFill="1" applyBorder="1" applyAlignment="1" applyProtection="1">
      <protection locked="0"/>
    </xf>
    <xf numFmtId="0" fontId="3" fillId="0" borderId="0" xfId="0" applyFont="1"/>
    <xf numFmtId="0" fontId="0" fillId="0" borderId="4" xfId="0" applyBorder="1" applyAlignment="1">
      <alignment horizontal="right"/>
    </xf>
    <xf numFmtId="0" fontId="3" fillId="0" borderId="0" xfId="0" applyFont="1" applyBorder="1" applyAlignment="1" applyProtection="1">
      <alignment horizontal="left" vertical="center"/>
    </xf>
    <xf numFmtId="0" fontId="0" fillId="0" borderId="0" xfId="0" applyFill="1" applyAlignment="1" applyProtection="1"/>
    <xf numFmtId="0" fontId="3" fillId="2" borderId="5" xfId="0" applyFont="1" applyFill="1" applyBorder="1" applyAlignment="1" applyProtection="1">
      <alignment horizontal="left"/>
    </xf>
    <xf numFmtId="0" fontId="3" fillId="2" borderId="0" xfId="0" applyFont="1" applyFill="1" applyAlignment="1" applyProtection="1">
      <alignment horizontal="left"/>
    </xf>
    <xf numFmtId="0" fontId="0" fillId="0" borderId="0" xfId="0" applyBorder="1" applyAlignment="1" applyProtection="1"/>
    <xf numFmtId="0" fontId="0" fillId="0" borderId="6" xfId="0" applyBorder="1" applyAlignment="1" applyProtection="1">
      <alignment horizontal="left" vertical="top" wrapText="1"/>
    </xf>
    <xf numFmtId="1" fontId="3" fillId="0" borderId="3" xfId="0" applyNumberFormat="1" applyFont="1" applyFill="1" applyBorder="1" applyAlignment="1" applyProtection="1"/>
    <xf numFmtId="1" fontId="0" fillId="0" borderId="0" xfId="0" applyNumberFormat="1" applyFill="1" applyBorder="1" applyAlignment="1" applyProtection="1"/>
    <xf numFmtId="0" fontId="3" fillId="0" borderId="0" xfId="0" applyFont="1" applyProtection="1"/>
    <xf numFmtId="0" fontId="3" fillId="0" borderId="0" xfId="0" applyFont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/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1" fontId="12" fillId="0" borderId="0" xfId="0" applyNumberFormat="1" applyFont="1" applyAlignment="1" applyProtection="1">
      <protection locked="0"/>
    </xf>
    <xf numFmtId="1" fontId="4" fillId="0" borderId="0" xfId="0" applyNumberFormat="1" applyFont="1" applyAlignment="1" applyProtection="1">
      <protection locked="0"/>
    </xf>
    <xf numFmtId="1" fontId="4" fillId="0" borderId="0" xfId="0" applyNumberFormat="1" applyFont="1" applyAlignment="1" applyProtection="1"/>
    <xf numFmtId="164" fontId="4" fillId="0" borderId="0" xfId="0" applyNumberFormat="1" applyFont="1" applyAlignment="1" applyProtection="1">
      <protection locked="0"/>
    </xf>
    <xf numFmtId="2" fontId="4" fillId="0" borderId="0" xfId="0" applyNumberFormat="1" applyFont="1" applyAlignment="1" applyProtection="1">
      <protection locked="0"/>
    </xf>
    <xf numFmtId="1" fontId="4" fillId="0" borderId="0" xfId="0" applyNumberFormat="1" applyFont="1" applyBorder="1" applyAlignment="1" applyProtection="1"/>
    <xf numFmtId="0" fontId="4" fillId="0" borderId="0" xfId="0" applyFont="1" applyAlignment="1"/>
    <xf numFmtId="1" fontId="12" fillId="0" borderId="0" xfId="0" applyNumberFormat="1" applyFont="1" applyAlignment="1" applyProtection="1"/>
    <xf numFmtId="9" fontId="12" fillId="0" borderId="0" xfId="0" applyNumberFormat="1" applyFont="1" applyAlignment="1"/>
    <xf numFmtId="1" fontId="12" fillId="0" borderId="0" xfId="0" applyNumberFormat="1" applyFont="1" applyBorder="1" applyAlignment="1" applyProtection="1"/>
    <xf numFmtId="0" fontId="1" fillId="0" borderId="0" xfId="0" applyFont="1" applyProtection="1"/>
    <xf numFmtId="0" fontId="1" fillId="0" borderId="0" xfId="0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 wrapText="1"/>
    </xf>
    <xf numFmtId="0" fontId="0" fillId="0" borderId="0" xfId="0" applyFill="1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1" fontId="0" fillId="0" borderId="0" xfId="0" applyNumberFormat="1" applyProtection="1"/>
    <xf numFmtId="0" fontId="1" fillId="0" borderId="0" xfId="0" applyFont="1" applyFill="1" applyBorder="1" applyAlignment="1" applyProtection="1"/>
    <xf numFmtId="0" fontId="0" fillId="0" borderId="0" xfId="0" applyFont="1" applyBorder="1" applyAlignment="1">
      <alignment horizontal="left"/>
    </xf>
    <xf numFmtId="1" fontId="10" fillId="0" borderId="0" xfId="0" applyNumberFormat="1" applyFont="1" applyAlignment="1" applyProtection="1"/>
    <xf numFmtId="0" fontId="0" fillId="0" borderId="0" xfId="0" applyAlignment="1"/>
    <xf numFmtId="1" fontId="0" fillId="0" borderId="9" xfId="0" applyNumberFormat="1" applyFont="1" applyBorder="1" applyAlignment="1" applyProtection="1">
      <alignment vertical="top" wrapText="1"/>
    </xf>
    <xf numFmtId="1" fontId="0" fillId="4" borderId="4" xfId="0" applyNumberFormat="1" applyFill="1" applyBorder="1" applyAlignment="1" applyProtection="1">
      <alignment horizontal="center"/>
      <protection locked="0"/>
    </xf>
    <xf numFmtId="1" fontId="1" fillId="4" borderId="4" xfId="0" applyNumberFormat="1" applyFont="1" applyFill="1" applyBorder="1" applyAlignment="1" applyProtection="1">
      <alignment horizontal="center" vertical="center"/>
      <protection locked="0"/>
    </xf>
    <xf numFmtId="1" fontId="0" fillId="4" borderId="10" xfId="0" applyNumberFormat="1" applyFill="1" applyBorder="1" applyAlignment="1" applyProtection="1">
      <alignment horizontal="right"/>
      <protection locked="0"/>
    </xf>
    <xf numFmtId="1" fontId="0" fillId="4" borderId="4" xfId="0" applyNumberFormat="1" applyFill="1" applyBorder="1" applyAlignment="1" applyProtection="1">
      <alignment horizontal="right"/>
      <protection locked="0"/>
    </xf>
    <xf numFmtId="0" fontId="0" fillId="5" borderId="0" xfId="0" applyFill="1" applyAlignment="1"/>
    <xf numFmtId="1" fontId="0" fillId="5" borderId="9" xfId="0" applyNumberFormat="1" applyFont="1" applyFill="1" applyBorder="1" applyAlignment="1" applyProtection="1">
      <alignment vertical="top" wrapText="1"/>
      <protection locked="0"/>
    </xf>
    <xf numFmtId="1" fontId="0" fillId="5" borderId="9" xfId="0" applyNumberFormat="1" applyFont="1" applyFill="1" applyBorder="1" applyAlignment="1" applyProtection="1">
      <alignment vertical="top" wrapText="1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left"/>
    </xf>
    <xf numFmtId="0" fontId="0" fillId="0" borderId="0" xfId="0" applyFill="1" applyBorder="1" applyAlignment="1" applyProtection="1">
      <alignment horizontal="left" vertical="top" wrapText="1"/>
    </xf>
    <xf numFmtId="1" fontId="3" fillId="0" borderId="3" xfId="0" applyNumberFormat="1" applyFont="1" applyBorder="1" applyAlignment="1">
      <alignment horizontal="center"/>
    </xf>
    <xf numFmtId="1" fontId="3" fillId="0" borderId="3" xfId="0" applyNumberFormat="1" applyFont="1" applyBorder="1"/>
    <xf numFmtId="0" fontId="0" fillId="6" borderId="0" xfId="0" applyFill="1"/>
    <xf numFmtId="1" fontId="0" fillId="0" borderId="0" xfId="0" applyNumberFormat="1"/>
    <xf numFmtId="9" fontId="4" fillId="5" borderId="0" xfId="0" applyNumberFormat="1" applyFont="1" applyFill="1" applyAlignment="1"/>
    <xf numFmtId="9" fontId="4" fillId="0" borderId="0" xfId="0" applyNumberFormat="1" applyFont="1" applyAlignment="1"/>
    <xf numFmtId="1" fontId="0" fillId="5" borderId="7" xfId="0" applyNumberFormat="1" applyFont="1" applyFill="1" applyBorder="1" applyAlignment="1" applyProtection="1">
      <alignment vertical="top" wrapText="1"/>
      <protection locked="0"/>
    </xf>
    <xf numFmtId="1" fontId="0" fillId="5" borderId="2" xfId="0" applyNumberFormat="1" applyFont="1" applyFill="1" applyBorder="1" applyAlignment="1" applyProtection="1">
      <alignment vertical="top" wrapText="1"/>
      <protection locked="0"/>
    </xf>
    <xf numFmtId="1" fontId="0" fillId="5" borderId="1" xfId="0" applyNumberFormat="1" applyFont="1" applyFill="1" applyBorder="1" applyAlignment="1" applyProtection="1">
      <alignment vertical="top" wrapText="1"/>
      <protection locked="0"/>
    </xf>
    <xf numFmtId="1" fontId="0" fillId="0" borderId="7" xfId="0" applyNumberFormat="1" applyFont="1" applyBorder="1" applyAlignment="1" applyProtection="1">
      <alignment vertical="top" wrapText="1"/>
    </xf>
    <xf numFmtId="1" fontId="0" fillId="0" borderId="2" xfId="0" applyNumberFormat="1" applyFont="1" applyBorder="1" applyAlignment="1" applyProtection="1">
      <alignment vertical="top" wrapText="1"/>
    </xf>
    <xf numFmtId="1" fontId="0" fillId="5" borderId="7" xfId="0" applyNumberFormat="1" applyFont="1" applyFill="1" applyBorder="1" applyAlignment="1" applyProtection="1">
      <alignment vertical="top" wrapText="1"/>
    </xf>
    <xf numFmtId="1" fontId="0" fillId="5" borderId="2" xfId="0" applyNumberFormat="1" applyFont="1" applyFill="1" applyBorder="1" applyAlignment="1" applyProtection="1">
      <alignment vertical="top" wrapText="1"/>
    </xf>
    <xf numFmtId="1" fontId="1" fillId="0" borderId="0" xfId="0" applyNumberFormat="1" applyFont="1" applyProtection="1"/>
    <xf numFmtId="0" fontId="0" fillId="0" borderId="0" xfId="0" applyFill="1" applyProtection="1"/>
    <xf numFmtId="0" fontId="0" fillId="5" borderId="8" xfId="0" applyFont="1" applyFill="1" applyBorder="1" applyAlignment="1">
      <alignment vertical="top" wrapText="1"/>
    </xf>
    <xf numFmtId="0" fontId="0" fillId="0" borderId="0" xfId="0" applyFont="1" applyFill="1" applyBorder="1" applyAlignment="1" applyProtection="1"/>
    <xf numFmtId="0" fontId="3" fillId="0" borderId="7" xfId="0" applyFont="1" applyBorder="1" applyAlignment="1" applyProtection="1">
      <alignment horizontal="center" wrapText="1"/>
    </xf>
    <xf numFmtId="0" fontId="0" fillId="0" borderId="2" xfId="0" applyFill="1" applyBorder="1" applyAlignment="1" applyProtection="1">
      <alignment horizontal="right" vertical="top" wrapText="1"/>
    </xf>
    <xf numFmtId="0" fontId="3" fillId="0" borderId="4" xfId="0" applyFont="1" applyFill="1" applyBorder="1" applyAlignment="1" applyProtection="1">
      <alignment horizontal="center" wrapText="1"/>
    </xf>
    <xf numFmtId="0" fontId="0" fillId="0" borderId="4" xfId="0" applyFill="1" applyBorder="1" applyProtection="1"/>
    <xf numFmtId="0" fontId="0" fillId="0" borderId="4" xfId="0" applyFill="1" applyBorder="1" applyAlignment="1" applyProtection="1"/>
    <xf numFmtId="0" fontId="0" fillId="0" borderId="4" xfId="0" applyFill="1" applyBorder="1" applyAlignment="1" applyProtection="1">
      <alignment horizontal="right"/>
    </xf>
    <xf numFmtId="9" fontId="0" fillId="0" borderId="0" xfId="0" applyNumberFormat="1" applyFont="1" applyAlignment="1"/>
    <xf numFmtId="0" fontId="0" fillId="0" borderId="0" xfId="0" applyFont="1" applyBorder="1" applyAlignment="1" applyProtection="1">
      <alignment horizontal="left" vertical="center"/>
    </xf>
    <xf numFmtId="1" fontId="0" fillId="0" borderId="0" xfId="0" applyNumberFormat="1" applyAlignment="1" applyProtection="1">
      <protection locked="0"/>
    </xf>
    <xf numFmtId="0" fontId="13" fillId="2" borderId="0" xfId="0" applyFont="1" applyFill="1" applyAlignment="1" applyProtection="1">
      <alignment horizontal="left"/>
    </xf>
    <xf numFmtId="0" fontId="0" fillId="0" borderId="8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top" wrapText="1"/>
    </xf>
    <xf numFmtId="0" fontId="0" fillId="5" borderId="1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1" xfId="0" applyFont="1" applyFill="1" applyBorder="1" applyAlignment="1">
      <alignment vertical="top" wrapText="1"/>
    </xf>
    <xf numFmtId="0" fontId="1" fillId="0" borderId="0" xfId="0" applyFont="1"/>
    <xf numFmtId="0" fontId="1" fillId="5" borderId="11" xfId="0" applyFont="1" applyFill="1" applyBorder="1" applyAlignment="1">
      <alignment vertical="top" wrapText="1"/>
    </xf>
    <xf numFmtId="0" fontId="1" fillId="6" borderId="0" xfId="0" applyFont="1" applyFill="1"/>
    <xf numFmtId="0" fontId="8" fillId="2" borderId="5" xfId="0" applyFont="1" applyFill="1" applyBorder="1" applyAlignment="1" applyProtection="1">
      <alignment horizontal="left" vertical="center"/>
    </xf>
    <xf numFmtId="0" fontId="0" fillId="0" borderId="4" xfId="0" applyFill="1" applyBorder="1" applyAlignment="1" applyProtection="1"/>
    <xf numFmtId="1" fontId="0" fillId="5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 wrapText="1"/>
    </xf>
    <xf numFmtId="1" fontId="1" fillId="0" borderId="0" xfId="0" applyNumberFormat="1" applyFont="1" applyAlignment="1" applyProtection="1">
      <protection locked="0"/>
    </xf>
    <xf numFmtId="1" fontId="1" fillId="0" borderId="0" xfId="0" applyNumberFormat="1" applyFont="1" applyAlignment="1" applyProtection="1"/>
    <xf numFmtId="0" fontId="15" fillId="0" borderId="0" xfId="0" applyFont="1"/>
    <xf numFmtId="1" fontId="7" fillId="0" borderId="0" xfId="0" applyNumberFormat="1" applyFont="1" applyAlignment="1" applyProtection="1"/>
    <xf numFmtId="1" fontId="9" fillId="0" borderId="0" xfId="0" applyNumberFormat="1" applyFont="1" applyAlignment="1" applyProtection="1"/>
    <xf numFmtId="1" fontId="9" fillId="0" borderId="0" xfId="0" applyNumberFormat="1" applyFont="1" applyAlignment="1" applyProtection="1">
      <protection locked="0"/>
    </xf>
    <xf numFmtId="0" fontId="14" fillId="0" borderId="0" xfId="0" applyFont="1" applyAlignment="1">
      <alignment horizontal="center"/>
    </xf>
    <xf numFmtId="1" fontId="1" fillId="0" borderId="0" xfId="0" applyNumberFormat="1" applyFont="1" applyAlignment="1" applyProtection="1">
      <alignment horizontal="center"/>
    </xf>
    <xf numFmtId="1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 applyProtection="1">
      <alignment horizontal="center"/>
      <protection locked="0"/>
    </xf>
    <xf numFmtId="0" fontId="14" fillId="0" borderId="0" xfId="0" applyFont="1" applyAlignment="1">
      <alignment horizontal="left" indent="1"/>
    </xf>
    <xf numFmtId="1" fontId="1" fillId="0" borderId="0" xfId="0" applyNumberFormat="1" applyFont="1" applyAlignment="1" applyProtection="1">
      <alignment horizontal="left" indent="1"/>
      <protection locked="0"/>
    </xf>
    <xf numFmtId="0" fontId="1" fillId="0" borderId="0" xfId="0" applyFont="1" applyAlignment="1" applyProtection="1"/>
    <xf numFmtId="2" fontId="14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0" fillId="4" borderId="4" xfId="0" applyNumberFormat="1" applyFill="1" applyBorder="1" applyAlignment="1" applyProtection="1">
      <alignment horizontal="right"/>
      <protection locked="0"/>
    </xf>
    <xf numFmtId="0" fontId="1" fillId="0" borderId="0" xfId="0" applyFont="1" applyFill="1" applyBorder="1" applyAlignment="1" applyProtection="1">
      <alignment wrapText="1"/>
    </xf>
    <xf numFmtId="1" fontId="0" fillId="7" borderId="4" xfId="0" applyNumberFormat="1" applyFill="1" applyBorder="1" applyAlignment="1" applyProtection="1">
      <alignment horizontal="center"/>
    </xf>
    <xf numFmtId="1" fontId="1" fillId="7" borderId="4" xfId="0" applyNumberFormat="1" applyFont="1" applyFill="1" applyBorder="1" applyAlignment="1" applyProtection="1">
      <alignment horizontal="center"/>
    </xf>
    <xf numFmtId="1" fontId="3" fillId="0" borderId="0" xfId="0" applyNumberFormat="1" applyFont="1" applyBorder="1" applyAlignment="1" applyProtection="1">
      <alignment horizontal="center"/>
    </xf>
    <xf numFmtId="1" fontId="3" fillId="0" borderId="0" xfId="0" applyNumberFormat="1" applyFont="1" applyBorder="1" applyAlignment="1" applyProtection="1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4" fillId="0" borderId="4" xfId="0" applyFont="1" applyBorder="1" applyAlignment="1">
      <alignment horizontal="left" vertical="center"/>
    </xf>
    <xf numFmtId="0" fontId="8" fillId="2" borderId="5" xfId="0" applyFont="1" applyFill="1" applyBorder="1" applyAlignment="1" applyProtection="1">
      <alignment horizontal="left" vertical="center"/>
    </xf>
    <xf numFmtId="0" fontId="8" fillId="2" borderId="5" xfId="0" applyFont="1" applyFill="1" applyBorder="1" applyAlignment="1" applyProtection="1">
      <alignment horizontal="left" vertical="center" wrapText="1"/>
    </xf>
    <xf numFmtId="0" fontId="8" fillId="2" borderId="0" xfId="0" applyFont="1" applyFill="1" applyBorder="1" applyAlignment="1" applyProtection="1">
      <alignment horizontal="left" vertical="center" wrapText="1"/>
    </xf>
    <xf numFmtId="0" fontId="8" fillId="3" borderId="0" xfId="0" applyFont="1" applyFill="1" applyBorder="1" applyAlignment="1" applyProtection="1">
      <alignment horizontal="left" vertical="center" wrapText="1"/>
    </xf>
    <xf numFmtId="0" fontId="0" fillId="0" borderId="4" xfId="0" applyFill="1" applyBorder="1" applyAlignment="1" applyProtection="1"/>
    <xf numFmtId="1" fontId="1" fillId="4" borderId="6" xfId="0" applyNumberFormat="1" applyFont="1" applyFill="1" applyBorder="1" applyAlignment="1" applyProtection="1">
      <alignment horizontal="left" vertical="center"/>
      <protection locked="0"/>
    </xf>
    <xf numFmtId="1" fontId="1" fillId="4" borderId="13" xfId="0" applyNumberFormat="1" applyFont="1" applyFill="1" applyBorder="1" applyAlignment="1" applyProtection="1">
      <alignment horizontal="left" vertical="center"/>
      <protection locked="0"/>
    </xf>
    <xf numFmtId="1" fontId="1" fillId="4" borderId="12" xfId="0" applyNumberFormat="1" applyFont="1" applyFill="1" applyBorder="1" applyAlignment="1" applyProtection="1">
      <alignment horizontal="left" vertical="center"/>
      <protection locked="0"/>
    </xf>
    <xf numFmtId="0" fontId="3" fillId="0" borderId="4" xfId="0" applyFont="1" applyFill="1" applyBorder="1" applyAlignment="1" applyProtection="1">
      <alignment wrapText="1"/>
    </xf>
    <xf numFmtId="0" fontId="0" fillId="0" borderId="6" xfId="0" applyFill="1" applyBorder="1" applyAlignment="1" applyProtection="1">
      <alignment horizontal="center" wrapText="1"/>
    </xf>
    <xf numFmtId="0" fontId="0" fillId="0" borderId="13" xfId="0" applyFill="1" applyBorder="1" applyAlignment="1" applyProtection="1">
      <alignment horizontal="center" wrapText="1"/>
    </xf>
    <xf numFmtId="0" fontId="0" fillId="0" borderId="12" xfId="0" applyFill="1" applyBorder="1" applyAlignment="1" applyProtection="1">
      <alignment horizontal="center" wrapText="1"/>
    </xf>
    <xf numFmtId="0" fontId="9" fillId="2" borderId="0" xfId="0" applyFont="1" applyFill="1" applyAlignment="1" applyProtection="1">
      <alignment horizontal="left"/>
    </xf>
    <xf numFmtId="0" fontId="0" fillId="2" borderId="0" xfId="0" applyFill="1" applyAlignment="1" applyProtection="1">
      <alignment horizontal="left"/>
    </xf>
    <xf numFmtId="0" fontId="0" fillId="0" borderId="0" xfId="0" applyAlignment="1" applyProtection="1">
      <alignment horizontal="right"/>
      <protection locked="0"/>
    </xf>
    <xf numFmtId="0" fontId="3" fillId="0" borderId="0" xfId="0" applyFont="1" applyAlignmen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 applyProtection="1">
      <protection locked="0"/>
    </xf>
    <xf numFmtId="2" fontId="0" fillId="0" borderId="0" xfId="0" applyNumberFormat="1" applyAlignment="1" applyProtection="1">
      <alignment horizontal="left" vertical="center"/>
      <protection locked="0"/>
    </xf>
    <xf numFmtId="2" fontId="0" fillId="0" borderId="0" xfId="0" applyNumberFormat="1" applyAlignment="1" applyProtection="1">
      <alignment horizontal="left"/>
      <protection locked="0"/>
    </xf>
    <xf numFmtId="0" fontId="1" fillId="0" borderId="0" xfId="0" applyFont="1" applyAlignment="1" applyProtection="1">
      <protection locked="0"/>
    </xf>
    <xf numFmtId="0" fontId="0" fillId="0" borderId="0" xfId="0" applyBorder="1" applyAlignment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8" borderId="0" xfId="0" applyFont="1" applyFill="1" applyAlignment="1" applyProtection="1">
      <alignment horizontal="center"/>
      <protection locked="0"/>
    </xf>
    <xf numFmtId="0" fontId="3" fillId="8" borderId="4" xfId="0" applyFont="1" applyFill="1" applyBorder="1" applyAlignment="1" applyProtection="1">
      <alignment horizontal="center"/>
      <protection locked="0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49" fontId="1" fillId="0" borderId="4" xfId="0" applyNumberFormat="1" applyFont="1" applyBorder="1" applyAlignment="1" applyProtection="1">
      <alignment horizontal="center"/>
      <protection locked="0"/>
    </xf>
    <xf numFmtId="49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 applyAlignme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1" fontId="1" fillId="4" borderId="4" xfId="0" applyNumberFormat="1" applyFont="1" applyFill="1" applyBorder="1" applyAlignment="1" applyProtection="1">
      <alignment horizontal="right"/>
      <protection locked="0"/>
    </xf>
    <xf numFmtId="0" fontId="3" fillId="0" borderId="14" xfId="0" applyFont="1" applyBorder="1" applyAlignment="1" applyProtection="1">
      <protection locked="0"/>
    </xf>
    <xf numFmtId="0" fontId="3" fillId="0" borderId="14" xfId="0" applyFont="1" applyBorder="1" applyAlignment="1" applyProtection="1">
      <alignment horizontal="left"/>
      <protection locked="0"/>
    </xf>
    <xf numFmtId="0" fontId="16" fillId="0" borderId="0" xfId="0" applyFont="1"/>
    <xf numFmtId="0" fontId="1" fillId="0" borderId="0" xfId="0" applyFont="1" applyAlignment="1" applyProtection="1">
      <alignment horizontal="left" vertical="top" wrapText="1"/>
      <protection locked="0"/>
    </xf>
    <xf numFmtId="0" fontId="1" fillId="0" borderId="14" xfId="0" applyFont="1" applyBorder="1" applyAlignment="1" applyProtection="1">
      <protection locked="0"/>
    </xf>
    <xf numFmtId="0" fontId="1" fillId="0" borderId="14" xfId="0" applyFont="1" applyBorder="1" applyProtection="1">
      <protection locked="0"/>
    </xf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I17"/>
  <sheetViews>
    <sheetView showGridLines="0" zoomScaleNormal="100" workbookViewId="0">
      <selection sqref="A1:G1"/>
    </sheetView>
  </sheetViews>
  <sheetFormatPr baseColWidth="10" defaultColWidth="7.33203125" defaultRowHeight="13"/>
  <cols>
    <col min="1" max="1" width="17" customWidth="1"/>
    <col min="2" max="2" width="9.1640625" bestFit="1" customWidth="1"/>
    <col min="3" max="3" width="8.5" customWidth="1"/>
    <col min="4" max="4" width="9.5" customWidth="1"/>
    <col min="5" max="5" width="10.83203125" customWidth="1"/>
    <col min="6" max="6" width="10.33203125" customWidth="1"/>
    <col min="7" max="7" width="8.6640625" customWidth="1"/>
    <col min="8" max="8" width="8.83203125" customWidth="1"/>
    <col min="11" max="11" width="9.6640625" customWidth="1"/>
  </cols>
  <sheetData>
    <row r="1" spans="1:9" ht="20">
      <c r="A1" s="144" t="s">
        <v>198</v>
      </c>
      <c r="B1" s="144"/>
      <c r="C1" s="144"/>
      <c r="D1" s="144"/>
      <c r="E1" s="144"/>
      <c r="F1" s="144"/>
      <c r="G1" s="144"/>
    </row>
    <row r="2" spans="1:9" hidden="1"/>
    <row r="3" spans="1:9" hidden="1">
      <c r="A3" s="9" t="s">
        <v>167</v>
      </c>
      <c r="B3" s="7" t="s">
        <v>243</v>
      </c>
    </row>
    <row r="4" spans="1:9" hidden="1">
      <c r="A4" s="9" t="s">
        <v>179</v>
      </c>
      <c r="B4" s="3">
        <v>41217</v>
      </c>
      <c r="C4" s="3" t="s">
        <v>169</v>
      </c>
      <c r="D4" t="s">
        <v>170</v>
      </c>
      <c r="E4" s="1" t="s">
        <v>122</v>
      </c>
      <c r="F4" s="5">
        <f>B4-3</f>
        <v>41214</v>
      </c>
      <c r="G4" s="1" t="s">
        <v>123</v>
      </c>
    </row>
    <row r="5" spans="1:9" hidden="1">
      <c r="A5" s="9" t="s">
        <v>213</v>
      </c>
      <c r="B5" s="3">
        <f>B4+7</f>
        <v>41224</v>
      </c>
      <c r="C5" s="3" t="str">
        <f>C4</f>
        <v>11:55pm</v>
      </c>
      <c r="D5" t="str">
        <f>D4</f>
        <v>Central time</v>
      </c>
      <c r="E5" s="1" t="s">
        <v>122</v>
      </c>
      <c r="F5" s="5">
        <f>B5-4</f>
        <v>41220</v>
      </c>
      <c r="G5" s="1" t="s">
        <v>123</v>
      </c>
    </row>
    <row r="6" spans="1:9" hidden="1">
      <c r="A6" s="12" t="s">
        <v>197</v>
      </c>
      <c r="B6" s="16" t="str">
        <f>CONCATENATE(B3,".xls")</f>
        <v>CA05.xls</v>
      </c>
    </row>
    <row r="7" spans="1:9">
      <c r="A7" s="9"/>
    </row>
    <row r="8" spans="1:9">
      <c r="A8" s="9" t="s">
        <v>199</v>
      </c>
      <c r="B8" s="145" t="s">
        <v>59</v>
      </c>
      <c r="C8" s="145"/>
      <c r="D8" s="145"/>
      <c r="E8" s="145"/>
      <c r="F8" s="145"/>
      <c r="G8" s="145"/>
      <c r="H8" s="145"/>
      <c r="I8" s="145"/>
    </row>
    <row r="9" spans="1:9">
      <c r="A9" s="9"/>
      <c r="B9" s="21"/>
      <c r="C9" s="21"/>
      <c r="D9" s="21"/>
      <c r="E9" s="21"/>
      <c r="F9" s="21"/>
      <c r="G9" s="21"/>
      <c r="H9" s="21"/>
      <c r="I9" s="21"/>
    </row>
    <row r="10" spans="1:9" ht="43.5" customHeight="1">
      <c r="A10" s="10" t="s">
        <v>167</v>
      </c>
      <c r="B10" s="143" t="s">
        <v>60</v>
      </c>
      <c r="C10" s="143"/>
      <c r="D10" s="143"/>
      <c r="E10" s="143"/>
      <c r="F10" s="143"/>
      <c r="G10" s="143"/>
      <c r="H10" s="143"/>
      <c r="I10" s="143"/>
    </row>
    <row r="11" spans="1:9" ht="12.75" customHeight="1">
      <c r="A11" s="9" t="s">
        <v>108</v>
      </c>
      <c r="B11" s="143" t="s">
        <v>186</v>
      </c>
      <c r="C11" s="143"/>
      <c r="D11" s="143"/>
      <c r="E11" s="143"/>
      <c r="F11" s="143"/>
      <c r="G11" s="143"/>
      <c r="H11" s="143"/>
      <c r="I11" s="143"/>
    </row>
    <row r="12" spans="1:9">
      <c r="A12" s="9"/>
      <c r="C12" s="8"/>
      <c r="D12" s="8"/>
      <c r="E12" s="17"/>
      <c r="F12" s="17"/>
      <c r="G12" s="17"/>
      <c r="H12" s="17"/>
      <c r="I12" s="8"/>
    </row>
    <row r="13" spans="1:9" ht="12" customHeight="1">
      <c r="A13" s="10" t="s">
        <v>187</v>
      </c>
      <c r="B13" s="143" t="s">
        <v>112</v>
      </c>
      <c r="C13" s="143"/>
      <c r="D13" s="143"/>
      <c r="E13" s="143"/>
      <c r="F13" s="143"/>
      <c r="G13" s="143"/>
      <c r="H13" s="143"/>
      <c r="I13" s="143"/>
    </row>
    <row r="14" spans="1:9" ht="12.75" customHeight="1">
      <c r="A14" s="10"/>
      <c r="B14" s="143" t="s">
        <v>214</v>
      </c>
      <c r="C14" s="143"/>
      <c r="D14" s="143"/>
      <c r="E14" s="143"/>
      <c r="F14" s="143"/>
      <c r="G14" s="143"/>
      <c r="H14" s="143"/>
      <c r="I14" s="143"/>
    </row>
    <row r="15" spans="1:9" ht="12.75" customHeight="1">
      <c r="A15" s="13"/>
      <c r="B15" s="143" t="s">
        <v>266</v>
      </c>
      <c r="C15" s="143"/>
      <c r="D15" s="143"/>
      <c r="E15" s="143"/>
      <c r="F15" s="143"/>
      <c r="G15" s="143"/>
    </row>
    <row r="16" spans="1:9" ht="12.75" customHeight="1">
      <c r="A16" s="13"/>
      <c r="B16" s="6"/>
      <c r="C16" s="6"/>
      <c r="D16" s="6"/>
      <c r="E16" s="6"/>
      <c r="F16" s="6"/>
      <c r="G16" s="6"/>
    </row>
    <row r="17" spans="1:9" s="14" customFormat="1" ht="49.5" customHeight="1">
      <c r="A17" s="11" t="s">
        <v>189</v>
      </c>
      <c r="B17" s="143" t="s">
        <v>183</v>
      </c>
      <c r="C17" s="143"/>
      <c r="D17" s="143"/>
      <c r="E17" s="143"/>
      <c r="F17" s="143"/>
      <c r="G17" s="143"/>
      <c r="H17" s="143"/>
      <c r="I17" s="143"/>
    </row>
  </sheetData>
  <sheetProtection sheet="1" objects="1" scenarios="1"/>
  <mergeCells count="8">
    <mergeCell ref="B10:I10"/>
    <mergeCell ref="B11:I11"/>
    <mergeCell ref="B17:I17"/>
    <mergeCell ref="A1:G1"/>
    <mergeCell ref="B8:I8"/>
    <mergeCell ref="B15:G15"/>
    <mergeCell ref="B13:I13"/>
    <mergeCell ref="B14:I14"/>
  </mergeCells>
  <phoneticPr fontId="0" type="noConversion"/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N91"/>
  <sheetViews>
    <sheetView showGridLines="0" zoomScale="115" workbookViewId="0">
      <selection activeCell="G26" sqref="G26"/>
    </sheetView>
  </sheetViews>
  <sheetFormatPr baseColWidth="10" defaultColWidth="7.33203125" defaultRowHeight="13"/>
  <cols>
    <col min="1" max="1" width="12" customWidth="1"/>
    <col min="2" max="2" width="20.83203125" customWidth="1"/>
    <col min="3" max="3" width="15.1640625" customWidth="1"/>
    <col min="4" max="4" width="12.83203125" customWidth="1"/>
    <col min="5" max="5" width="12.83203125" style="4" customWidth="1"/>
    <col min="6" max="6" width="11.5" customWidth="1"/>
    <col min="7" max="7" width="12.33203125" customWidth="1"/>
    <col min="8" max="8" width="9.6640625" customWidth="1"/>
    <col min="9" max="9" width="1.5" customWidth="1"/>
    <col min="10" max="10" width="12.1640625" customWidth="1"/>
    <col min="11" max="11" width="11.6640625" customWidth="1"/>
    <col min="12" max="12" width="9.1640625" customWidth="1"/>
    <col min="13" max="13" width="7.5" customWidth="1"/>
    <col min="14" max="14" width="53.33203125" customWidth="1"/>
  </cols>
  <sheetData>
    <row r="1" spans="1:14" s="4" customFormat="1" ht="16">
      <c r="A1" s="168" t="s">
        <v>184</v>
      </c>
      <c r="B1" s="168"/>
      <c r="C1" s="168"/>
      <c r="D1" s="168"/>
      <c r="E1" s="168"/>
    </row>
    <row r="2" spans="1:14" s="4" customFormat="1">
      <c r="A2" s="169" t="str">
        <f>Solution!A68</f>
        <v>Component sizing</v>
      </c>
      <c r="B2" s="169"/>
      <c r="C2" s="169"/>
      <c r="D2" s="169"/>
      <c r="E2" s="169"/>
    </row>
    <row r="3" spans="1:14" ht="13" customHeight="1">
      <c r="A3" s="84"/>
      <c r="B3" s="84"/>
      <c r="C3" s="84"/>
      <c r="D3" s="84"/>
      <c r="E3" s="84"/>
    </row>
    <row r="4" spans="1:14" ht="16" customHeight="1">
      <c r="B4" s="182" t="s">
        <v>53</v>
      </c>
      <c r="C4" s="182" t="s">
        <v>383</v>
      </c>
      <c r="D4" s="182" t="s">
        <v>382</v>
      </c>
      <c r="E4" s="182" t="s">
        <v>384</v>
      </c>
      <c r="F4" s="182" t="s">
        <v>385</v>
      </c>
      <c r="G4" s="182" t="s">
        <v>386</v>
      </c>
      <c r="H4" s="182" t="s">
        <v>387</v>
      </c>
      <c r="I4" s="183"/>
      <c r="J4" s="182" t="s">
        <v>388</v>
      </c>
      <c r="K4" s="182" t="s">
        <v>218</v>
      </c>
      <c r="L4" s="182" t="s">
        <v>389</v>
      </c>
      <c r="M4" s="182" t="s">
        <v>390</v>
      </c>
    </row>
    <row r="5" spans="1:14" ht="16" customHeight="1">
      <c r="B5" s="185" t="s">
        <v>236</v>
      </c>
      <c r="C5" s="185" t="s">
        <v>391</v>
      </c>
      <c r="D5" s="185" t="s">
        <v>194</v>
      </c>
      <c r="E5" s="186">
        <v>0</v>
      </c>
      <c r="F5" s="186">
        <v>0</v>
      </c>
      <c r="G5" s="186">
        <v>0</v>
      </c>
      <c r="H5" s="186">
        <f>SUM(E5,F5)</f>
        <v>0</v>
      </c>
      <c r="I5" s="184"/>
      <c r="J5" s="187" t="s">
        <v>397</v>
      </c>
      <c r="K5" s="186">
        <v>13</v>
      </c>
      <c r="L5" s="188">
        <f>J5*K5</f>
        <v>65</v>
      </c>
      <c r="M5" s="186">
        <f>SUM(H5,L5)</f>
        <v>65</v>
      </c>
    </row>
    <row r="6" spans="1:14" ht="16" customHeight="1">
      <c r="B6" s="185" t="s">
        <v>237</v>
      </c>
      <c r="C6" s="185" t="s">
        <v>392</v>
      </c>
      <c r="D6" s="185" t="s">
        <v>103</v>
      </c>
      <c r="E6" s="186">
        <v>16</v>
      </c>
      <c r="F6" s="186">
        <v>29</v>
      </c>
      <c r="G6" s="186">
        <v>17</v>
      </c>
      <c r="H6" s="186">
        <f>SUM(E6,F6)</f>
        <v>45</v>
      </c>
      <c r="I6" s="184"/>
      <c r="J6" s="187" t="s">
        <v>398</v>
      </c>
      <c r="K6" s="186">
        <v>6</v>
      </c>
      <c r="L6" s="188">
        <f t="shared" ref="L6:L10" si="0">J6*K6</f>
        <v>48</v>
      </c>
      <c r="M6" s="186">
        <f t="shared" ref="M6:M10" si="1">SUM(H6,L6)</f>
        <v>93</v>
      </c>
      <c r="N6" s="113" t="s">
        <v>400</v>
      </c>
    </row>
    <row r="7" spans="1:14" ht="15" customHeight="1">
      <c r="B7" s="185" t="s">
        <v>239</v>
      </c>
      <c r="C7" s="185" t="s">
        <v>393</v>
      </c>
      <c r="D7" s="185" t="s">
        <v>194</v>
      </c>
      <c r="E7" s="186">
        <v>13</v>
      </c>
      <c r="F7" s="186">
        <v>21</v>
      </c>
      <c r="G7" s="186">
        <v>14</v>
      </c>
      <c r="H7" s="186">
        <f t="shared" ref="H7:H10" si="2">SUM(E7,F7)</f>
        <v>34</v>
      </c>
      <c r="I7" s="184"/>
      <c r="J7" s="187" t="s">
        <v>399</v>
      </c>
      <c r="K7" s="186">
        <v>13</v>
      </c>
      <c r="L7" s="188">
        <f t="shared" si="0"/>
        <v>78</v>
      </c>
      <c r="M7" s="186">
        <f t="shared" si="1"/>
        <v>112</v>
      </c>
      <c r="N7" s="113" t="s">
        <v>401</v>
      </c>
    </row>
    <row r="8" spans="1:14" ht="16" customHeight="1">
      <c r="B8" s="185" t="s">
        <v>240</v>
      </c>
      <c r="C8" s="185" t="s">
        <v>394</v>
      </c>
      <c r="D8" s="185" t="s">
        <v>194</v>
      </c>
      <c r="E8" s="186">
        <v>0</v>
      </c>
      <c r="F8" s="186">
        <v>0</v>
      </c>
      <c r="G8" s="186">
        <v>0</v>
      </c>
      <c r="H8" s="186">
        <f t="shared" si="2"/>
        <v>0</v>
      </c>
      <c r="I8" s="184"/>
      <c r="J8" s="187" t="s">
        <v>402</v>
      </c>
      <c r="K8" s="186">
        <v>13</v>
      </c>
      <c r="L8" s="188">
        <f t="shared" si="0"/>
        <v>52</v>
      </c>
      <c r="M8" s="186">
        <f t="shared" si="1"/>
        <v>52</v>
      </c>
    </row>
    <row r="9" spans="1:14" ht="15" customHeight="1">
      <c r="B9" s="185" t="s">
        <v>241</v>
      </c>
      <c r="C9" s="185" t="s">
        <v>395</v>
      </c>
      <c r="D9" s="185" t="s">
        <v>194</v>
      </c>
      <c r="E9" s="186">
        <v>11</v>
      </c>
      <c r="F9" s="186">
        <v>20</v>
      </c>
      <c r="G9" s="186">
        <v>12</v>
      </c>
      <c r="H9" s="186">
        <f t="shared" si="2"/>
        <v>31</v>
      </c>
      <c r="I9" s="184"/>
      <c r="J9" s="187" t="s">
        <v>403</v>
      </c>
      <c r="K9" s="186">
        <v>13</v>
      </c>
      <c r="L9" s="188">
        <f t="shared" si="0"/>
        <v>13</v>
      </c>
      <c r="M9" s="186">
        <f t="shared" si="1"/>
        <v>44</v>
      </c>
    </row>
    <row r="10" spans="1:14" ht="16" customHeight="1">
      <c r="B10" s="185" t="s">
        <v>242</v>
      </c>
      <c r="C10" s="185" t="s">
        <v>396</v>
      </c>
      <c r="D10" s="185" t="s">
        <v>103</v>
      </c>
      <c r="E10" s="186">
        <v>0</v>
      </c>
      <c r="F10" s="186">
        <v>0</v>
      </c>
      <c r="G10" s="186">
        <v>0</v>
      </c>
      <c r="H10" s="186">
        <f t="shared" si="2"/>
        <v>0</v>
      </c>
      <c r="I10" s="184"/>
      <c r="J10" s="187" t="s">
        <v>397</v>
      </c>
      <c r="K10" s="186">
        <v>6</v>
      </c>
      <c r="L10" s="188">
        <f t="shared" si="0"/>
        <v>30</v>
      </c>
      <c r="M10" s="186">
        <f t="shared" si="1"/>
        <v>30</v>
      </c>
    </row>
    <row r="11" spans="1:14">
      <c r="E11"/>
      <c r="I11" s="184"/>
      <c r="L11" s="189" t="s">
        <v>404</v>
      </c>
      <c r="M11" s="186">
        <f>SUM(M5:M10)</f>
        <v>396</v>
      </c>
    </row>
    <row r="12" spans="1:14">
      <c r="E12"/>
    </row>
    <row r="13" spans="1:14">
      <c r="E13"/>
      <c r="I13" s="172"/>
      <c r="J13" s="172"/>
    </row>
    <row r="14" spans="1:14">
      <c r="E14"/>
      <c r="I14" s="172"/>
      <c r="J14" s="172"/>
    </row>
    <row r="15" spans="1:14" ht="18" customHeight="1">
      <c r="E15"/>
      <c r="I15" s="172"/>
      <c r="J15" s="172"/>
    </row>
    <row r="16" spans="1:14" ht="17" customHeight="1">
      <c r="E16"/>
      <c r="I16" s="172"/>
      <c r="J16" s="172"/>
    </row>
    <row r="17" spans="2:10" ht="17" customHeight="1">
      <c r="B17" s="43" t="s">
        <v>229</v>
      </c>
      <c r="C17" s="44" t="s">
        <v>235</v>
      </c>
      <c r="D17" s="61"/>
      <c r="E17"/>
      <c r="I17" s="172"/>
      <c r="J17" s="172"/>
    </row>
    <row r="18" spans="2:10">
      <c r="B18" s="185" t="s">
        <v>236</v>
      </c>
      <c r="C18" s="72">
        <f>M5</f>
        <v>65</v>
      </c>
      <c r="D18" s="61" t="s">
        <v>140</v>
      </c>
      <c r="E18"/>
      <c r="I18" s="172"/>
      <c r="J18" s="172"/>
    </row>
    <row r="19" spans="2:10">
      <c r="B19" s="185" t="s">
        <v>237</v>
      </c>
      <c r="C19" s="71">
        <f>M6</f>
        <v>93</v>
      </c>
      <c r="D19" s="61" t="s">
        <v>140</v>
      </c>
      <c r="E19"/>
      <c r="I19" s="172"/>
      <c r="J19" s="172"/>
    </row>
    <row r="20" spans="2:10">
      <c r="B20" s="185" t="s">
        <v>239</v>
      </c>
      <c r="C20" s="71">
        <f>M7</f>
        <v>112</v>
      </c>
      <c r="D20" s="61" t="s">
        <v>140</v>
      </c>
      <c r="E20"/>
      <c r="I20" s="172"/>
      <c r="J20" s="172"/>
    </row>
    <row r="21" spans="2:10">
      <c r="B21" s="185" t="s">
        <v>240</v>
      </c>
      <c r="C21" s="71">
        <f>M8</f>
        <v>52</v>
      </c>
      <c r="D21" s="61" t="s">
        <v>140</v>
      </c>
      <c r="E21"/>
      <c r="I21" s="172"/>
      <c r="J21" s="172"/>
    </row>
    <row r="22" spans="2:10">
      <c r="B22" s="185" t="s">
        <v>241</v>
      </c>
      <c r="C22" s="71">
        <f>M9</f>
        <v>44</v>
      </c>
      <c r="D22" s="61" t="s">
        <v>140</v>
      </c>
      <c r="E22"/>
      <c r="I22" s="172"/>
      <c r="J22" s="172"/>
    </row>
    <row r="23" spans="2:10">
      <c r="B23" s="185" t="s">
        <v>242</v>
      </c>
      <c r="C23" s="71">
        <f>M10</f>
        <v>30</v>
      </c>
      <c r="D23" s="61" t="s">
        <v>140</v>
      </c>
      <c r="E23"/>
      <c r="I23" s="172"/>
      <c r="J23" s="172"/>
    </row>
    <row r="24" spans="2:10" ht="13" customHeight="1">
      <c r="E24"/>
      <c r="I24" s="172"/>
      <c r="J24" s="172"/>
    </row>
    <row r="25" spans="2:10" ht="18" customHeight="1">
      <c r="E25"/>
      <c r="I25" s="172"/>
      <c r="J25" s="172"/>
    </row>
    <row r="26" spans="2:10">
      <c r="E26"/>
      <c r="I26" s="172"/>
      <c r="J26" s="172"/>
    </row>
    <row r="27" spans="2:10">
      <c r="E27"/>
      <c r="I27" s="172"/>
      <c r="J27" s="172"/>
    </row>
    <row r="28" spans="2:10">
      <c r="E28"/>
      <c r="I28" s="172"/>
      <c r="J28" s="172"/>
    </row>
    <row r="29" spans="2:10">
      <c r="E29"/>
      <c r="I29" s="172"/>
      <c r="J29" s="172"/>
    </row>
    <row r="30" spans="2:10">
      <c r="E30"/>
      <c r="I30" s="172"/>
      <c r="J30" s="172"/>
    </row>
    <row r="31" spans="2:10">
      <c r="E31"/>
      <c r="I31" s="172"/>
      <c r="J31" s="172"/>
    </row>
    <row r="32" spans="2:10" ht="11" customHeight="1">
      <c r="E32"/>
      <c r="I32" s="172"/>
      <c r="J32" s="172"/>
    </row>
    <row r="33" spans="5:10" ht="17" customHeight="1">
      <c r="E33"/>
      <c r="I33" s="172"/>
      <c r="J33" s="172"/>
    </row>
    <row r="34" spans="5:10">
      <c r="E34"/>
      <c r="I34" s="172"/>
      <c r="J34" s="172"/>
    </row>
    <row r="35" spans="5:10">
      <c r="E35"/>
      <c r="I35" s="172"/>
      <c r="J35" s="172"/>
    </row>
    <row r="36" spans="5:10">
      <c r="E36"/>
      <c r="I36" s="172"/>
      <c r="J36" s="172"/>
    </row>
    <row r="37" spans="5:10">
      <c r="E37"/>
      <c r="I37" s="172"/>
      <c r="J37" s="172"/>
    </row>
    <row r="38" spans="5:10">
      <c r="E38"/>
      <c r="I38" s="172"/>
      <c r="J38" s="172"/>
    </row>
    <row r="39" spans="5:10">
      <c r="E39"/>
      <c r="I39" s="172"/>
      <c r="J39" s="172"/>
    </row>
    <row r="40" spans="5:10">
      <c r="E40"/>
      <c r="I40" s="172"/>
      <c r="J40" s="172"/>
    </row>
    <row r="41" spans="5:10" ht="19" customHeight="1">
      <c r="E41"/>
      <c r="I41" s="172"/>
      <c r="J41" s="172"/>
    </row>
    <row r="42" spans="5:10">
      <c r="E42"/>
      <c r="I42" s="172"/>
      <c r="J42" s="172"/>
    </row>
    <row r="43" spans="5:10">
      <c r="E43"/>
      <c r="I43" s="172"/>
      <c r="J43" s="172"/>
    </row>
    <row r="44" spans="5:10">
      <c r="E44"/>
      <c r="I44" s="172"/>
      <c r="J44" s="172"/>
    </row>
    <row r="45" spans="5:10">
      <c r="E45"/>
      <c r="I45" s="172"/>
      <c r="J45" s="172"/>
    </row>
    <row r="46" spans="5:10">
      <c r="E46"/>
      <c r="I46" s="172"/>
      <c r="J46" s="172"/>
    </row>
    <row r="47" spans="5:10">
      <c r="E47"/>
      <c r="I47" s="172"/>
      <c r="J47" s="172"/>
    </row>
    <row r="48" spans="5:10">
      <c r="E48"/>
      <c r="I48" s="172"/>
      <c r="J48" s="172"/>
    </row>
    <row r="49" spans="5:10" ht="18" customHeight="1">
      <c r="E49"/>
      <c r="I49" s="172"/>
      <c r="J49" s="172"/>
    </row>
    <row r="50" spans="5:10">
      <c r="E50"/>
      <c r="I50" s="172"/>
      <c r="J50" s="172"/>
    </row>
    <row r="51" spans="5:10">
      <c r="E51"/>
      <c r="I51" s="172"/>
      <c r="J51" s="172"/>
    </row>
    <row r="52" spans="5:10">
      <c r="E52"/>
      <c r="I52" s="172"/>
      <c r="J52" s="172"/>
    </row>
    <row r="53" spans="5:10">
      <c r="E53"/>
      <c r="I53" s="172"/>
      <c r="J53" s="172"/>
    </row>
    <row r="54" spans="5:10">
      <c r="E54"/>
      <c r="I54" s="172"/>
      <c r="J54" s="172"/>
    </row>
    <row r="55" spans="5:10">
      <c r="E55"/>
      <c r="I55" s="172"/>
      <c r="J55" s="172"/>
    </row>
    <row r="56" spans="5:10">
      <c r="E56"/>
      <c r="I56" s="172"/>
      <c r="J56" s="172"/>
    </row>
    <row r="57" spans="5:10">
      <c r="E57"/>
      <c r="I57" s="172"/>
      <c r="J57" s="172"/>
    </row>
    <row r="58" spans="5:10">
      <c r="E58"/>
      <c r="I58" s="172"/>
      <c r="J58" s="172"/>
    </row>
    <row r="59" spans="5:10">
      <c r="E59"/>
      <c r="I59" s="172"/>
      <c r="J59" s="172"/>
    </row>
    <row r="60" spans="5:10">
      <c r="E60"/>
      <c r="I60" s="172"/>
      <c r="J60" s="172"/>
    </row>
    <row r="61" spans="5:10">
      <c r="E61"/>
      <c r="I61" s="172"/>
      <c r="J61" s="172"/>
    </row>
    <row r="62" spans="5:10">
      <c r="E62"/>
      <c r="I62" s="172"/>
      <c r="J62" s="172"/>
    </row>
    <row r="63" spans="5:10">
      <c r="E63"/>
      <c r="I63" s="172"/>
      <c r="J63" s="172"/>
    </row>
    <row r="64" spans="5:10">
      <c r="E64"/>
      <c r="I64" s="172"/>
      <c r="J64" s="172"/>
    </row>
    <row r="65" spans="5:13">
      <c r="E65"/>
      <c r="I65" s="172"/>
      <c r="J65" s="172"/>
    </row>
    <row r="66" spans="5:13">
      <c r="E66"/>
      <c r="I66" s="172"/>
      <c r="J66" s="172"/>
    </row>
    <row r="67" spans="5:13">
      <c r="E67"/>
      <c r="I67" s="172"/>
      <c r="J67" s="172"/>
    </row>
    <row r="68" spans="5:13">
      <c r="E68"/>
      <c r="I68" s="172"/>
      <c r="J68" s="172"/>
    </row>
    <row r="69" spans="5:13">
      <c r="L69" s="172"/>
      <c r="M69" s="172"/>
    </row>
    <row r="70" spans="5:13">
      <c r="L70" s="172"/>
      <c r="M70" s="172"/>
    </row>
    <row r="71" spans="5:13">
      <c r="L71" s="172"/>
      <c r="M71" s="172"/>
    </row>
    <row r="72" spans="5:13">
      <c r="L72" s="172"/>
      <c r="M72" s="172"/>
    </row>
    <row r="73" spans="5:13">
      <c r="L73" s="172"/>
      <c r="M73" s="172"/>
    </row>
    <row r="74" spans="5:13">
      <c r="L74" s="172"/>
      <c r="M74" s="172"/>
    </row>
    <row r="75" spans="5:13">
      <c r="L75" s="172"/>
      <c r="M75" s="172"/>
    </row>
    <row r="76" spans="5:13">
      <c r="L76" s="172"/>
      <c r="M76" s="172"/>
    </row>
    <row r="77" spans="5:13">
      <c r="L77" s="172"/>
      <c r="M77" s="172"/>
    </row>
    <row r="78" spans="5:13">
      <c r="L78" s="172"/>
      <c r="M78" s="172"/>
    </row>
    <row r="79" spans="5:13">
      <c r="L79" s="172"/>
      <c r="M79" s="172"/>
    </row>
    <row r="80" spans="5:13">
      <c r="L80" s="172"/>
      <c r="M80" s="172"/>
    </row>
    <row r="81" spans="12:13">
      <c r="L81" s="172"/>
      <c r="M81" s="172"/>
    </row>
    <row r="82" spans="12:13">
      <c r="L82" s="172"/>
      <c r="M82" s="172"/>
    </row>
    <row r="83" spans="12:13">
      <c r="L83" s="172"/>
      <c r="M83" s="172"/>
    </row>
    <row r="84" spans="12:13">
      <c r="L84" s="172"/>
      <c r="M84" s="172"/>
    </row>
    <row r="85" spans="12:13">
      <c r="L85" s="172"/>
      <c r="M85" s="172"/>
    </row>
    <row r="86" spans="12:13">
      <c r="L86" s="172"/>
      <c r="M86" s="172"/>
    </row>
    <row r="87" spans="12:13">
      <c r="L87" s="172"/>
      <c r="M87" s="172"/>
    </row>
    <row r="88" spans="12:13">
      <c r="L88" s="172"/>
      <c r="M88" s="172"/>
    </row>
    <row r="89" spans="12:13">
      <c r="L89" s="172"/>
      <c r="M89" s="172"/>
    </row>
    <row r="90" spans="12:13">
      <c r="L90" s="172"/>
      <c r="M90" s="172"/>
    </row>
    <row r="91" spans="12:13">
      <c r="L91" s="172"/>
      <c r="M91" s="173"/>
    </row>
  </sheetData>
  <mergeCells count="2">
    <mergeCell ref="A1:E1"/>
    <mergeCell ref="A2:E2"/>
  </mergeCells>
  <phoneticPr fontId="11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N29"/>
  <sheetViews>
    <sheetView showGridLines="0" zoomScale="104" workbookViewId="0">
      <selection activeCell="O20" sqref="O20"/>
    </sheetView>
  </sheetViews>
  <sheetFormatPr baseColWidth="10" defaultColWidth="7.6640625" defaultRowHeight="13"/>
  <cols>
    <col min="1" max="5" width="12.83203125" style="4" customWidth="1"/>
    <col min="6" max="7" width="7.6640625" style="4"/>
    <col min="8" max="8" width="9.6640625" style="4" customWidth="1"/>
    <col min="9" max="10" width="7.6640625" style="4"/>
    <col min="11" max="11" width="23.33203125" style="4" customWidth="1"/>
    <col min="12" max="12" width="7.6640625" style="4"/>
    <col min="13" max="13" width="7.1640625" style="4" customWidth="1"/>
    <col min="14" max="16384" width="7.6640625" style="4"/>
  </cols>
  <sheetData>
    <row r="1" spans="1:14" ht="16">
      <c r="A1" s="168" t="s">
        <v>274</v>
      </c>
      <c r="B1" s="168"/>
      <c r="C1" s="168"/>
      <c r="D1" s="168"/>
      <c r="E1" s="168"/>
    </row>
    <row r="2" spans="1:14">
      <c r="A2" s="169" t="str">
        <f>Solution!A77</f>
        <v>Size calculations</v>
      </c>
      <c r="B2" s="169"/>
      <c r="C2" s="169"/>
      <c r="D2" s="169"/>
      <c r="E2" s="169"/>
    </row>
    <row r="3" spans="1:14">
      <c r="A3" s="106"/>
      <c r="B3" s="106"/>
      <c r="C3" s="106"/>
    </row>
    <row r="4" spans="1:14">
      <c r="A4" s="106"/>
      <c r="B4" s="106"/>
      <c r="C4" s="106"/>
    </row>
    <row r="5" spans="1:14">
      <c r="A5" s="106"/>
      <c r="B5" s="106"/>
      <c r="C5" s="106"/>
    </row>
    <row r="6" spans="1:14" ht="43" thickBot="1">
      <c r="A6" s="106"/>
      <c r="B6" s="31" t="s">
        <v>109</v>
      </c>
      <c r="C6" s="23" t="s">
        <v>258</v>
      </c>
      <c r="D6" s="23" t="s">
        <v>117</v>
      </c>
      <c r="E6" s="23" t="s">
        <v>180</v>
      </c>
      <c r="F6" s="23" t="s">
        <v>231</v>
      </c>
      <c r="G6" s="23" t="s">
        <v>232</v>
      </c>
      <c r="H6" s="171" t="s">
        <v>407</v>
      </c>
      <c r="K6" s="195" t="s">
        <v>415</v>
      </c>
    </row>
    <row r="7" spans="1:14" ht="14" thickTop="1">
      <c r="A7" s="106"/>
      <c r="B7" s="75" t="s">
        <v>113</v>
      </c>
      <c r="C7" s="193">
        <v>579</v>
      </c>
      <c r="D7" s="193">
        <v>476</v>
      </c>
      <c r="E7" s="193">
        <v>647</v>
      </c>
      <c r="F7" s="193">
        <v>2517</v>
      </c>
      <c r="G7" s="193">
        <v>2400</v>
      </c>
      <c r="H7" s="192">
        <f>E7/C7</f>
        <v>1.1174438687392054</v>
      </c>
      <c r="K7" s="191" t="s">
        <v>404</v>
      </c>
      <c r="L7" s="4">
        <v>396</v>
      </c>
    </row>
    <row r="8" spans="1:14">
      <c r="A8" s="106"/>
      <c r="B8" s="69" t="s">
        <v>114</v>
      </c>
      <c r="C8" s="180">
        <v>760</v>
      </c>
      <c r="D8" s="180">
        <v>1138</v>
      </c>
      <c r="E8" s="180">
        <v>2191</v>
      </c>
      <c r="F8" s="180">
        <v>2036</v>
      </c>
      <c r="G8" s="180">
        <v>6139</v>
      </c>
      <c r="H8" s="192">
        <f t="shared" ref="H8:H26" si="0">E8/C8</f>
        <v>2.8828947368421054</v>
      </c>
      <c r="K8" s="191" t="s">
        <v>405</v>
      </c>
      <c r="L8" s="190">
        <f>SUM(E7:E26)/SUM(C7:C26)</f>
        <v>2.1070539741794994</v>
      </c>
      <c r="M8" s="176"/>
    </row>
    <row r="9" spans="1:14">
      <c r="A9" s="106"/>
      <c r="B9" s="75" t="s">
        <v>115</v>
      </c>
      <c r="C9" s="193">
        <v>369</v>
      </c>
      <c r="D9" s="193">
        <v>572</v>
      </c>
      <c r="E9" s="193">
        <v>1186</v>
      </c>
      <c r="F9" s="193">
        <v>987</v>
      </c>
      <c r="G9" s="193">
        <v>3564</v>
      </c>
      <c r="H9" s="192">
        <f t="shared" si="0"/>
        <v>3.2140921409214092</v>
      </c>
      <c r="K9" s="191" t="s">
        <v>406</v>
      </c>
      <c r="L9" s="106">
        <f>CEILING(L7*L8, 1)</f>
        <v>835</v>
      </c>
      <c r="N9" s="190"/>
    </row>
    <row r="10" spans="1:14">
      <c r="A10" s="106"/>
      <c r="B10" s="69" t="s">
        <v>116</v>
      </c>
      <c r="C10" s="180">
        <v>397</v>
      </c>
      <c r="D10" s="180">
        <v>186</v>
      </c>
      <c r="E10" s="180">
        <v>308</v>
      </c>
      <c r="F10" s="180">
        <v>1847</v>
      </c>
      <c r="G10" s="180">
        <v>812</v>
      </c>
      <c r="H10" s="192">
        <f t="shared" si="0"/>
        <v>0.77581863979848864</v>
      </c>
      <c r="K10" s="191" t="s">
        <v>410</v>
      </c>
      <c r="L10" s="106">
        <f>FLOOR(L7*H28, 1)</f>
        <v>307</v>
      </c>
    </row>
    <row r="11" spans="1:14">
      <c r="A11" s="106"/>
      <c r="B11" s="75" t="s">
        <v>146</v>
      </c>
      <c r="C11" s="193">
        <v>410</v>
      </c>
      <c r="D11" s="193">
        <v>808</v>
      </c>
      <c r="E11" s="193">
        <v>1574</v>
      </c>
      <c r="F11" s="193">
        <v>3188</v>
      </c>
      <c r="G11" s="193">
        <v>7486</v>
      </c>
      <c r="H11" s="192">
        <f t="shared" si="0"/>
        <v>3.8390243902439023</v>
      </c>
      <c r="K11" s="191" t="s">
        <v>411</v>
      </c>
      <c r="L11" s="106">
        <f>CEILING(L7*H29, 1)</f>
        <v>1733</v>
      </c>
    </row>
    <row r="12" spans="1:14">
      <c r="A12" s="106"/>
      <c r="B12" s="69" t="s">
        <v>147</v>
      </c>
      <c r="C12" s="180">
        <v>1159</v>
      </c>
      <c r="D12" s="180">
        <v>904</v>
      </c>
      <c r="E12" s="180">
        <v>1401</v>
      </c>
      <c r="F12" s="180">
        <v>2988</v>
      </c>
      <c r="G12" s="180">
        <v>5063</v>
      </c>
      <c r="H12" s="192">
        <f t="shared" si="0"/>
        <v>1.2088006902502157</v>
      </c>
      <c r="K12" s="191" t="s">
        <v>412</v>
      </c>
      <c r="L12" s="190">
        <f>(CORREL(C7:C26, E7:E26))^2</f>
        <v>0.403879859339911</v>
      </c>
      <c r="M12" s="176" t="s">
        <v>413</v>
      </c>
    </row>
    <row r="13" spans="1:14">
      <c r="B13" s="75" t="s">
        <v>148</v>
      </c>
      <c r="C13" s="193">
        <v>1534</v>
      </c>
      <c r="D13" s="193">
        <v>1880</v>
      </c>
      <c r="E13" s="193">
        <v>3084</v>
      </c>
      <c r="F13" s="193">
        <v>2904</v>
      </c>
      <c r="G13" s="193">
        <v>9448</v>
      </c>
      <c r="H13" s="192">
        <f t="shared" si="0"/>
        <v>2.0104302477183835</v>
      </c>
      <c r="K13" s="170"/>
    </row>
    <row r="14" spans="1:14">
      <c r="B14" s="69" t="s">
        <v>118</v>
      </c>
      <c r="C14" s="180">
        <v>1884</v>
      </c>
      <c r="D14" s="180">
        <v>4117</v>
      </c>
      <c r="E14" s="180">
        <v>8241</v>
      </c>
      <c r="F14" s="180">
        <v>4810</v>
      </c>
      <c r="G14" s="180">
        <v>40009</v>
      </c>
      <c r="H14" s="192">
        <f t="shared" si="0"/>
        <v>4.3742038216560513</v>
      </c>
      <c r="K14" s="170"/>
    </row>
    <row r="15" spans="1:14">
      <c r="B15" s="75" t="s">
        <v>119</v>
      </c>
      <c r="C15" s="193">
        <v>2357</v>
      </c>
      <c r="D15" s="193">
        <v>1676</v>
      </c>
      <c r="E15" s="193">
        <v>2916</v>
      </c>
      <c r="F15" s="193">
        <v>7593</v>
      </c>
      <c r="G15" s="193">
        <v>12262</v>
      </c>
      <c r="H15" s="192">
        <f t="shared" si="0"/>
        <v>1.2371658888417481</v>
      </c>
      <c r="K15" s="170"/>
    </row>
    <row r="16" spans="1:14">
      <c r="B16" s="69" t="s">
        <v>120</v>
      </c>
      <c r="C16" s="180">
        <v>540</v>
      </c>
      <c r="D16" s="180">
        <v>643</v>
      </c>
      <c r="E16" s="180">
        <v>1476</v>
      </c>
      <c r="F16" s="180">
        <v>2707</v>
      </c>
      <c r="G16" s="180">
        <v>4321</v>
      </c>
      <c r="H16" s="192">
        <f t="shared" si="0"/>
        <v>2.7333333333333334</v>
      </c>
      <c r="K16" s="170"/>
    </row>
    <row r="17" spans="2:13">
      <c r="B17" s="75" t="s">
        <v>209</v>
      </c>
      <c r="C17" s="193">
        <v>1624</v>
      </c>
      <c r="D17" s="193">
        <v>2254</v>
      </c>
      <c r="E17" s="193">
        <v>3987</v>
      </c>
      <c r="F17" s="193">
        <v>3394</v>
      </c>
      <c r="G17" s="193">
        <v>14047</v>
      </c>
      <c r="H17" s="192">
        <f t="shared" si="0"/>
        <v>2.4550492610837438</v>
      </c>
    </row>
    <row r="18" spans="2:13">
      <c r="B18" s="69" t="s">
        <v>210</v>
      </c>
      <c r="C18" s="180">
        <v>1388</v>
      </c>
      <c r="D18" s="180">
        <v>1658</v>
      </c>
      <c r="E18" s="180">
        <v>2807</v>
      </c>
      <c r="F18" s="180">
        <v>7771</v>
      </c>
      <c r="G18" s="180">
        <v>6884</v>
      </c>
      <c r="H18" s="192">
        <f t="shared" si="0"/>
        <v>2.0223342939481266</v>
      </c>
      <c r="K18" s="18" t="s">
        <v>215</v>
      </c>
      <c r="L18" s="73">
        <v>396</v>
      </c>
      <c r="M18" s="66" t="s">
        <v>140</v>
      </c>
    </row>
    <row r="19" spans="2:13">
      <c r="B19" s="75" t="s">
        <v>211</v>
      </c>
      <c r="C19" s="193">
        <v>1226</v>
      </c>
      <c r="D19" s="193">
        <v>1816</v>
      </c>
      <c r="E19" s="193">
        <v>3961</v>
      </c>
      <c r="F19" s="193">
        <v>4648</v>
      </c>
      <c r="G19" s="193">
        <v>13927</v>
      </c>
      <c r="H19" s="192">
        <f t="shared" si="0"/>
        <v>3.2308319738988582</v>
      </c>
      <c r="K19" s="18" t="s">
        <v>124</v>
      </c>
      <c r="L19" s="74">
        <v>835</v>
      </c>
      <c r="M19" s="66" t="s">
        <v>140</v>
      </c>
    </row>
    <row r="20" spans="2:13">
      <c r="B20" s="69" t="s">
        <v>96</v>
      </c>
      <c r="C20" s="180">
        <v>526</v>
      </c>
      <c r="D20" s="180">
        <v>533</v>
      </c>
      <c r="E20" s="180">
        <v>857</v>
      </c>
      <c r="F20" s="180">
        <v>1722</v>
      </c>
      <c r="G20" s="180">
        <v>2376</v>
      </c>
      <c r="H20" s="192">
        <f t="shared" si="0"/>
        <v>1.6292775665399239</v>
      </c>
      <c r="K20" s="18" t="s">
        <v>121</v>
      </c>
      <c r="L20" s="74">
        <v>307</v>
      </c>
      <c r="M20" s="66" t="s">
        <v>140</v>
      </c>
    </row>
    <row r="21" spans="2:13">
      <c r="B21" s="75" t="s">
        <v>97</v>
      </c>
      <c r="C21" s="193">
        <v>1004</v>
      </c>
      <c r="D21" s="193">
        <v>1492</v>
      </c>
      <c r="E21" s="193">
        <v>2845</v>
      </c>
      <c r="F21" s="193">
        <v>3415</v>
      </c>
      <c r="G21" s="193">
        <v>10562</v>
      </c>
      <c r="H21" s="192">
        <f t="shared" si="0"/>
        <v>2.8336653386454183</v>
      </c>
      <c r="K21" s="18" t="s">
        <v>142</v>
      </c>
      <c r="L21" s="74">
        <v>1733</v>
      </c>
      <c r="M21" s="66" t="s">
        <v>140</v>
      </c>
    </row>
    <row r="22" spans="2:13">
      <c r="B22" s="69" t="s">
        <v>98</v>
      </c>
      <c r="C22" s="180">
        <v>859</v>
      </c>
      <c r="D22" s="180">
        <v>672</v>
      </c>
      <c r="E22" s="180">
        <v>1331</v>
      </c>
      <c r="F22" s="180">
        <v>2589</v>
      </c>
      <c r="G22" s="180">
        <v>4482</v>
      </c>
      <c r="H22" s="192">
        <f t="shared" si="0"/>
        <v>1.5494761350407451</v>
      </c>
      <c r="K22" s="18" t="s">
        <v>201</v>
      </c>
      <c r="L22" s="194" t="s">
        <v>413</v>
      </c>
    </row>
    <row r="23" spans="2:13">
      <c r="B23" s="75" t="s">
        <v>99</v>
      </c>
      <c r="C23" s="193">
        <v>3293</v>
      </c>
      <c r="D23" s="193">
        <v>2114</v>
      </c>
      <c r="E23" s="193">
        <v>2915</v>
      </c>
      <c r="F23" s="193">
        <v>8558</v>
      </c>
      <c r="G23" s="193">
        <v>9045</v>
      </c>
      <c r="H23" s="192">
        <f t="shared" si="0"/>
        <v>0.88521105375037956</v>
      </c>
      <c r="M23" s="190"/>
    </row>
    <row r="24" spans="2:13">
      <c r="B24" s="69" t="s">
        <v>100</v>
      </c>
      <c r="C24" s="180">
        <v>1061</v>
      </c>
      <c r="D24" s="180">
        <v>1177</v>
      </c>
      <c r="E24" s="180">
        <v>2769</v>
      </c>
      <c r="F24" s="180">
        <v>3109</v>
      </c>
      <c r="G24" s="180">
        <v>7030</v>
      </c>
      <c r="H24" s="192">
        <f t="shared" si="0"/>
        <v>2.6098020735155512</v>
      </c>
    </row>
    <row r="25" spans="2:13">
      <c r="B25" s="75" t="s">
        <v>101</v>
      </c>
      <c r="C25" s="193">
        <v>2134</v>
      </c>
      <c r="D25" s="193">
        <v>2670</v>
      </c>
      <c r="E25" s="193">
        <v>4551</v>
      </c>
      <c r="F25" s="193">
        <v>6662</v>
      </c>
      <c r="G25" s="193">
        <v>11951</v>
      </c>
      <c r="H25" s="192">
        <f t="shared" si="0"/>
        <v>2.1326148078725398</v>
      </c>
    </row>
    <row r="26" spans="2:13">
      <c r="B26" s="69" t="s">
        <v>102</v>
      </c>
      <c r="C26" s="180">
        <v>2612</v>
      </c>
      <c r="D26" s="180">
        <v>2666</v>
      </c>
      <c r="E26" s="180">
        <v>5138</v>
      </c>
      <c r="F26" s="180">
        <v>5218</v>
      </c>
      <c r="G26" s="180">
        <v>15292</v>
      </c>
      <c r="H26" s="192">
        <f t="shared" si="0"/>
        <v>1.9670750382848392</v>
      </c>
    </row>
    <row r="28" spans="2:13">
      <c r="G28" s="191" t="s">
        <v>408</v>
      </c>
      <c r="H28" s="190">
        <f>MIN(H7:H26)</f>
        <v>0.77581863979848864</v>
      </c>
    </row>
    <row r="29" spans="2:13">
      <c r="G29" s="191" t="s">
        <v>409</v>
      </c>
      <c r="H29" s="190">
        <f>MAX(H7:H26)</f>
        <v>4.3742038216560513</v>
      </c>
    </row>
  </sheetData>
  <mergeCells count="2">
    <mergeCell ref="A1:E1"/>
    <mergeCell ref="A2:E2"/>
  </mergeCells>
  <phoneticPr fontId="0" type="noConversion"/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P32"/>
  <sheetViews>
    <sheetView showGridLines="0" topLeftCell="A11" zoomScale="125" workbookViewId="0">
      <selection activeCell="L32" sqref="L32"/>
    </sheetView>
  </sheetViews>
  <sheetFormatPr baseColWidth="10" defaultColWidth="7.6640625" defaultRowHeight="13"/>
  <cols>
    <col min="1" max="5" width="13.83203125" style="4" customWidth="1"/>
    <col min="6" max="7" width="7.6640625" style="4"/>
    <col min="8" max="8" width="10.6640625" style="4" customWidth="1"/>
    <col min="9" max="10" width="7.6640625" style="4"/>
    <col min="11" max="11" width="21.1640625" style="4" customWidth="1"/>
    <col min="12" max="13" width="7.6640625" style="4"/>
    <col min="14" max="14" width="25.83203125" style="4" customWidth="1"/>
    <col min="15" max="15" width="12.5" style="4" customWidth="1"/>
    <col min="16" max="16" width="8" style="4" bestFit="1" customWidth="1"/>
    <col min="17" max="17" width="7.6640625" style="4"/>
    <col min="18" max="18" width="8" style="4" bestFit="1" customWidth="1"/>
    <col min="19" max="16384" width="7.6640625" style="4"/>
  </cols>
  <sheetData>
    <row r="1" spans="1:14" ht="16">
      <c r="A1" s="168" t="s">
        <v>184</v>
      </c>
      <c r="B1" s="168"/>
      <c r="C1" s="168"/>
      <c r="D1" s="168"/>
      <c r="E1" s="168"/>
    </row>
    <row r="2" spans="1:14">
      <c r="A2" s="169" t="str">
        <f>Solution!A84</f>
        <v>Bottom-up effort calculations</v>
      </c>
      <c r="B2" s="169"/>
      <c r="C2" s="169"/>
      <c r="D2" s="169"/>
      <c r="E2" s="169"/>
    </row>
    <row r="3" spans="1:14">
      <c r="A3" s="106"/>
      <c r="B3" s="106"/>
      <c r="C3" s="106"/>
    </row>
    <row r="4" spans="1:14">
      <c r="A4" s="106"/>
      <c r="B4" s="106"/>
      <c r="C4" s="106"/>
    </row>
    <row r="5" spans="1:14">
      <c r="A5" s="106"/>
      <c r="B5" s="106"/>
      <c r="C5" s="106"/>
    </row>
    <row r="6" spans="1:14" ht="43" thickBot="1">
      <c r="A6" s="106"/>
      <c r="B6" s="31" t="s">
        <v>109</v>
      </c>
      <c r="C6" s="23" t="s">
        <v>258</v>
      </c>
      <c r="D6" s="23" t="s">
        <v>117</v>
      </c>
      <c r="E6" s="23" t="s">
        <v>180</v>
      </c>
      <c r="F6" s="23" t="s">
        <v>231</v>
      </c>
      <c r="G6" s="23" t="s">
        <v>232</v>
      </c>
      <c r="H6" s="171" t="s">
        <v>407</v>
      </c>
      <c r="I6" s="171" t="s">
        <v>420</v>
      </c>
      <c r="K6" s="195" t="s">
        <v>415</v>
      </c>
    </row>
    <row r="7" spans="1:14" ht="14" thickTop="1">
      <c r="A7" s="106"/>
      <c r="B7" s="75" t="s">
        <v>113</v>
      </c>
      <c r="C7" s="193">
        <v>579</v>
      </c>
      <c r="D7" s="193">
        <v>476</v>
      </c>
      <c r="E7" s="193">
        <v>647</v>
      </c>
      <c r="F7" s="193">
        <v>2517</v>
      </c>
      <c r="G7" s="193">
        <v>2400</v>
      </c>
      <c r="H7" s="192">
        <f>E7/C7</f>
        <v>1.1174438687392054</v>
      </c>
      <c r="I7" s="192">
        <f>G7/E7</f>
        <v>3.7094281298299845</v>
      </c>
      <c r="K7" s="191" t="s">
        <v>404</v>
      </c>
      <c r="L7" s="4">
        <v>396</v>
      </c>
    </row>
    <row r="8" spans="1:14">
      <c r="A8" s="106"/>
      <c r="B8" s="69" t="s">
        <v>114</v>
      </c>
      <c r="C8" s="180">
        <v>760</v>
      </c>
      <c r="D8" s="180">
        <v>1138</v>
      </c>
      <c r="E8" s="180">
        <v>2191</v>
      </c>
      <c r="F8" s="180">
        <v>2036</v>
      </c>
      <c r="G8" s="180">
        <v>6139</v>
      </c>
      <c r="H8" s="192">
        <f t="shared" ref="H8:H26" si="0">E8/C8</f>
        <v>2.8828947368421054</v>
      </c>
      <c r="I8" s="192">
        <f t="shared" ref="I8:I26" si="1">G8/E8</f>
        <v>2.8019169329073481</v>
      </c>
      <c r="K8" s="191" t="s">
        <v>405</v>
      </c>
      <c r="L8" s="190">
        <f>SUM(E7:E26)/SUM(C7:C26)</f>
        <v>2.1070539741794994</v>
      </c>
      <c r="M8" s="176"/>
    </row>
    <row r="9" spans="1:14">
      <c r="A9" s="106"/>
      <c r="B9" s="75" t="s">
        <v>115</v>
      </c>
      <c r="C9" s="193">
        <v>369</v>
      </c>
      <c r="D9" s="193">
        <v>572</v>
      </c>
      <c r="E9" s="193">
        <v>1186</v>
      </c>
      <c r="F9" s="193">
        <v>987</v>
      </c>
      <c r="G9" s="193">
        <v>3564</v>
      </c>
      <c r="H9" s="192">
        <f t="shared" si="0"/>
        <v>3.2140921409214092</v>
      </c>
      <c r="I9" s="192">
        <f t="shared" si="1"/>
        <v>3.0050590219224285</v>
      </c>
      <c r="K9" s="191" t="s">
        <v>406</v>
      </c>
      <c r="L9" s="106">
        <f>CEILING(L7*L8, 1)</f>
        <v>835</v>
      </c>
      <c r="N9" s="190"/>
    </row>
    <row r="10" spans="1:14">
      <c r="A10" s="106"/>
      <c r="B10" s="69" t="s">
        <v>116</v>
      </c>
      <c r="C10" s="180">
        <v>397</v>
      </c>
      <c r="D10" s="180">
        <v>186</v>
      </c>
      <c r="E10" s="180">
        <v>308</v>
      </c>
      <c r="F10" s="180">
        <v>1847</v>
      </c>
      <c r="G10" s="180">
        <v>812</v>
      </c>
      <c r="H10" s="192">
        <f t="shared" si="0"/>
        <v>0.77581863979848864</v>
      </c>
      <c r="I10" s="192">
        <f t="shared" si="1"/>
        <v>2.6363636363636362</v>
      </c>
      <c r="K10" s="191" t="s">
        <v>410</v>
      </c>
      <c r="L10" s="106">
        <f>FLOOR(L7*H28, 1)</f>
        <v>307</v>
      </c>
    </row>
    <row r="11" spans="1:14">
      <c r="A11" s="106"/>
      <c r="B11" s="75" t="s">
        <v>146</v>
      </c>
      <c r="C11" s="193">
        <v>410</v>
      </c>
      <c r="D11" s="193">
        <v>808</v>
      </c>
      <c r="E11" s="193">
        <v>1574</v>
      </c>
      <c r="F11" s="193">
        <v>3188</v>
      </c>
      <c r="G11" s="193">
        <v>7486</v>
      </c>
      <c r="H11" s="192">
        <f t="shared" si="0"/>
        <v>3.8390243902439023</v>
      </c>
      <c r="I11" s="192">
        <f t="shared" si="1"/>
        <v>4.7560355781448536</v>
      </c>
      <c r="K11" s="191" t="s">
        <v>411</v>
      </c>
      <c r="L11" s="106">
        <f>CEILING(L7*H29, 1)</f>
        <v>1733</v>
      </c>
    </row>
    <row r="12" spans="1:14">
      <c r="A12" s="106"/>
      <c r="B12" s="69" t="s">
        <v>147</v>
      </c>
      <c r="C12" s="180">
        <v>1159</v>
      </c>
      <c r="D12" s="180">
        <v>904</v>
      </c>
      <c r="E12" s="180">
        <v>1401</v>
      </c>
      <c r="F12" s="180">
        <v>2988</v>
      </c>
      <c r="G12" s="180">
        <v>5063</v>
      </c>
      <c r="H12" s="192">
        <f t="shared" si="0"/>
        <v>1.2088006902502157</v>
      </c>
      <c r="I12" s="192">
        <f t="shared" si="1"/>
        <v>3.6138472519628837</v>
      </c>
      <c r="K12" s="191" t="s">
        <v>412</v>
      </c>
      <c r="L12" s="190">
        <f>(CORREL(C7:C26, E7:E26))^2</f>
        <v>0.403879859339911</v>
      </c>
      <c r="M12" s="176" t="s">
        <v>413</v>
      </c>
    </row>
    <row r="13" spans="1:14">
      <c r="B13" s="75" t="s">
        <v>148</v>
      </c>
      <c r="C13" s="193">
        <v>1534</v>
      </c>
      <c r="D13" s="193">
        <v>1880</v>
      </c>
      <c r="E13" s="193">
        <v>3084</v>
      </c>
      <c r="F13" s="193">
        <v>2904</v>
      </c>
      <c r="G13" s="193">
        <v>9448</v>
      </c>
      <c r="H13" s="192">
        <f t="shared" si="0"/>
        <v>2.0104302477183835</v>
      </c>
      <c r="I13" s="192">
        <f t="shared" si="1"/>
        <v>3.0635538261997408</v>
      </c>
      <c r="K13" s="170"/>
    </row>
    <row r="14" spans="1:14">
      <c r="B14" s="69" t="s">
        <v>118</v>
      </c>
      <c r="C14" s="180">
        <v>1884</v>
      </c>
      <c r="D14" s="180">
        <v>4117</v>
      </c>
      <c r="E14" s="180">
        <v>8241</v>
      </c>
      <c r="F14" s="180">
        <v>4810</v>
      </c>
      <c r="G14" s="180">
        <v>40009</v>
      </c>
      <c r="H14" s="192">
        <f t="shared" si="0"/>
        <v>4.3742038216560513</v>
      </c>
      <c r="I14" s="192">
        <f t="shared" si="1"/>
        <v>4.854871981555636</v>
      </c>
      <c r="K14" s="170"/>
    </row>
    <row r="15" spans="1:14">
      <c r="B15" s="75" t="s">
        <v>119</v>
      </c>
      <c r="C15" s="193">
        <v>2357</v>
      </c>
      <c r="D15" s="193">
        <v>1676</v>
      </c>
      <c r="E15" s="193">
        <v>2916</v>
      </c>
      <c r="F15" s="193">
        <v>7593</v>
      </c>
      <c r="G15" s="193">
        <v>12262</v>
      </c>
      <c r="H15" s="192">
        <f t="shared" si="0"/>
        <v>1.2371658888417481</v>
      </c>
      <c r="I15" s="192">
        <f t="shared" si="1"/>
        <v>4.2050754458161865</v>
      </c>
      <c r="K15" s="170"/>
    </row>
    <row r="16" spans="1:14" ht="14" thickBot="1">
      <c r="B16" s="69" t="s">
        <v>120</v>
      </c>
      <c r="C16" s="180">
        <v>540</v>
      </c>
      <c r="D16" s="180">
        <v>643</v>
      </c>
      <c r="E16" s="180">
        <v>1476</v>
      </c>
      <c r="F16" s="180">
        <v>2707</v>
      </c>
      <c r="G16" s="180">
        <v>4321</v>
      </c>
      <c r="H16" s="192">
        <f t="shared" si="0"/>
        <v>2.7333333333333334</v>
      </c>
      <c r="I16" s="192">
        <f t="shared" si="1"/>
        <v>2.9275067750677506</v>
      </c>
      <c r="K16" s="196" t="s">
        <v>416</v>
      </c>
    </row>
    <row r="17" spans="2:16" ht="14" thickTop="1">
      <c r="B17" s="75" t="s">
        <v>209</v>
      </c>
      <c r="C17" s="193">
        <v>1624</v>
      </c>
      <c r="D17" s="193">
        <v>2254</v>
      </c>
      <c r="E17" s="193">
        <v>3987</v>
      </c>
      <c r="F17" s="193">
        <v>3394</v>
      </c>
      <c r="G17" s="193">
        <v>14047</v>
      </c>
      <c r="H17" s="192">
        <f t="shared" si="0"/>
        <v>2.4550492610837438</v>
      </c>
      <c r="I17" s="192">
        <f t="shared" si="1"/>
        <v>3.5232004013042388</v>
      </c>
      <c r="K17" s="191" t="s">
        <v>417</v>
      </c>
      <c r="L17" s="106">
        <f>AVERAGE(E7:E26)/(AVERAGE(G7:G26)/60)</f>
        <v>17.376269374665956</v>
      </c>
    </row>
    <row r="18" spans="2:16">
      <c r="B18" s="69" t="s">
        <v>210</v>
      </c>
      <c r="C18" s="180">
        <v>1388</v>
      </c>
      <c r="D18" s="180">
        <v>1658</v>
      </c>
      <c r="E18" s="180">
        <v>2807</v>
      </c>
      <c r="F18" s="180">
        <v>7771</v>
      </c>
      <c r="G18" s="180">
        <v>6884</v>
      </c>
      <c r="H18" s="192">
        <f t="shared" si="0"/>
        <v>2.0223342939481266</v>
      </c>
      <c r="I18" s="192">
        <f t="shared" si="1"/>
        <v>2.4524403277520483</v>
      </c>
      <c r="K18" s="191" t="s">
        <v>418</v>
      </c>
      <c r="L18" s="190">
        <f>SUM(G7:G26)/SUM(E7:E26)</f>
        <v>3.4529851434898959</v>
      </c>
    </row>
    <row r="19" spans="2:16">
      <c r="B19" s="75" t="s">
        <v>211</v>
      </c>
      <c r="C19" s="193">
        <v>1226</v>
      </c>
      <c r="D19" s="193">
        <v>1816</v>
      </c>
      <c r="E19" s="193">
        <v>3961</v>
      </c>
      <c r="F19" s="193">
        <v>4648</v>
      </c>
      <c r="G19" s="193">
        <v>13927</v>
      </c>
      <c r="H19" s="192">
        <f t="shared" si="0"/>
        <v>3.2308319738988582</v>
      </c>
      <c r="I19" s="192">
        <f t="shared" si="1"/>
        <v>3.5160313052259529</v>
      </c>
      <c r="K19" s="191" t="s">
        <v>419</v>
      </c>
      <c r="L19" s="106">
        <f>L18*L9</f>
        <v>2883.2425948140631</v>
      </c>
    </row>
    <row r="20" spans="2:16">
      <c r="B20" s="69" t="s">
        <v>96</v>
      </c>
      <c r="C20" s="180">
        <v>526</v>
      </c>
      <c r="D20" s="180">
        <v>533</v>
      </c>
      <c r="E20" s="180">
        <v>857</v>
      </c>
      <c r="F20" s="180">
        <v>1722</v>
      </c>
      <c r="G20" s="180">
        <v>2376</v>
      </c>
      <c r="H20" s="192">
        <f t="shared" si="0"/>
        <v>1.6292775665399239</v>
      </c>
      <c r="I20" s="192">
        <f t="shared" si="1"/>
        <v>2.7724620770128356</v>
      </c>
      <c r="K20" s="191" t="s">
        <v>410</v>
      </c>
      <c r="L20" s="197">
        <f>FLOOR(MIN(I7:I26),1)*L9</f>
        <v>1670</v>
      </c>
    </row>
    <row r="21" spans="2:16">
      <c r="B21" s="75" t="s">
        <v>97</v>
      </c>
      <c r="C21" s="193">
        <v>1004</v>
      </c>
      <c r="D21" s="193">
        <v>1492</v>
      </c>
      <c r="E21" s="193">
        <v>2845</v>
      </c>
      <c r="F21" s="193">
        <v>3415</v>
      </c>
      <c r="G21" s="193">
        <v>10562</v>
      </c>
      <c r="H21" s="192">
        <f t="shared" si="0"/>
        <v>2.8336653386454183</v>
      </c>
      <c r="I21" s="192">
        <f t="shared" si="1"/>
        <v>3.7124780316344466</v>
      </c>
      <c r="K21" s="191" t="s">
        <v>411</v>
      </c>
      <c r="L21" s="4">
        <f>CEILING(MAX(I7:I26),1)*L9</f>
        <v>4175</v>
      </c>
    </row>
    <row r="22" spans="2:16">
      <c r="B22" s="69" t="s">
        <v>98</v>
      </c>
      <c r="C22" s="180">
        <v>859</v>
      </c>
      <c r="D22" s="180">
        <v>672</v>
      </c>
      <c r="E22" s="180">
        <v>1331</v>
      </c>
      <c r="F22" s="180">
        <v>2589</v>
      </c>
      <c r="G22" s="180">
        <v>4482</v>
      </c>
      <c r="H22" s="192">
        <f t="shared" si="0"/>
        <v>1.5494761350407451</v>
      </c>
      <c r="I22" s="192">
        <f t="shared" si="1"/>
        <v>3.3673929376408713</v>
      </c>
      <c r="K22" s="191" t="s">
        <v>412</v>
      </c>
      <c r="L22" s="190">
        <f>(CORREL(G7:G26, E7:E26))^2</f>
        <v>0.89363848626278253</v>
      </c>
      <c r="M22" s="176" t="s">
        <v>421</v>
      </c>
    </row>
    <row r="23" spans="2:16">
      <c r="B23" s="75" t="s">
        <v>99</v>
      </c>
      <c r="C23" s="193">
        <v>3293</v>
      </c>
      <c r="D23" s="193">
        <v>2114</v>
      </c>
      <c r="E23" s="193">
        <v>2915</v>
      </c>
      <c r="F23" s="193">
        <v>8558</v>
      </c>
      <c r="G23" s="193">
        <v>9045</v>
      </c>
      <c r="H23" s="192">
        <f t="shared" si="0"/>
        <v>0.88521105375037956</v>
      </c>
      <c r="I23" s="192">
        <f t="shared" si="1"/>
        <v>3.1029159519725558</v>
      </c>
      <c r="K23" s="170"/>
    </row>
    <row r="24" spans="2:16">
      <c r="B24" s="69" t="s">
        <v>100</v>
      </c>
      <c r="C24" s="180">
        <v>1061</v>
      </c>
      <c r="D24" s="180">
        <v>1177</v>
      </c>
      <c r="E24" s="180">
        <v>2769</v>
      </c>
      <c r="F24" s="180">
        <v>3109</v>
      </c>
      <c r="G24" s="180">
        <v>7030</v>
      </c>
      <c r="H24" s="192">
        <f t="shared" si="0"/>
        <v>2.6098020735155512</v>
      </c>
      <c r="I24" s="192">
        <f t="shared" si="1"/>
        <v>2.5388226796677502</v>
      </c>
    </row>
    <row r="25" spans="2:16">
      <c r="B25" s="75" t="s">
        <v>101</v>
      </c>
      <c r="C25" s="193">
        <v>2134</v>
      </c>
      <c r="D25" s="193">
        <v>2670</v>
      </c>
      <c r="E25" s="193">
        <v>4551</v>
      </c>
      <c r="F25" s="193">
        <v>6662</v>
      </c>
      <c r="G25" s="193">
        <v>11951</v>
      </c>
      <c r="H25" s="192">
        <f t="shared" si="0"/>
        <v>2.1326148078725398</v>
      </c>
      <c r="I25" s="192">
        <f t="shared" si="1"/>
        <v>2.6260162601626016</v>
      </c>
    </row>
    <row r="26" spans="2:16">
      <c r="B26" s="69" t="s">
        <v>102</v>
      </c>
      <c r="C26" s="180">
        <v>2612</v>
      </c>
      <c r="D26" s="180">
        <v>2666</v>
      </c>
      <c r="E26" s="180">
        <v>5138</v>
      </c>
      <c r="F26" s="180">
        <v>5218</v>
      </c>
      <c r="G26" s="180">
        <v>15292</v>
      </c>
      <c r="H26" s="192">
        <f t="shared" si="0"/>
        <v>1.9670750382848392</v>
      </c>
      <c r="I26" s="192">
        <f t="shared" si="1"/>
        <v>2.9762553522771507</v>
      </c>
      <c r="N26" s="18" t="s">
        <v>143</v>
      </c>
      <c r="O26" s="74">
        <v>17</v>
      </c>
      <c r="P26" s="66" t="s">
        <v>144</v>
      </c>
    </row>
    <row r="27" spans="2:16">
      <c r="N27" s="18" t="s">
        <v>216</v>
      </c>
      <c r="O27" s="74">
        <v>2883</v>
      </c>
      <c r="P27" s="66" t="s">
        <v>145</v>
      </c>
    </row>
    <row r="28" spans="2:16">
      <c r="G28" s="191" t="s">
        <v>408</v>
      </c>
      <c r="H28" s="192">
        <f>MIN(H7:H26)</f>
        <v>0.77581863979848864</v>
      </c>
      <c r="N28" s="18" t="s">
        <v>141</v>
      </c>
      <c r="O28" s="74">
        <v>1670</v>
      </c>
      <c r="P28" s="66" t="s">
        <v>145</v>
      </c>
    </row>
    <row r="29" spans="2:16">
      <c r="G29" s="191" t="s">
        <v>409</v>
      </c>
      <c r="H29" s="192">
        <f>MAX(H7:H26)</f>
        <v>4.3742038216560513</v>
      </c>
      <c r="N29" s="18" t="s">
        <v>142</v>
      </c>
      <c r="O29" s="74">
        <v>4175</v>
      </c>
      <c r="P29" s="66" t="s">
        <v>145</v>
      </c>
    </row>
    <row r="30" spans="2:16">
      <c r="N30" s="18" t="s">
        <v>201</v>
      </c>
      <c r="O30" s="194" t="s">
        <v>421</v>
      </c>
      <c r="P30" s="66"/>
    </row>
    <row r="31" spans="2:16">
      <c r="N31" s="18"/>
      <c r="O31" s="48"/>
      <c r="P31" s="48"/>
    </row>
    <row r="32" spans="2:16" ht="42">
      <c r="K32" s="198" t="s">
        <v>423</v>
      </c>
      <c r="N32" s="138" t="s">
        <v>373</v>
      </c>
      <c r="O32" s="74">
        <f>L19*0.5</f>
        <v>1441.6212974070315</v>
      </c>
      <c r="P32" s="97" t="s">
        <v>171</v>
      </c>
    </row>
  </sheetData>
  <mergeCells count="2">
    <mergeCell ref="A1:E1"/>
    <mergeCell ref="A2:E2"/>
  </mergeCells>
  <phoneticPr fontId="0" type="noConversion"/>
  <dataValidations count="1">
    <dataValidation type="list" allowBlank="1" showInputMessage="1" showErrorMessage="1" sqref="O31" xr:uid="{02D6D835-33D3-824B-A940-35B86F7FF3CE}">
      <formula1>$A$32:$A$35</formula1>
    </dataValidation>
  </dataValidations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585E-9197-6A47-9099-05C684395A08}">
  <dimension ref="A1:P32"/>
  <sheetViews>
    <sheetView showGridLines="0" zoomScale="107" workbookViewId="0">
      <selection activeCell="O12" sqref="O12"/>
    </sheetView>
  </sheetViews>
  <sheetFormatPr baseColWidth="10" defaultColWidth="7.6640625" defaultRowHeight="13"/>
  <cols>
    <col min="1" max="1" width="35.5" style="4" customWidth="1"/>
    <col min="2" max="2" width="13.83203125" style="4" customWidth="1"/>
    <col min="3" max="5" width="13.83203125" style="78" customWidth="1"/>
    <col min="6" max="9" width="7.6640625" style="4"/>
    <col min="10" max="10" width="15" style="4" customWidth="1"/>
    <col min="11" max="13" width="7.6640625" style="4"/>
    <col min="14" max="14" width="32.6640625" style="4" customWidth="1"/>
    <col min="15" max="15" width="8.6640625" style="4" customWidth="1"/>
    <col min="16" max="16" width="12.6640625" style="4" customWidth="1"/>
    <col min="17" max="16384" width="7.6640625" style="4"/>
  </cols>
  <sheetData>
    <row r="1" spans="1:16" ht="16">
      <c r="A1" s="168" t="s">
        <v>184</v>
      </c>
      <c r="B1" s="168"/>
      <c r="C1" s="168"/>
      <c r="D1" s="168"/>
      <c r="E1" s="168"/>
    </row>
    <row r="2" spans="1:16">
      <c r="A2" s="169" t="str">
        <f>Solution!A93</f>
        <v>Top-down effort calculations</v>
      </c>
      <c r="B2" s="169"/>
      <c r="C2" s="169"/>
      <c r="D2" s="169"/>
      <c r="E2" s="169"/>
    </row>
    <row r="3" spans="1:16">
      <c r="A3" s="122"/>
      <c r="B3" s="127" t="s">
        <v>340</v>
      </c>
      <c r="C3" s="127" t="s">
        <v>341</v>
      </c>
      <c r="D3" s="127" t="s">
        <v>342</v>
      </c>
      <c r="E3" s="127" t="s">
        <v>343</v>
      </c>
      <c r="F3" s="127" t="s">
        <v>344</v>
      </c>
      <c r="G3" s="127" t="s">
        <v>345</v>
      </c>
    </row>
    <row r="4" spans="1:16" ht="16">
      <c r="A4" s="125" t="s">
        <v>365</v>
      </c>
      <c r="B4" s="127"/>
      <c r="C4" s="127"/>
      <c r="D4" s="127"/>
      <c r="E4" s="127"/>
      <c r="F4" s="127"/>
      <c r="G4" s="127"/>
    </row>
    <row r="5" spans="1:16" ht="14" thickBot="1">
      <c r="A5" s="133" t="s">
        <v>335</v>
      </c>
      <c r="B5" s="131">
        <v>6.2</v>
      </c>
      <c r="C5" s="131">
        <v>4.96</v>
      </c>
      <c r="D5" s="131">
        <v>3.72</v>
      </c>
      <c r="E5" s="131">
        <v>2.48</v>
      </c>
      <c r="F5" s="131">
        <v>1.24</v>
      </c>
      <c r="G5" s="131">
        <v>0</v>
      </c>
      <c r="J5" s="199" t="s">
        <v>429</v>
      </c>
    </row>
    <row r="6" spans="1:16" ht="14" thickTop="1">
      <c r="A6" s="133" t="s">
        <v>336</v>
      </c>
      <c r="B6" s="131">
        <v>5.07</v>
      </c>
      <c r="C6" s="131">
        <v>4.05</v>
      </c>
      <c r="D6" s="131">
        <v>3.04</v>
      </c>
      <c r="E6" s="131">
        <v>2.0299999999999998</v>
      </c>
      <c r="F6" s="131">
        <v>1.01</v>
      </c>
      <c r="G6" s="131">
        <v>0</v>
      </c>
      <c r="J6" s="191" t="s">
        <v>424</v>
      </c>
      <c r="K6" s="4">
        <v>2.94</v>
      </c>
    </row>
    <row r="7" spans="1:16">
      <c r="A7" s="133" t="s">
        <v>337</v>
      </c>
      <c r="B7" s="131">
        <v>7.07</v>
      </c>
      <c r="C7" s="131">
        <v>5.65</v>
      </c>
      <c r="D7" s="131">
        <v>4.24</v>
      </c>
      <c r="E7" s="131">
        <v>2.83</v>
      </c>
      <c r="F7" s="131">
        <v>1.41</v>
      </c>
      <c r="G7" s="131">
        <v>0</v>
      </c>
      <c r="J7" s="191" t="s">
        <v>425</v>
      </c>
      <c r="K7" s="4">
        <v>0.91</v>
      </c>
      <c r="N7" s="134" t="s">
        <v>371</v>
      </c>
      <c r="O7" s="137">
        <v>2.41</v>
      </c>
      <c r="P7" s="134" t="s">
        <v>369</v>
      </c>
    </row>
    <row r="8" spans="1:16">
      <c r="A8" s="133" t="s">
        <v>338</v>
      </c>
      <c r="B8" s="131">
        <v>5.48</v>
      </c>
      <c r="C8" s="131">
        <v>4.38</v>
      </c>
      <c r="D8" s="131">
        <v>3.29</v>
      </c>
      <c r="E8" s="131">
        <v>2.19</v>
      </c>
      <c r="F8" s="131">
        <v>1.1000000000000001</v>
      </c>
      <c r="G8" s="131">
        <v>0</v>
      </c>
      <c r="J8" s="191" t="s">
        <v>426</v>
      </c>
      <c r="K8" s="176">
        <f>835/1000</f>
        <v>0.83499999999999996</v>
      </c>
      <c r="N8" s="66" t="s">
        <v>367</v>
      </c>
      <c r="O8" s="137">
        <v>7.52</v>
      </c>
      <c r="P8" s="66" t="s">
        <v>369</v>
      </c>
    </row>
    <row r="9" spans="1:16">
      <c r="A9" s="133" t="s">
        <v>339</v>
      </c>
      <c r="B9" s="131">
        <v>7.8</v>
      </c>
      <c r="C9" s="131">
        <v>6.24</v>
      </c>
      <c r="D9" s="131">
        <v>4.68</v>
      </c>
      <c r="E9" s="131">
        <v>3.12</v>
      </c>
      <c r="F9" s="131">
        <v>1.56</v>
      </c>
      <c r="G9" s="131">
        <v>0</v>
      </c>
      <c r="J9" s="191" t="s">
        <v>427</v>
      </c>
      <c r="K9" s="190">
        <f>SUM(D5:D9)</f>
        <v>18.97</v>
      </c>
      <c r="N9" s="66" t="s">
        <v>368</v>
      </c>
      <c r="O9" s="137">
        <v>2.06</v>
      </c>
      <c r="P9" s="66" t="s">
        <v>369</v>
      </c>
    </row>
    <row r="10" spans="1:16">
      <c r="A10" s="121"/>
      <c r="B10" s="129"/>
      <c r="C10" s="129"/>
      <c r="D10" s="129"/>
      <c r="E10" s="129"/>
      <c r="F10" s="129"/>
      <c r="G10" s="129"/>
      <c r="J10" s="191" t="s">
        <v>428</v>
      </c>
      <c r="K10" s="4">
        <f>PRODUCT(D13:D31)</f>
        <v>1</v>
      </c>
    </row>
    <row r="11" spans="1:16" ht="16">
      <c r="A11" s="126" t="s">
        <v>366</v>
      </c>
      <c r="B11" s="127"/>
      <c r="C11" s="127"/>
      <c r="D11" s="127"/>
      <c r="E11" s="127"/>
      <c r="F11" s="127"/>
      <c r="G11" s="127"/>
    </row>
    <row r="12" spans="1:16">
      <c r="A12" s="123" t="s">
        <v>346</v>
      </c>
      <c r="B12" s="130"/>
      <c r="C12" s="130"/>
      <c r="D12" s="130"/>
      <c r="E12" s="130"/>
      <c r="F12" s="130"/>
      <c r="G12" s="130"/>
      <c r="J12" s="191" t="s">
        <v>430</v>
      </c>
      <c r="K12" s="190">
        <f>K6*K8^(K7 + 0.01 * K9)*K10</f>
        <v>2.4111595403608419</v>
      </c>
    </row>
    <row r="13" spans="1:16">
      <c r="A13" s="132" t="s">
        <v>347</v>
      </c>
      <c r="B13" s="135">
        <v>0.82</v>
      </c>
      <c r="C13" s="135">
        <v>0.92</v>
      </c>
      <c r="D13" s="135">
        <v>1</v>
      </c>
      <c r="E13" s="135">
        <v>1.1000000000000001</v>
      </c>
      <c r="F13" s="135">
        <v>1.26</v>
      </c>
      <c r="G13" s="135">
        <v>1.26</v>
      </c>
    </row>
    <row r="14" spans="1:16">
      <c r="A14" s="132" t="s">
        <v>348</v>
      </c>
      <c r="B14" s="135">
        <v>0.94</v>
      </c>
      <c r="C14" s="135">
        <v>0.94</v>
      </c>
      <c r="D14" s="135">
        <v>1</v>
      </c>
      <c r="E14" s="135">
        <v>1.08</v>
      </c>
      <c r="F14" s="135">
        <v>1.1599999999999999</v>
      </c>
      <c r="G14" s="135">
        <v>1.1599999999999999</v>
      </c>
    </row>
    <row r="15" spans="1:16" ht="14" thickBot="1">
      <c r="A15" s="132" t="s">
        <v>349</v>
      </c>
      <c r="B15" s="135">
        <v>0.7</v>
      </c>
      <c r="C15" s="135">
        <v>0.85</v>
      </c>
      <c r="D15" s="135">
        <v>1</v>
      </c>
      <c r="E15" s="135">
        <v>1.1499999999999999</v>
      </c>
      <c r="F15" s="135">
        <v>1.3</v>
      </c>
      <c r="G15" s="135">
        <v>1.65</v>
      </c>
      <c r="J15" s="199" t="s">
        <v>431</v>
      </c>
    </row>
    <row r="16" spans="1:16" ht="14" thickTop="1">
      <c r="A16" s="123" t="s">
        <v>350</v>
      </c>
      <c r="B16" s="136"/>
      <c r="C16" s="136"/>
      <c r="D16" s="136"/>
      <c r="E16" s="136"/>
      <c r="F16" s="136"/>
      <c r="G16" s="136"/>
      <c r="J16" s="191" t="s">
        <v>424</v>
      </c>
      <c r="K16" s="4">
        <v>2.94</v>
      </c>
    </row>
    <row r="17" spans="1:12">
      <c r="A17" s="132" t="s">
        <v>351</v>
      </c>
      <c r="B17" s="135">
        <v>1</v>
      </c>
      <c r="C17" s="135">
        <v>1</v>
      </c>
      <c r="D17" s="135">
        <v>1</v>
      </c>
      <c r="E17" s="135">
        <v>1.1100000000000001</v>
      </c>
      <c r="F17" s="135">
        <v>1.3</v>
      </c>
      <c r="G17" s="135">
        <v>1.66</v>
      </c>
      <c r="J17" s="191" t="s">
        <v>425</v>
      </c>
      <c r="K17" s="4">
        <v>0.91</v>
      </c>
    </row>
    <row r="18" spans="1:12">
      <c r="A18" s="132" t="s">
        <v>352</v>
      </c>
      <c r="B18" s="135">
        <v>1</v>
      </c>
      <c r="C18" s="135">
        <v>1</v>
      </c>
      <c r="D18" s="135">
        <v>1</v>
      </c>
      <c r="E18" s="135">
        <v>1.06</v>
      </c>
      <c r="F18" s="135">
        <v>1.21</v>
      </c>
      <c r="G18" s="135">
        <v>1.56</v>
      </c>
      <c r="J18" s="191" t="s">
        <v>426</v>
      </c>
      <c r="K18" s="176">
        <f>835/1000</f>
        <v>0.83499999999999996</v>
      </c>
    </row>
    <row r="19" spans="1:12">
      <c r="A19" s="132" t="s">
        <v>353</v>
      </c>
      <c r="B19" s="135">
        <v>0.87</v>
      </c>
      <c r="C19" s="135">
        <v>0.87</v>
      </c>
      <c r="D19" s="135">
        <v>1</v>
      </c>
      <c r="E19" s="135">
        <v>1.1499999999999999</v>
      </c>
      <c r="F19" s="135">
        <v>1.3</v>
      </c>
      <c r="G19" s="135">
        <v>1.3</v>
      </c>
      <c r="J19" s="191" t="s">
        <v>427</v>
      </c>
      <c r="K19" s="190">
        <f>SUM(B5:B9)</f>
        <v>31.62</v>
      </c>
    </row>
    <row r="20" spans="1:12">
      <c r="A20" s="132" t="s">
        <v>354</v>
      </c>
      <c r="B20" s="135">
        <v>0.87</v>
      </c>
      <c r="C20" s="135">
        <v>0.87</v>
      </c>
      <c r="D20" s="135">
        <v>1</v>
      </c>
      <c r="E20" s="135">
        <v>1.07</v>
      </c>
      <c r="F20" s="135">
        <v>1.1499999999999999</v>
      </c>
      <c r="G20" s="135">
        <v>1.1499999999999999</v>
      </c>
      <c r="J20" s="191" t="s">
        <v>428</v>
      </c>
      <c r="K20" s="4">
        <f>PRODUCT(B13:B31)</f>
        <v>3.1905065340041441</v>
      </c>
    </row>
    <row r="21" spans="1:12">
      <c r="A21" s="123" t="s">
        <v>355</v>
      </c>
      <c r="B21" s="136"/>
      <c r="C21" s="136"/>
      <c r="D21" s="136"/>
      <c r="E21" s="136"/>
      <c r="F21" s="136"/>
      <c r="G21" s="136"/>
      <c r="K21" s="190"/>
    </row>
    <row r="22" spans="1:12">
      <c r="A22" s="132" t="s">
        <v>356</v>
      </c>
      <c r="B22" s="135">
        <v>1.42</v>
      </c>
      <c r="C22" s="135">
        <v>1.19</v>
      </c>
      <c r="D22" s="135">
        <v>1</v>
      </c>
      <c r="E22" s="135">
        <v>0.85</v>
      </c>
      <c r="F22" s="135">
        <v>0.71</v>
      </c>
      <c r="G22" s="135">
        <v>0.71</v>
      </c>
      <c r="J22" s="191" t="s">
        <v>430</v>
      </c>
      <c r="K22" s="190">
        <f>K16*K18^(K17 + 0.01 * K19)*K20</f>
        <v>7.5193261900116397</v>
      </c>
    </row>
    <row r="23" spans="1:12">
      <c r="A23" s="132" t="s">
        <v>357</v>
      </c>
      <c r="B23" s="135">
        <v>1.22</v>
      </c>
      <c r="C23" s="135">
        <v>1.1000000000000001</v>
      </c>
      <c r="D23" s="135">
        <v>1</v>
      </c>
      <c r="E23" s="135">
        <v>0.88</v>
      </c>
      <c r="F23" s="135">
        <v>0.81</v>
      </c>
      <c r="G23" s="135">
        <v>0.81</v>
      </c>
    </row>
    <row r="24" spans="1:12">
      <c r="A24" s="132" t="s">
        <v>358</v>
      </c>
      <c r="B24" s="135">
        <v>1.34</v>
      </c>
      <c r="C24" s="135">
        <v>1.1499999999999999</v>
      </c>
      <c r="D24" s="135">
        <v>1</v>
      </c>
      <c r="E24" s="135">
        <v>0.88</v>
      </c>
      <c r="F24" s="135">
        <v>0.76</v>
      </c>
      <c r="G24" s="135">
        <v>0.76</v>
      </c>
    </row>
    <row r="25" spans="1:12" ht="14" thickBot="1">
      <c r="A25" s="132" t="s">
        <v>359</v>
      </c>
      <c r="B25" s="135">
        <v>1.21</v>
      </c>
      <c r="C25" s="135">
        <v>1.1000000000000001</v>
      </c>
      <c r="D25" s="135">
        <v>1</v>
      </c>
      <c r="E25" s="135">
        <v>0.9</v>
      </c>
      <c r="F25" s="135">
        <v>0.9</v>
      </c>
      <c r="G25" s="135">
        <v>0.9</v>
      </c>
      <c r="J25" s="200" t="s">
        <v>432</v>
      </c>
    </row>
    <row r="26" spans="1:12" ht="14" thickTop="1">
      <c r="A26" s="132" t="s">
        <v>360</v>
      </c>
      <c r="B26" s="135">
        <v>1.1399999999999999</v>
      </c>
      <c r="C26" s="135">
        <v>1.07</v>
      </c>
      <c r="D26" s="135">
        <v>1</v>
      </c>
      <c r="E26" s="135">
        <v>0.95</v>
      </c>
      <c r="F26" s="135">
        <v>0.95</v>
      </c>
      <c r="G26" s="135">
        <v>0.95</v>
      </c>
      <c r="J26" s="191" t="s">
        <v>424</v>
      </c>
      <c r="K26" s="4">
        <v>2.94</v>
      </c>
    </row>
    <row r="27" spans="1:12">
      <c r="A27" s="132" t="s">
        <v>372</v>
      </c>
      <c r="B27" s="135">
        <v>1.29</v>
      </c>
      <c r="C27" s="135">
        <v>1.1000000000000001</v>
      </c>
      <c r="D27" s="135">
        <v>1</v>
      </c>
      <c r="E27" s="135">
        <v>0.88</v>
      </c>
      <c r="F27" s="135">
        <v>0.81</v>
      </c>
      <c r="G27" s="135">
        <v>0.81</v>
      </c>
      <c r="J27" s="191" t="s">
        <v>425</v>
      </c>
      <c r="K27" s="4">
        <v>0.91</v>
      </c>
    </row>
    <row r="28" spans="1:12">
      <c r="A28" s="123" t="s">
        <v>361</v>
      </c>
      <c r="B28" s="136"/>
      <c r="C28" s="136"/>
      <c r="D28" s="136"/>
      <c r="E28" s="136"/>
      <c r="F28" s="136"/>
      <c r="G28" s="136"/>
      <c r="J28" s="191" t="s">
        <v>426</v>
      </c>
      <c r="K28" s="176">
        <f>835/1000</f>
        <v>0.83499999999999996</v>
      </c>
      <c r="L28" s="176"/>
    </row>
    <row r="29" spans="1:12">
      <c r="A29" s="132" t="s">
        <v>362</v>
      </c>
      <c r="B29" s="135">
        <v>1.24</v>
      </c>
      <c r="C29" s="135">
        <v>1.1000000000000001</v>
      </c>
      <c r="D29" s="135">
        <v>1</v>
      </c>
      <c r="E29" s="135">
        <v>0.91</v>
      </c>
      <c r="F29" s="135">
        <v>0.82</v>
      </c>
      <c r="G29" s="135">
        <v>0.82</v>
      </c>
      <c r="J29" s="191" t="s">
        <v>427</v>
      </c>
      <c r="K29" s="190">
        <f>SUM(E5:E9)</f>
        <v>12.649999999999999</v>
      </c>
      <c r="L29" s="190"/>
    </row>
    <row r="30" spans="1:12">
      <c r="A30" s="132" t="s">
        <v>363</v>
      </c>
      <c r="B30" s="135">
        <v>1.24</v>
      </c>
      <c r="C30" s="135">
        <v>1.1000000000000001</v>
      </c>
      <c r="D30" s="135">
        <v>1</v>
      </c>
      <c r="E30" s="135">
        <v>0.91</v>
      </c>
      <c r="F30" s="135">
        <v>0.83</v>
      </c>
      <c r="G30" s="135">
        <v>0.83</v>
      </c>
      <c r="J30" s="191" t="s">
        <v>428</v>
      </c>
      <c r="K30" s="4">
        <f>PRODUCT(E13:E31)</f>
        <v>0.84367255957735754</v>
      </c>
    </row>
    <row r="31" spans="1:12">
      <c r="A31" s="132" t="s">
        <v>364</v>
      </c>
      <c r="B31" s="135">
        <v>1.23</v>
      </c>
      <c r="C31" s="135">
        <v>1.08</v>
      </c>
      <c r="D31" s="135">
        <v>1</v>
      </c>
      <c r="E31" s="135">
        <v>1.04</v>
      </c>
      <c r="F31" s="135">
        <v>1.1000000000000001</v>
      </c>
      <c r="G31" s="135">
        <v>1.1000000000000001</v>
      </c>
      <c r="J31" s="201"/>
    </row>
    <row r="32" spans="1:12">
      <c r="J32" s="191" t="s">
        <v>430</v>
      </c>
      <c r="K32" s="4">
        <f>K26*K28^(K27 + 0.01 * K29)*K30</f>
        <v>2.0575447339830699</v>
      </c>
    </row>
  </sheetData>
  <mergeCells count="2">
    <mergeCell ref="A1:E1"/>
    <mergeCell ref="A2:E2"/>
  </mergeCells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L65"/>
  <sheetViews>
    <sheetView showGridLines="0" topLeftCell="A19" zoomScaleNormal="100" workbookViewId="0">
      <selection activeCell="F57" sqref="F57"/>
    </sheetView>
  </sheetViews>
  <sheetFormatPr baseColWidth="10" defaultColWidth="7.33203125" defaultRowHeight="13"/>
  <cols>
    <col min="2" max="2" width="12.1640625" customWidth="1"/>
    <col min="4" max="4" width="23.1640625" customWidth="1"/>
    <col min="12" max="12" width="9.33203125" customWidth="1"/>
  </cols>
  <sheetData>
    <row r="1" spans="1:12" ht="20">
      <c r="A1" s="150" t="s">
        <v>104</v>
      </c>
      <c r="B1" s="150"/>
    </row>
    <row r="2" spans="1:12" s="25" customFormat="1">
      <c r="A2" s="155" t="s">
        <v>105</v>
      </c>
      <c r="B2" s="155"/>
      <c r="C2" s="151" t="s">
        <v>203</v>
      </c>
      <c r="D2" s="151"/>
      <c r="E2" s="151"/>
      <c r="F2" s="151"/>
      <c r="G2" s="151"/>
      <c r="H2" s="151"/>
      <c r="I2" s="151"/>
      <c r="J2" s="151"/>
      <c r="K2" s="151"/>
      <c r="L2" s="151"/>
    </row>
    <row r="3" spans="1:12" s="25" customFormat="1" ht="12.75" customHeight="1">
      <c r="A3" s="46" t="s">
        <v>106</v>
      </c>
      <c r="B3" s="47"/>
      <c r="C3" s="152" t="s">
        <v>233</v>
      </c>
      <c r="D3" s="153"/>
      <c r="E3" s="153"/>
      <c r="F3" s="153"/>
      <c r="G3" s="153"/>
      <c r="H3" s="153"/>
      <c r="I3" s="153"/>
      <c r="J3" s="153"/>
      <c r="K3" s="153"/>
      <c r="L3" s="154"/>
    </row>
    <row r="4" spans="1:12" s="25" customFormat="1">
      <c r="A4" s="155" t="s">
        <v>107</v>
      </c>
      <c r="B4" s="155"/>
      <c r="C4" s="147" t="s">
        <v>165</v>
      </c>
      <c r="D4" s="148"/>
      <c r="E4" s="148"/>
      <c r="F4" s="148"/>
      <c r="G4" s="148"/>
      <c r="H4" s="148"/>
      <c r="I4" s="148"/>
      <c r="J4" s="148"/>
      <c r="K4" s="148"/>
      <c r="L4" s="149"/>
    </row>
    <row r="5" spans="1:12" s="25" customFormat="1">
      <c r="A5" s="155"/>
      <c r="B5" s="155"/>
      <c r="C5" s="147" t="s">
        <v>166</v>
      </c>
      <c r="D5" s="148"/>
      <c r="E5" s="148"/>
      <c r="F5" s="148"/>
      <c r="G5" s="148"/>
      <c r="H5" s="148"/>
      <c r="I5" s="148"/>
      <c r="J5" s="148"/>
      <c r="K5" s="148"/>
      <c r="L5" s="149"/>
    </row>
    <row r="8" spans="1:12">
      <c r="A8" s="146" t="s">
        <v>163</v>
      </c>
      <c r="B8" s="146"/>
    </row>
    <row r="9" spans="1:12">
      <c r="A9" s="26" t="s">
        <v>164</v>
      </c>
      <c r="B9" s="26"/>
      <c r="C9" s="26"/>
      <c r="F9" s="26"/>
      <c r="G9" s="26"/>
      <c r="H9" s="26"/>
      <c r="I9" s="26"/>
      <c r="J9" s="26"/>
      <c r="K9" s="26"/>
      <c r="L9" s="26"/>
    </row>
    <row r="10" spans="1:12">
      <c r="A10" s="27"/>
      <c r="B10" s="29" t="s">
        <v>126</v>
      </c>
      <c r="C10" s="29"/>
      <c r="D10" s="26"/>
      <c r="E10" s="26"/>
      <c r="F10" s="29"/>
      <c r="G10" s="29"/>
      <c r="H10" s="29"/>
      <c r="I10" s="29"/>
      <c r="J10" s="29"/>
      <c r="K10" s="29"/>
      <c r="L10" s="29"/>
    </row>
    <row r="11" spans="1:12">
      <c r="A11" s="27"/>
      <c r="B11" s="29" t="s">
        <v>168</v>
      </c>
      <c r="C11" s="29"/>
      <c r="D11" s="26"/>
      <c r="E11" s="26"/>
      <c r="F11" s="29"/>
      <c r="G11" s="29"/>
      <c r="H11" s="29"/>
      <c r="I11" s="29"/>
      <c r="J11" s="29"/>
      <c r="K11" s="29"/>
      <c r="L11" s="29"/>
    </row>
    <row r="12" spans="1:12">
      <c r="A12" s="30" t="str">
        <f>Solution!A60</f>
        <v>Size matrix</v>
      </c>
      <c r="B12" s="28"/>
      <c r="C12" s="28"/>
      <c r="D12" s="29"/>
      <c r="E12" s="29"/>
      <c r="F12" s="28"/>
      <c r="G12" s="28"/>
      <c r="H12" s="28"/>
      <c r="I12" s="28"/>
      <c r="J12" s="28"/>
      <c r="K12" s="28"/>
      <c r="L12" s="28"/>
    </row>
    <row r="13" spans="1:12">
      <c r="A13" s="27"/>
      <c r="B13" s="67" t="s">
        <v>219</v>
      </c>
      <c r="C13" s="29"/>
      <c r="D13" s="28"/>
      <c r="E13" s="28"/>
      <c r="F13" s="29"/>
      <c r="G13" s="29"/>
      <c r="H13" s="29"/>
      <c r="I13" s="29"/>
      <c r="J13" s="29"/>
      <c r="K13" s="29"/>
      <c r="L13" s="29"/>
    </row>
    <row r="14" spans="1:12">
      <c r="A14" s="27" t="str">
        <f>Solution!A68</f>
        <v>Component sizing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</row>
    <row r="15" spans="1:12">
      <c r="A15" s="27"/>
      <c r="B15" s="67" t="s">
        <v>263</v>
      </c>
      <c r="C15" s="29"/>
      <c r="D15" s="28"/>
      <c r="E15" s="28"/>
      <c r="F15" s="29"/>
      <c r="G15" s="29"/>
      <c r="H15" s="29"/>
      <c r="I15" s="29"/>
      <c r="J15" s="29"/>
      <c r="K15" s="29"/>
      <c r="L15" s="29"/>
    </row>
    <row r="16" spans="1:12">
      <c r="A16" s="27"/>
      <c r="B16" s="67" t="s">
        <v>220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>
      <c r="A17" s="27"/>
      <c r="B17" s="67" t="s">
        <v>264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1:12">
      <c r="A18" s="26" t="str">
        <f>Solution!A77</f>
        <v>Size calculations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 spans="1:12">
      <c r="A19" s="27"/>
      <c r="B19" s="67" t="s">
        <v>265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</row>
    <row r="20" spans="1:12">
      <c r="A20" s="27"/>
      <c r="B20" s="29" t="s">
        <v>61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</row>
    <row r="21" spans="1:12">
      <c r="A21" s="27"/>
      <c r="B21" s="29" t="s">
        <v>152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</row>
    <row r="22" spans="1:12">
      <c r="A22" s="27"/>
      <c r="B22" s="29" t="s">
        <v>181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spans="1:12">
      <c r="A23" s="27"/>
      <c r="B23" s="67" t="s">
        <v>221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1:12">
      <c r="A24" s="26" t="str">
        <f>Solution!A93</f>
        <v>Top-down effort calculations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12">
      <c r="A25" s="27"/>
      <c r="B25" s="29" t="s">
        <v>162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 spans="1:12">
      <c r="A26" s="27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</row>
    <row r="28" spans="1:12">
      <c r="A28" s="33" t="s">
        <v>185</v>
      </c>
    </row>
    <row r="29" spans="1:12">
      <c r="B29" s="33" t="s">
        <v>153</v>
      </c>
      <c r="C29" t="s">
        <v>154</v>
      </c>
      <c r="D29" t="s">
        <v>155</v>
      </c>
    </row>
    <row r="30" spans="1:12">
      <c r="C30" t="s">
        <v>156</v>
      </c>
      <c r="D30" t="s">
        <v>157</v>
      </c>
    </row>
    <row r="31" spans="1:12">
      <c r="C31" t="s">
        <v>160</v>
      </c>
      <c r="D31" t="s">
        <v>204</v>
      </c>
      <c r="F31" s="34" t="s">
        <v>158</v>
      </c>
      <c r="G31" s="34" t="s">
        <v>159</v>
      </c>
    </row>
    <row r="32" spans="1:12">
      <c r="D32" t="s">
        <v>205</v>
      </c>
      <c r="F32" s="34">
        <v>1</v>
      </c>
      <c r="G32" s="34">
        <v>2</v>
      </c>
    </row>
    <row r="33" spans="2:9">
      <c r="D33" t="s">
        <v>206</v>
      </c>
      <c r="F33" s="34">
        <v>2</v>
      </c>
      <c r="G33" s="34">
        <v>4</v>
      </c>
    </row>
    <row r="34" spans="2:9">
      <c r="D34">
        <f>CORREL(F32:F37,G32:G37)</f>
        <v>0.98371697209638886</v>
      </c>
      <c r="F34" s="34">
        <v>4</v>
      </c>
      <c r="G34" s="34">
        <v>8</v>
      </c>
    </row>
    <row r="35" spans="2:9">
      <c r="F35" s="34">
        <v>5</v>
      </c>
      <c r="G35" s="34">
        <v>10</v>
      </c>
    </row>
    <row r="36" spans="2:9">
      <c r="F36" s="34">
        <v>6</v>
      </c>
      <c r="G36" s="34">
        <v>12</v>
      </c>
    </row>
    <row r="37" spans="2:9">
      <c r="F37" s="34">
        <v>7</v>
      </c>
      <c r="G37" s="34">
        <v>17</v>
      </c>
    </row>
    <row r="39" spans="2:9">
      <c r="B39" s="33" t="s">
        <v>149</v>
      </c>
      <c r="C39" t="s">
        <v>154</v>
      </c>
      <c r="D39" t="s">
        <v>150</v>
      </c>
    </row>
    <row r="40" spans="2:9">
      <c r="C40" t="s">
        <v>156</v>
      </c>
      <c r="D40" t="s">
        <v>151</v>
      </c>
    </row>
    <row r="41" spans="2:9">
      <c r="C41" t="s">
        <v>160</v>
      </c>
      <c r="D41" t="s">
        <v>246</v>
      </c>
      <c r="I41">
        <f>AVERAGE(F32:F37)</f>
        <v>4.166666666666667</v>
      </c>
    </row>
    <row r="43" spans="2:9">
      <c r="B43" s="33" t="s">
        <v>94</v>
      </c>
      <c r="C43" t="s">
        <v>154</v>
      </c>
      <c r="D43" t="s">
        <v>150</v>
      </c>
    </row>
    <row r="44" spans="2:9">
      <c r="C44" t="s">
        <v>156</v>
      </c>
      <c r="D44" t="s">
        <v>95</v>
      </c>
    </row>
    <row r="45" spans="2:9">
      <c r="C45" t="s">
        <v>160</v>
      </c>
      <c r="D45" t="s">
        <v>247</v>
      </c>
      <c r="I45">
        <f>STDEV(F32:F37)</f>
        <v>2.3166067138525404</v>
      </c>
    </row>
    <row r="47" spans="2:9">
      <c r="B47" s="33" t="s">
        <v>207</v>
      </c>
      <c r="C47" t="s">
        <v>154</v>
      </c>
      <c r="D47" t="s">
        <v>150</v>
      </c>
    </row>
    <row r="48" spans="2:9">
      <c r="C48" t="s">
        <v>156</v>
      </c>
      <c r="D48" t="s">
        <v>208</v>
      </c>
    </row>
    <row r="49" spans="2:9">
      <c r="C49" t="s">
        <v>160</v>
      </c>
      <c r="D49" t="s">
        <v>248</v>
      </c>
      <c r="I49">
        <f>SUM(F32:F37)</f>
        <v>25</v>
      </c>
    </row>
    <row r="51" spans="2:9">
      <c r="B51" s="33" t="s">
        <v>249</v>
      </c>
      <c r="C51" t="s">
        <v>154</v>
      </c>
      <c r="D51" t="s">
        <v>250</v>
      </c>
    </row>
    <row r="52" spans="2:9">
      <c r="C52" t="s">
        <v>156</v>
      </c>
      <c r="D52" t="s">
        <v>251</v>
      </c>
    </row>
    <row r="53" spans="2:9">
      <c r="C53" t="s">
        <v>160</v>
      </c>
      <c r="D53" t="s">
        <v>252</v>
      </c>
      <c r="I53">
        <f>LN(I49)</f>
        <v>3.2188758248682006</v>
      </c>
    </row>
    <row r="55" spans="2:9">
      <c r="B55" s="33" t="s">
        <v>244</v>
      </c>
      <c r="C55" t="s">
        <v>154</v>
      </c>
      <c r="D55" t="s">
        <v>245</v>
      </c>
    </row>
    <row r="56" spans="2:9">
      <c r="C56" t="s">
        <v>156</v>
      </c>
      <c r="D56" s="113" t="s">
        <v>370</v>
      </c>
    </row>
    <row r="57" spans="2:9">
      <c r="C57" t="s">
        <v>160</v>
      </c>
      <c r="D57" t="s">
        <v>253</v>
      </c>
      <c r="I57">
        <f>EXP(I53)</f>
        <v>24.999999999999996</v>
      </c>
    </row>
    <row r="59" spans="2:9">
      <c r="B59" s="33" t="s">
        <v>254</v>
      </c>
      <c r="C59" t="s">
        <v>154</v>
      </c>
      <c r="D59" t="s">
        <v>255</v>
      </c>
    </row>
    <row r="60" spans="2:9">
      <c r="C60" t="s">
        <v>156</v>
      </c>
      <c r="D60" t="s">
        <v>256</v>
      </c>
    </row>
    <row r="61" spans="2:9">
      <c r="C61" t="s">
        <v>160</v>
      </c>
      <c r="D61" t="s">
        <v>257</v>
      </c>
      <c r="I61">
        <f>CEILING(I41,1)</f>
        <v>5</v>
      </c>
    </row>
    <row r="63" spans="2:9">
      <c r="B63" s="33" t="s">
        <v>270</v>
      </c>
      <c r="C63" t="s">
        <v>154</v>
      </c>
      <c r="D63" t="s">
        <v>255</v>
      </c>
    </row>
    <row r="64" spans="2:9">
      <c r="C64" t="s">
        <v>156</v>
      </c>
      <c r="D64" t="s">
        <v>271</v>
      </c>
    </row>
    <row r="65" spans="3:9">
      <c r="C65" t="s">
        <v>160</v>
      </c>
      <c r="D65" t="s">
        <v>272</v>
      </c>
      <c r="I65">
        <f>FLOOR(4.1667,1)</f>
        <v>4</v>
      </c>
    </row>
  </sheetData>
  <sheetProtection sheet="1" objects="1" scenarios="1"/>
  <mergeCells count="8">
    <mergeCell ref="A8:B8"/>
    <mergeCell ref="C4:L4"/>
    <mergeCell ref="A1:B1"/>
    <mergeCell ref="C2:L2"/>
    <mergeCell ref="C3:L3"/>
    <mergeCell ref="C5:L5"/>
    <mergeCell ref="A2:B2"/>
    <mergeCell ref="A4:B5"/>
  </mergeCells>
  <phoneticPr fontId="11" type="noConversion"/>
  <pageMargins left="0.75" right="0.75" top="1" bottom="1" header="0.5" footer="0.5"/>
  <pageSetup scale="44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I89"/>
  <sheetViews>
    <sheetView showGridLines="0" zoomScaleNormal="100" workbookViewId="0">
      <selection activeCell="G19" sqref="G19"/>
    </sheetView>
  </sheetViews>
  <sheetFormatPr baseColWidth="10" defaultColWidth="7.6640625" defaultRowHeight="13"/>
  <cols>
    <col min="1" max="1" width="11.1640625" style="51" bestFit="1" customWidth="1"/>
    <col min="2" max="2" width="12.6640625" style="51" customWidth="1"/>
    <col min="3" max="3" width="11" style="51" customWidth="1"/>
    <col min="4" max="4" width="13.6640625" style="51" customWidth="1"/>
    <col min="5" max="5" width="12.33203125" style="51" customWidth="1"/>
    <col min="6" max="6" width="14.6640625" style="51" customWidth="1"/>
    <col min="7" max="7" width="11.33203125" style="51" customWidth="1"/>
    <col min="8" max="16384" width="7.6640625" style="51"/>
  </cols>
  <sheetData>
    <row r="1" spans="1:9" s="50" customFormat="1" ht="41.25" customHeight="1">
      <c r="A1" s="156" t="s">
        <v>267</v>
      </c>
      <c r="B1" s="156"/>
      <c r="C1" s="156"/>
      <c r="D1" s="156"/>
      <c r="E1" s="156"/>
      <c r="F1" s="156"/>
      <c r="G1" s="156"/>
    </row>
    <row r="2" spans="1:9">
      <c r="A2" s="141"/>
      <c r="B2" s="81" t="s">
        <v>109</v>
      </c>
      <c r="C2" s="81" t="s">
        <v>110</v>
      </c>
      <c r="D2" s="81" t="s">
        <v>190</v>
      </c>
      <c r="E2" s="82" t="s">
        <v>174</v>
      </c>
      <c r="F2" s="41"/>
      <c r="G2" s="41"/>
    </row>
    <row r="3" spans="1:9">
      <c r="A3" s="55"/>
      <c r="B3" s="83" t="s">
        <v>311</v>
      </c>
      <c r="C3" s="83">
        <v>14</v>
      </c>
      <c r="D3" s="83">
        <v>1</v>
      </c>
      <c r="E3" s="83" t="s">
        <v>191</v>
      </c>
      <c r="F3" s="45"/>
      <c r="G3" s="45"/>
      <c r="H3" s="53"/>
      <c r="I3" s="54"/>
    </row>
    <row r="4" spans="1:9">
      <c r="A4" s="52"/>
      <c r="B4" t="s">
        <v>312</v>
      </c>
      <c r="C4">
        <v>152</v>
      </c>
      <c r="D4">
        <v>14</v>
      </c>
      <c r="E4" t="s">
        <v>191</v>
      </c>
      <c r="F4" s="55"/>
      <c r="G4" s="55"/>
    </row>
    <row r="5" spans="1:9">
      <c r="A5" s="52"/>
      <c r="B5" s="83" t="s">
        <v>313</v>
      </c>
      <c r="C5" s="83">
        <v>71</v>
      </c>
      <c r="D5" s="83">
        <v>7</v>
      </c>
      <c r="E5" s="83" t="s">
        <v>175</v>
      </c>
      <c r="F5" s="55"/>
      <c r="G5" s="55"/>
    </row>
    <row r="6" spans="1:9">
      <c r="A6" s="52"/>
      <c r="B6" t="s">
        <v>314</v>
      </c>
      <c r="C6">
        <v>341</v>
      </c>
      <c r="D6">
        <v>26</v>
      </c>
      <c r="E6" t="s">
        <v>62</v>
      </c>
      <c r="F6" s="55"/>
      <c r="G6" s="55"/>
    </row>
    <row r="7" spans="1:9">
      <c r="A7" s="52"/>
      <c r="B7" s="83" t="s">
        <v>315</v>
      </c>
      <c r="C7" s="83">
        <v>19</v>
      </c>
      <c r="D7" s="83">
        <v>1</v>
      </c>
      <c r="E7" s="83" t="s">
        <v>191</v>
      </c>
      <c r="F7" s="55"/>
      <c r="G7" s="55"/>
    </row>
    <row r="8" spans="1:9">
      <c r="A8" s="52"/>
      <c r="B8" t="s">
        <v>316</v>
      </c>
      <c r="C8">
        <v>38</v>
      </c>
      <c r="D8">
        <v>1</v>
      </c>
      <c r="E8" t="s">
        <v>192</v>
      </c>
      <c r="F8" s="55"/>
      <c r="G8" s="55"/>
    </row>
    <row r="9" spans="1:9">
      <c r="A9" s="52"/>
      <c r="B9" s="83" t="s">
        <v>317</v>
      </c>
      <c r="C9" s="83">
        <v>56</v>
      </c>
      <c r="D9" s="83">
        <v>6</v>
      </c>
      <c r="E9" s="83" t="s">
        <v>62</v>
      </c>
      <c r="F9" s="55"/>
      <c r="G9" s="55"/>
    </row>
    <row r="10" spans="1:9">
      <c r="A10" s="52"/>
      <c r="B10" t="s">
        <v>318</v>
      </c>
      <c r="C10">
        <v>16</v>
      </c>
      <c r="D10">
        <v>1</v>
      </c>
      <c r="E10" t="s">
        <v>175</v>
      </c>
      <c r="F10" s="55"/>
      <c r="G10" s="55"/>
    </row>
    <row r="11" spans="1:9">
      <c r="A11" s="52"/>
      <c r="B11" s="83" t="s">
        <v>319</v>
      </c>
      <c r="C11" s="83">
        <v>224</v>
      </c>
      <c r="D11" s="83">
        <v>17</v>
      </c>
      <c r="E11" s="83" t="s">
        <v>62</v>
      </c>
      <c r="F11" s="55"/>
      <c r="G11" s="55"/>
    </row>
    <row r="12" spans="1:9">
      <c r="A12" s="52"/>
      <c r="B12" t="s">
        <v>63</v>
      </c>
      <c r="C12">
        <v>296</v>
      </c>
      <c r="D12">
        <v>24</v>
      </c>
      <c r="E12" t="s">
        <v>192</v>
      </c>
      <c r="F12" s="55"/>
      <c r="G12" s="55"/>
    </row>
    <row r="13" spans="1:9">
      <c r="A13" s="52"/>
      <c r="B13" s="83" t="s">
        <v>64</v>
      </c>
      <c r="C13" s="83">
        <v>225</v>
      </c>
      <c r="D13" s="83">
        <v>16</v>
      </c>
      <c r="E13" s="83" t="s">
        <v>62</v>
      </c>
      <c r="F13" s="55"/>
      <c r="G13" s="55"/>
    </row>
    <row r="14" spans="1:9">
      <c r="A14" s="52"/>
      <c r="B14" t="s">
        <v>65</v>
      </c>
      <c r="C14">
        <v>82</v>
      </c>
      <c r="D14">
        <v>4</v>
      </c>
      <c r="E14" t="s">
        <v>62</v>
      </c>
      <c r="F14" s="55"/>
      <c r="G14" s="55"/>
    </row>
    <row r="15" spans="1:9">
      <c r="A15" s="52"/>
      <c r="B15" s="83" t="s">
        <v>66</v>
      </c>
      <c r="C15" s="83">
        <v>28</v>
      </c>
      <c r="D15" s="83">
        <v>2</v>
      </c>
      <c r="E15" s="83" t="s">
        <v>62</v>
      </c>
      <c r="F15" s="55"/>
      <c r="G15" s="55"/>
    </row>
    <row r="16" spans="1:9">
      <c r="A16" s="52"/>
      <c r="B16" t="s">
        <v>67</v>
      </c>
      <c r="C16">
        <v>19</v>
      </c>
      <c r="D16">
        <v>2</v>
      </c>
      <c r="E16" t="s">
        <v>191</v>
      </c>
      <c r="F16" s="55"/>
      <c r="G16" s="55"/>
    </row>
    <row r="17" spans="1:7">
      <c r="A17" s="52"/>
      <c r="B17" s="83" t="s">
        <v>68</v>
      </c>
      <c r="C17" s="83">
        <v>112</v>
      </c>
      <c r="D17" s="83">
        <v>7</v>
      </c>
      <c r="E17" s="83" t="s">
        <v>192</v>
      </c>
      <c r="F17" s="55"/>
      <c r="G17" s="55"/>
    </row>
    <row r="18" spans="1:7">
      <c r="A18" s="52"/>
      <c r="B18" t="s">
        <v>69</v>
      </c>
      <c r="C18">
        <v>16</v>
      </c>
      <c r="D18">
        <v>1</v>
      </c>
      <c r="E18" s="113" t="s">
        <v>175</v>
      </c>
      <c r="F18" s="55"/>
      <c r="G18" s="55"/>
    </row>
    <row r="19" spans="1:7">
      <c r="A19" s="52"/>
      <c r="B19" s="83" t="s">
        <v>70</v>
      </c>
      <c r="C19" s="83">
        <v>235</v>
      </c>
      <c r="D19" s="83">
        <v>19</v>
      </c>
      <c r="E19" s="83" t="s">
        <v>175</v>
      </c>
      <c r="F19" s="55"/>
      <c r="G19" s="55"/>
    </row>
    <row r="20" spans="1:7">
      <c r="A20" s="52"/>
      <c r="B20" t="s">
        <v>71</v>
      </c>
      <c r="C20">
        <v>129</v>
      </c>
      <c r="D20">
        <v>10</v>
      </c>
      <c r="E20" t="s">
        <v>175</v>
      </c>
      <c r="F20" s="55"/>
      <c r="G20" s="55"/>
    </row>
    <row r="21" spans="1:7">
      <c r="A21" s="52"/>
      <c r="B21" s="83" t="s">
        <v>72</v>
      </c>
      <c r="C21" s="83">
        <v>83</v>
      </c>
      <c r="D21" s="83">
        <v>8</v>
      </c>
      <c r="E21" s="83" t="s">
        <v>175</v>
      </c>
      <c r="F21" s="55"/>
      <c r="G21" s="55"/>
    </row>
    <row r="22" spans="1:7">
      <c r="A22" s="52"/>
      <c r="B22" t="s">
        <v>73</v>
      </c>
      <c r="C22">
        <v>104</v>
      </c>
      <c r="D22">
        <v>9</v>
      </c>
      <c r="E22" t="s">
        <v>192</v>
      </c>
      <c r="F22" s="55"/>
      <c r="G22" s="55"/>
    </row>
    <row r="23" spans="1:7">
      <c r="A23" s="52"/>
      <c r="B23" s="83" t="s">
        <v>74</v>
      </c>
      <c r="C23" s="83">
        <v>139</v>
      </c>
      <c r="D23" s="83">
        <v>12</v>
      </c>
      <c r="E23" s="83" t="s">
        <v>192</v>
      </c>
      <c r="F23" s="55"/>
      <c r="G23" s="55"/>
    </row>
    <row r="24" spans="1:7">
      <c r="A24" s="52"/>
      <c r="B24" t="s">
        <v>75</v>
      </c>
      <c r="C24">
        <v>77</v>
      </c>
      <c r="D24">
        <v>3</v>
      </c>
      <c r="E24" t="s">
        <v>192</v>
      </c>
      <c r="F24" s="55"/>
      <c r="G24" s="55"/>
    </row>
    <row r="25" spans="1:7">
      <c r="A25" s="52"/>
      <c r="B25" s="83" t="s">
        <v>76</v>
      </c>
      <c r="C25" s="83">
        <v>23</v>
      </c>
      <c r="D25" s="83">
        <v>2</v>
      </c>
      <c r="E25" s="83" t="s">
        <v>192</v>
      </c>
      <c r="F25" s="55"/>
      <c r="G25" s="55"/>
    </row>
    <row r="26" spans="1:7">
      <c r="A26" s="52"/>
      <c r="B26" t="s">
        <v>77</v>
      </c>
      <c r="C26">
        <v>209</v>
      </c>
      <c r="D26">
        <v>17</v>
      </c>
      <c r="E26" t="s">
        <v>62</v>
      </c>
      <c r="F26" s="55"/>
      <c r="G26" s="55"/>
    </row>
    <row r="27" spans="1:7">
      <c r="A27" s="52"/>
      <c r="B27" s="83" t="s">
        <v>78</v>
      </c>
      <c r="C27" s="83">
        <v>33</v>
      </c>
      <c r="D27" s="83">
        <v>3</v>
      </c>
      <c r="E27" s="83" t="s">
        <v>175</v>
      </c>
      <c r="F27" s="55"/>
      <c r="G27" s="55"/>
    </row>
    <row r="28" spans="1:7">
      <c r="A28" s="52"/>
      <c r="B28" t="s">
        <v>79</v>
      </c>
      <c r="C28">
        <v>89</v>
      </c>
      <c r="D28">
        <v>5</v>
      </c>
      <c r="E28" t="s">
        <v>62</v>
      </c>
      <c r="F28" s="55"/>
      <c r="G28" s="55"/>
    </row>
    <row r="29" spans="1:7">
      <c r="A29" s="52"/>
      <c r="B29" s="83" t="s">
        <v>80</v>
      </c>
      <c r="C29" s="83">
        <v>167</v>
      </c>
      <c r="D29" s="83">
        <v>13</v>
      </c>
      <c r="E29" s="83" t="s">
        <v>62</v>
      </c>
      <c r="F29" s="55"/>
      <c r="G29" s="55"/>
    </row>
    <row r="30" spans="1:7">
      <c r="A30" s="52"/>
      <c r="B30" t="s">
        <v>81</v>
      </c>
      <c r="C30">
        <v>119</v>
      </c>
      <c r="D30">
        <v>11</v>
      </c>
      <c r="E30" t="s">
        <v>192</v>
      </c>
      <c r="F30" s="55"/>
      <c r="G30" s="55"/>
    </row>
    <row r="31" spans="1:7">
      <c r="A31" s="52"/>
      <c r="B31" s="83" t="s">
        <v>82</v>
      </c>
      <c r="C31" s="83">
        <v>104</v>
      </c>
      <c r="D31" s="83">
        <v>7</v>
      </c>
      <c r="E31" s="83" t="s">
        <v>175</v>
      </c>
      <c r="F31" s="55"/>
      <c r="G31" s="55"/>
    </row>
    <row r="32" spans="1:7">
      <c r="A32" s="52"/>
      <c r="B32" t="s">
        <v>83</v>
      </c>
      <c r="C32">
        <v>15</v>
      </c>
      <c r="D32">
        <v>3</v>
      </c>
      <c r="E32" t="s">
        <v>175</v>
      </c>
      <c r="F32" s="55"/>
      <c r="G32" s="55"/>
    </row>
    <row r="33" spans="1:7">
      <c r="A33" s="52"/>
      <c r="B33" s="83" t="s">
        <v>84</v>
      </c>
      <c r="C33" s="83">
        <v>42</v>
      </c>
      <c r="D33" s="83">
        <v>3</v>
      </c>
      <c r="E33" s="83" t="s">
        <v>175</v>
      </c>
      <c r="F33" s="55"/>
      <c r="G33" s="55"/>
    </row>
    <row r="34" spans="1:7">
      <c r="A34" s="52"/>
      <c r="B34" t="s">
        <v>85</v>
      </c>
      <c r="C34">
        <v>126</v>
      </c>
      <c r="D34">
        <v>11</v>
      </c>
      <c r="E34" t="s">
        <v>191</v>
      </c>
      <c r="F34" s="55"/>
      <c r="G34" s="55"/>
    </row>
    <row r="35" spans="1:7">
      <c r="A35" s="52"/>
      <c r="B35" s="83" t="s">
        <v>86</v>
      </c>
      <c r="C35" s="83">
        <v>117</v>
      </c>
      <c r="D35" s="83">
        <v>7</v>
      </c>
      <c r="E35" s="83" t="s">
        <v>192</v>
      </c>
      <c r="F35" s="55"/>
      <c r="G35" s="55"/>
    </row>
    <row r="36" spans="1:7">
      <c r="A36" s="52"/>
      <c r="B36" t="s">
        <v>87</v>
      </c>
      <c r="C36">
        <v>106</v>
      </c>
      <c r="D36">
        <v>8</v>
      </c>
      <c r="E36" t="s">
        <v>191</v>
      </c>
      <c r="F36" s="55"/>
      <c r="G36" s="55"/>
    </row>
    <row r="37" spans="1:7">
      <c r="A37" s="52"/>
      <c r="B37" s="83" t="s">
        <v>0</v>
      </c>
      <c r="C37" s="83">
        <v>140</v>
      </c>
      <c r="D37" s="83">
        <v>13</v>
      </c>
      <c r="E37" s="83" t="s">
        <v>191</v>
      </c>
      <c r="F37" s="55"/>
      <c r="G37" s="55"/>
    </row>
    <row r="38" spans="1:7">
      <c r="A38" s="52"/>
      <c r="B38" t="s">
        <v>1</v>
      </c>
      <c r="C38">
        <v>9</v>
      </c>
      <c r="D38">
        <v>1</v>
      </c>
      <c r="E38" t="s">
        <v>191</v>
      </c>
      <c r="F38" s="55"/>
      <c r="G38" s="55"/>
    </row>
    <row r="39" spans="1:7">
      <c r="A39" s="52"/>
      <c r="B39" s="83" t="s">
        <v>2</v>
      </c>
      <c r="C39" s="83">
        <v>194</v>
      </c>
      <c r="D39" s="83">
        <v>15</v>
      </c>
      <c r="E39" s="83" t="s">
        <v>175</v>
      </c>
      <c r="F39" s="55"/>
      <c r="G39" s="55"/>
    </row>
    <row r="40" spans="1:7">
      <c r="A40" s="52"/>
      <c r="B40" t="s">
        <v>3</v>
      </c>
      <c r="C40">
        <v>55</v>
      </c>
      <c r="D40">
        <v>8</v>
      </c>
      <c r="E40" t="s">
        <v>192</v>
      </c>
      <c r="F40" s="55"/>
      <c r="G40" s="55"/>
    </row>
    <row r="41" spans="1:7">
      <c r="A41" s="52"/>
      <c r="B41" s="83" t="s">
        <v>4</v>
      </c>
      <c r="C41" s="83">
        <v>68</v>
      </c>
      <c r="D41" s="83">
        <v>3</v>
      </c>
      <c r="E41" s="115" t="s">
        <v>192</v>
      </c>
      <c r="F41" s="55"/>
      <c r="G41" s="55"/>
    </row>
    <row r="42" spans="1:7">
      <c r="A42" s="52"/>
      <c r="B42" t="s">
        <v>5</v>
      </c>
      <c r="C42">
        <v>308</v>
      </c>
      <c r="D42">
        <v>24</v>
      </c>
      <c r="E42" t="s">
        <v>191</v>
      </c>
      <c r="F42" s="55"/>
      <c r="G42" s="55"/>
    </row>
    <row r="43" spans="1:7">
      <c r="A43" s="52"/>
      <c r="B43" s="83" t="s">
        <v>6</v>
      </c>
      <c r="C43" s="83">
        <v>124</v>
      </c>
      <c r="D43" s="83">
        <v>5</v>
      </c>
      <c r="E43" s="83" t="s">
        <v>175</v>
      </c>
      <c r="F43" s="55"/>
      <c r="G43" s="55"/>
    </row>
    <row r="44" spans="1:7">
      <c r="A44" s="52"/>
      <c r="B44" t="s">
        <v>7</v>
      </c>
      <c r="C44">
        <v>5</v>
      </c>
      <c r="D44">
        <v>1</v>
      </c>
      <c r="E44" t="s">
        <v>62</v>
      </c>
      <c r="F44" s="55"/>
      <c r="G44" s="55"/>
    </row>
    <row r="45" spans="1:7">
      <c r="A45" s="52"/>
      <c r="B45" s="83" t="s">
        <v>8</v>
      </c>
      <c r="C45" s="83">
        <v>181</v>
      </c>
      <c r="D45" s="83">
        <v>17</v>
      </c>
      <c r="E45" s="115" t="s">
        <v>175</v>
      </c>
      <c r="F45" s="55"/>
      <c r="G45" s="55"/>
    </row>
    <row r="46" spans="1:7">
      <c r="A46" s="52"/>
      <c r="B46" t="s">
        <v>9</v>
      </c>
      <c r="C46">
        <v>119</v>
      </c>
      <c r="D46">
        <v>9</v>
      </c>
      <c r="E46" t="s">
        <v>192</v>
      </c>
      <c r="F46" s="55"/>
      <c r="G46" s="55"/>
    </row>
    <row r="47" spans="1:7">
      <c r="A47" s="52"/>
      <c r="B47" s="83" t="s">
        <v>10</v>
      </c>
      <c r="C47" s="83">
        <v>247</v>
      </c>
      <c r="D47" s="83">
        <v>20</v>
      </c>
      <c r="E47" s="83" t="s">
        <v>62</v>
      </c>
      <c r="F47" s="55"/>
      <c r="G47" s="55"/>
    </row>
    <row r="48" spans="1:7">
      <c r="A48" s="52"/>
      <c r="B48" t="s">
        <v>11</v>
      </c>
      <c r="C48">
        <v>66</v>
      </c>
      <c r="D48">
        <v>5</v>
      </c>
      <c r="E48" t="s">
        <v>62</v>
      </c>
      <c r="F48" s="55"/>
      <c r="G48" s="55"/>
    </row>
    <row r="49" spans="1:7">
      <c r="A49" s="52"/>
      <c r="B49" s="83" t="s">
        <v>12</v>
      </c>
      <c r="C49" s="83">
        <v>38</v>
      </c>
      <c r="D49" s="83">
        <v>2</v>
      </c>
      <c r="E49" s="83" t="s">
        <v>191</v>
      </c>
      <c r="F49" s="55"/>
      <c r="G49" s="55"/>
    </row>
    <row r="50" spans="1:7">
      <c r="A50" s="52"/>
      <c r="B50" t="s">
        <v>13</v>
      </c>
      <c r="C50">
        <v>125</v>
      </c>
      <c r="D50">
        <v>8</v>
      </c>
      <c r="E50" t="s">
        <v>62</v>
      </c>
      <c r="F50" s="55"/>
      <c r="G50" s="55"/>
    </row>
    <row r="51" spans="1:7">
      <c r="A51" s="52"/>
      <c r="B51" s="83" t="s">
        <v>14</v>
      </c>
      <c r="C51" s="83">
        <v>12</v>
      </c>
      <c r="D51" s="83">
        <v>2</v>
      </c>
      <c r="E51" s="83" t="s">
        <v>192</v>
      </c>
      <c r="F51" s="55"/>
      <c r="G51" s="55"/>
    </row>
    <row r="52" spans="1:7">
      <c r="A52" s="52"/>
      <c r="B52" t="s">
        <v>15</v>
      </c>
      <c r="C52">
        <v>65</v>
      </c>
      <c r="D52">
        <v>5</v>
      </c>
      <c r="E52" t="s">
        <v>191</v>
      </c>
      <c r="F52" s="55"/>
      <c r="G52" s="55"/>
    </row>
    <row r="53" spans="1:7">
      <c r="A53" s="52"/>
      <c r="B53" s="83" t="s">
        <v>16</v>
      </c>
      <c r="C53" s="83">
        <v>141</v>
      </c>
      <c r="D53" s="83">
        <v>12</v>
      </c>
      <c r="E53" s="83" t="s">
        <v>175</v>
      </c>
      <c r="F53" s="55"/>
      <c r="G53" s="55"/>
    </row>
    <row r="54" spans="1:7">
      <c r="A54" s="52"/>
      <c r="B54" t="s">
        <v>17</v>
      </c>
      <c r="C54">
        <v>47</v>
      </c>
      <c r="D54">
        <v>1</v>
      </c>
      <c r="E54" t="s">
        <v>191</v>
      </c>
      <c r="F54" s="55"/>
      <c r="G54" s="55"/>
    </row>
    <row r="55" spans="1:7">
      <c r="A55" s="52"/>
      <c r="B55" s="83" t="s">
        <v>18</v>
      </c>
      <c r="C55" s="83">
        <v>72</v>
      </c>
      <c r="D55" s="83">
        <v>5</v>
      </c>
      <c r="E55" s="83" t="s">
        <v>191</v>
      </c>
      <c r="F55" s="55"/>
      <c r="G55" s="55"/>
    </row>
    <row r="56" spans="1:7">
      <c r="A56" s="52"/>
      <c r="B56" t="s">
        <v>19</v>
      </c>
      <c r="C56">
        <v>60</v>
      </c>
      <c r="D56">
        <v>4</v>
      </c>
      <c r="E56" t="s">
        <v>62</v>
      </c>
      <c r="F56" s="55"/>
      <c r="G56" s="55"/>
    </row>
    <row r="57" spans="1:7">
      <c r="A57" s="52"/>
      <c r="B57" s="83" t="s">
        <v>20</v>
      </c>
      <c r="C57" s="83">
        <v>102</v>
      </c>
      <c r="D57" s="83">
        <v>10</v>
      </c>
      <c r="E57" s="83" t="s">
        <v>191</v>
      </c>
      <c r="F57" s="55"/>
      <c r="G57" s="55"/>
    </row>
    <row r="58" spans="1:7">
      <c r="A58" s="52"/>
      <c r="B58" t="s">
        <v>21</v>
      </c>
      <c r="C58">
        <v>112</v>
      </c>
      <c r="D58">
        <v>9</v>
      </c>
      <c r="E58" t="s">
        <v>175</v>
      </c>
      <c r="F58" s="55"/>
      <c r="G58" s="55"/>
    </row>
    <row r="59" spans="1:7">
      <c r="A59" s="52"/>
      <c r="B59" s="83" t="s">
        <v>22</v>
      </c>
      <c r="C59" s="83">
        <v>168</v>
      </c>
      <c r="D59" s="83">
        <v>14</v>
      </c>
      <c r="E59" s="83" t="s">
        <v>175</v>
      </c>
      <c r="F59" s="55"/>
      <c r="G59" s="55"/>
    </row>
    <row r="60" spans="1:7">
      <c r="A60" s="52"/>
      <c r="B60" t="s">
        <v>23</v>
      </c>
      <c r="C60">
        <v>25</v>
      </c>
      <c r="D60">
        <v>5</v>
      </c>
      <c r="E60" t="s">
        <v>192</v>
      </c>
      <c r="F60" s="55"/>
      <c r="G60" s="55"/>
    </row>
    <row r="61" spans="1:7">
      <c r="A61" s="52"/>
      <c r="B61" s="83" t="s">
        <v>24</v>
      </c>
      <c r="C61" s="83">
        <v>164</v>
      </c>
      <c r="D61" s="83">
        <v>11</v>
      </c>
      <c r="E61" s="83" t="s">
        <v>62</v>
      </c>
      <c r="F61" s="55"/>
      <c r="G61" s="55"/>
    </row>
    <row r="62" spans="1:7">
      <c r="A62" s="52"/>
      <c r="B62" t="s">
        <v>25</v>
      </c>
      <c r="C62">
        <v>37</v>
      </c>
      <c r="D62">
        <v>2</v>
      </c>
      <c r="E62" t="s">
        <v>62</v>
      </c>
      <c r="F62" s="55"/>
      <c r="G62" s="55"/>
    </row>
    <row r="63" spans="1:7">
      <c r="A63" s="52"/>
      <c r="B63" s="83" t="s">
        <v>26</v>
      </c>
      <c r="C63" s="83">
        <v>57</v>
      </c>
      <c r="D63" s="83">
        <v>4</v>
      </c>
      <c r="E63" s="83" t="s">
        <v>175</v>
      </c>
      <c r="F63" s="55"/>
      <c r="G63" s="55"/>
    </row>
    <row r="64" spans="1:7">
      <c r="A64" s="52"/>
      <c r="B64" t="s">
        <v>27</v>
      </c>
      <c r="C64">
        <v>17</v>
      </c>
      <c r="D64">
        <v>1</v>
      </c>
      <c r="E64" t="s">
        <v>191</v>
      </c>
      <c r="F64" s="55"/>
      <c r="G64" s="55"/>
    </row>
    <row r="65" spans="1:7">
      <c r="A65" s="52"/>
      <c r="B65" s="83" t="s">
        <v>28</v>
      </c>
      <c r="C65" s="83">
        <v>176</v>
      </c>
      <c r="D65" s="83">
        <v>12</v>
      </c>
      <c r="E65" s="83" t="s">
        <v>175</v>
      </c>
      <c r="F65" s="55"/>
      <c r="G65" s="55"/>
    </row>
    <row r="66" spans="1:7">
      <c r="A66" s="52"/>
      <c r="B66" t="s">
        <v>29</v>
      </c>
      <c r="C66">
        <v>223</v>
      </c>
      <c r="D66">
        <v>18</v>
      </c>
      <c r="E66" t="s">
        <v>191</v>
      </c>
      <c r="F66" s="55"/>
      <c r="G66" s="55"/>
    </row>
    <row r="67" spans="1:7">
      <c r="A67" s="52"/>
      <c r="B67" s="83" t="s">
        <v>30</v>
      </c>
      <c r="C67" s="83">
        <v>26</v>
      </c>
      <c r="D67" s="83">
        <v>1</v>
      </c>
      <c r="E67" s="83" t="s">
        <v>175</v>
      </c>
      <c r="F67" s="55"/>
      <c r="G67" s="55"/>
    </row>
    <row r="68" spans="1:7">
      <c r="A68" s="52"/>
      <c r="B68" t="s">
        <v>31</v>
      </c>
      <c r="C68">
        <v>51</v>
      </c>
      <c r="D68">
        <v>6</v>
      </c>
      <c r="E68" t="s">
        <v>62</v>
      </c>
      <c r="F68" s="55"/>
      <c r="G68" s="55"/>
    </row>
    <row r="69" spans="1:7">
      <c r="A69" s="52"/>
      <c r="B69" s="83" t="s">
        <v>32</v>
      </c>
      <c r="C69" s="83">
        <v>170</v>
      </c>
      <c r="D69" s="83">
        <v>14</v>
      </c>
      <c r="E69" s="83" t="s">
        <v>192</v>
      </c>
      <c r="F69" s="55"/>
      <c r="G69" s="55"/>
    </row>
    <row r="70" spans="1:7">
      <c r="A70" s="52"/>
      <c r="B70" t="s">
        <v>33</v>
      </c>
      <c r="C70">
        <v>268</v>
      </c>
      <c r="D70">
        <v>18</v>
      </c>
      <c r="E70" t="s">
        <v>175</v>
      </c>
      <c r="F70" s="55"/>
      <c r="G70" s="55"/>
    </row>
    <row r="71" spans="1:7">
      <c r="A71" s="52"/>
      <c r="B71" s="83" t="s">
        <v>34</v>
      </c>
      <c r="C71" s="83">
        <v>222</v>
      </c>
      <c r="D71" s="83">
        <v>17</v>
      </c>
      <c r="E71" s="83" t="s">
        <v>192</v>
      </c>
      <c r="F71" s="55"/>
      <c r="G71" s="55"/>
    </row>
    <row r="72" spans="1:7">
      <c r="A72" s="52"/>
      <c r="B72" t="s">
        <v>35</v>
      </c>
      <c r="C72">
        <v>62</v>
      </c>
      <c r="D72">
        <v>6</v>
      </c>
      <c r="E72" t="s">
        <v>191</v>
      </c>
      <c r="F72" s="55"/>
      <c r="G72" s="55"/>
    </row>
    <row r="73" spans="1:7">
      <c r="A73" s="52"/>
      <c r="B73" s="83" t="s">
        <v>36</v>
      </c>
      <c r="C73" s="83">
        <v>83</v>
      </c>
      <c r="D73" s="83">
        <v>7</v>
      </c>
      <c r="E73" s="83" t="s">
        <v>191</v>
      </c>
      <c r="F73" s="55"/>
      <c r="G73" s="55"/>
    </row>
    <row r="74" spans="1:7">
      <c r="A74" s="52"/>
      <c r="B74" t="s">
        <v>37</v>
      </c>
      <c r="C74">
        <v>219</v>
      </c>
      <c r="D74">
        <v>21</v>
      </c>
      <c r="E74" t="s">
        <v>175</v>
      </c>
      <c r="F74" s="55"/>
      <c r="G74" s="55"/>
    </row>
    <row r="75" spans="1:7">
      <c r="A75" s="52"/>
      <c r="B75" s="83" t="s">
        <v>38</v>
      </c>
      <c r="C75" s="83">
        <v>115</v>
      </c>
      <c r="D75" s="83">
        <v>10</v>
      </c>
      <c r="E75" s="83" t="s">
        <v>192</v>
      </c>
      <c r="F75" s="55"/>
      <c r="G75" s="55"/>
    </row>
    <row r="76" spans="1:7">
      <c r="A76" s="52"/>
      <c r="B76" t="s">
        <v>39</v>
      </c>
      <c r="C76">
        <v>29</v>
      </c>
      <c r="D76">
        <v>4</v>
      </c>
      <c r="E76" t="s">
        <v>191</v>
      </c>
      <c r="F76" s="55"/>
      <c r="G76" s="55"/>
    </row>
    <row r="77" spans="1:7">
      <c r="A77" s="52"/>
      <c r="B77" s="83" t="s">
        <v>40</v>
      </c>
      <c r="C77" s="83">
        <v>108</v>
      </c>
      <c r="D77" s="83">
        <v>11</v>
      </c>
      <c r="E77" s="83" t="s">
        <v>192</v>
      </c>
      <c r="F77" s="55"/>
      <c r="G77" s="55"/>
    </row>
    <row r="78" spans="1:7">
      <c r="A78" s="52"/>
      <c r="B78" t="s">
        <v>41</v>
      </c>
      <c r="C78">
        <v>152</v>
      </c>
      <c r="D78">
        <v>13</v>
      </c>
      <c r="E78" t="s">
        <v>192</v>
      </c>
      <c r="F78" s="55"/>
      <c r="G78" s="55"/>
    </row>
    <row r="79" spans="1:7">
      <c r="A79" s="52"/>
      <c r="B79" s="83" t="s">
        <v>42</v>
      </c>
      <c r="C79" s="83">
        <v>52</v>
      </c>
      <c r="D79" s="83">
        <v>3</v>
      </c>
      <c r="E79" s="83" t="s">
        <v>175</v>
      </c>
      <c r="F79" s="55"/>
      <c r="G79" s="55"/>
    </row>
    <row r="80" spans="1:7">
      <c r="A80" s="52"/>
      <c r="B80" t="s">
        <v>43</v>
      </c>
      <c r="C80">
        <v>5</v>
      </c>
      <c r="D80">
        <v>1</v>
      </c>
      <c r="E80" t="s">
        <v>191</v>
      </c>
      <c r="F80" s="55"/>
      <c r="G80" s="55"/>
    </row>
    <row r="81" spans="1:7">
      <c r="A81" s="52"/>
      <c r="B81" s="83" t="s">
        <v>44</v>
      </c>
      <c r="C81" s="83">
        <v>196</v>
      </c>
      <c r="D81" s="83">
        <v>16</v>
      </c>
      <c r="E81" s="83" t="s">
        <v>192</v>
      </c>
      <c r="F81" s="55"/>
      <c r="G81" s="55"/>
    </row>
    <row r="82" spans="1:7">
      <c r="A82" s="52"/>
      <c r="B82" t="s">
        <v>45</v>
      </c>
      <c r="C82">
        <v>82</v>
      </c>
      <c r="D82">
        <v>7</v>
      </c>
      <c r="E82" t="s">
        <v>175</v>
      </c>
      <c r="F82" s="55"/>
      <c r="G82" s="55"/>
    </row>
    <row r="83" spans="1:7">
      <c r="A83" s="52"/>
      <c r="B83" s="83" t="s">
        <v>46</v>
      </c>
      <c r="C83" s="83">
        <v>142</v>
      </c>
      <c r="D83" s="83">
        <v>11</v>
      </c>
      <c r="E83" s="83" t="s">
        <v>192</v>
      </c>
      <c r="F83" s="55"/>
      <c r="G83" s="55"/>
    </row>
    <row r="84" spans="1:7">
      <c r="A84" s="52"/>
      <c r="B84" t="s">
        <v>47</v>
      </c>
      <c r="C84">
        <v>10</v>
      </c>
      <c r="D84">
        <v>2</v>
      </c>
      <c r="E84" t="s">
        <v>175</v>
      </c>
      <c r="F84" s="55"/>
      <c r="G84" s="55"/>
    </row>
    <row r="85" spans="1:7">
      <c r="A85" s="52"/>
      <c r="B85" s="83" t="s">
        <v>48</v>
      </c>
      <c r="C85" s="83">
        <v>33</v>
      </c>
      <c r="D85" s="83">
        <v>2</v>
      </c>
      <c r="E85" s="83" t="s">
        <v>62</v>
      </c>
      <c r="F85" s="55"/>
      <c r="G85" s="55"/>
    </row>
    <row r="86" spans="1:7">
      <c r="A86" s="52"/>
      <c r="B86" t="s">
        <v>49</v>
      </c>
      <c r="C86">
        <v>52</v>
      </c>
      <c r="D86">
        <v>3</v>
      </c>
      <c r="E86" t="s">
        <v>192</v>
      </c>
      <c r="F86" s="55"/>
      <c r="G86" s="55"/>
    </row>
    <row r="87" spans="1:7">
      <c r="A87" s="52"/>
      <c r="B87" s="83" t="s">
        <v>50</v>
      </c>
      <c r="C87" s="83">
        <v>20</v>
      </c>
      <c r="D87" s="83">
        <v>4</v>
      </c>
      <c r="E87" s="83" t="s">
        <v>192</v>
      </c>
      <c r="F87" s="55"/>
      <c r="G87" s="55"/>
    </row>
    <row r="88" spans="1:7">
      <c r="A88" s="52"/>
      <c r="B88" t="s">
        <v>51</v>
      </c>
      <c r="C88">
        <v>94</v>
      </c>
      <c r="D88">
        <v>11</v>
      </c>
      <c r="E88" t="s">
        <v>191</v>
      </c>
      <c r="F88" s="55"/>
      <c r="G88" s="55"/>
    </row>
    <row r="89" spans="1:7">
      <c r="A89" s="52"/>
      <c r="B89" s="83" t="s">
        <v>259</v>
      </c>
      <c r="C89" s="83">
        <v>55</v>
      </c>
      <c r="D89" s="83">
        <v>0</v>
      </c>
      <c r="E89" s="83" t="s">
        <v>175</v>
      </c>
      <c r="F89" s="55"/>
      <c r="G89" s="55"/>
    </row>
  </sheetData>
  <sheetProtection sheet="1" objects="1" scenarios="1"/>
  <mergeCells count="1">
    <mergeCell ref="A1:G1"/>
  </mergeCells>
  <phoneticPr fontId="0" type="noConversion"/>
  <pageMargins left="0.75" right="0.75" top="1" bottom="1" header="0.5" footer="0.5"/>
  <pageSetup scale="68" fitToHeight="2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L22"/>
  <sheetViews>
    <sheetView showGridLines="0" zoomScaleNormal="100" workbookViewId="0">
      <selection activeCell="I22" sqref="I22"/>
    </sheetView>
  </sheetViews>
  <sheetFormatPr baseColWidth="10" defaultColWidth="7.6640625" defaultRowHeight="13"/>
  <cols>
    <col min="1" max="1" width="11.1640625" style="51" bestFit="1" customWidth="1"/>
    <col min="2" max="2" width="12.6640625" style="51" customWidth="1"/>
    <col min="3" max="3" width="11" style="51" customWidth="1"/>
    <col min="4" max="4" width="13.6640625" style="51" customWidth="1"/>
    <col min="5" max="5" width="12.33203125" style="51" customWidth="1"/>
    <col min="6" max="6" width="14.6640625" style="51" customWidth="1"/>
    <col min="7" max="7" width="11.33203125" style="51" customWidth="1"/>
    <col min="8" max="16384" width="7.6640625" style="51"/>
  </cols>
  <sheetData>
    <row r="1" spans="1:12" s="22" customFormat="1" ht="49" customHeight="1">
      <c r="A1" s="157" t="s">
        <v>202</v>
      </c>
      <c r="B1" s="157"/>
      <c r="C1" s="157"/>
      <c r="D1" s="157"/>
      <c r="E1" s="157"/>
      <c r="F1" s="157"/>
      <c r="G1" s="157"/>
    </row>
    <row r="2" spans="1:12" ht="27" customHeight="1">
      <c r="A2" s="142"/>
      <c r="B2" s="31" t="s">
        <v>109</v>
      </c>
      <c r="C2" s="23" t="s">
        <v>258</v>
      </c>
      <c r="D2" s="23" t="s">
        <v>117</v>
      </c>
      <c r="E2" s="23" t="s">
        <v>180</v>
      </c>
      <c r="F2" s="23" t="s">
        <v>231</v>
      </c>
      <c r="G2" s="23" t="s">
        <v>232</v>
      </c>
      <c r="H2" s="32"/>
      <c r="I2" s="32"/>
      <c r="J2" s="32"/>
      <c r="K2" s="32"/>
    </row>
    <row r="3" spans="1:12">
      <c r="A3" s="55"/>
      <c r="B3" s="75" t="s">
        <v>113</v>
      </c>
      <c r="C3" s="75">
        <v>579</v>
      </c>
      <c r="D3" s="75">
        <v>476</v>
      </c>
      <c r="E3" s="75">
        <v>647</v>
      </c>
      <c r="F3" s="75">
        <v>2517</v>
      </c>
      <c r="G3" s="75">
        <v>2400</v>
      </c>
      <c r="I3" s="56"/>
      <c r="J3" s="56"/>
      <c r="K3" s="56"/>
      <c r="L3" s="56"/>
    </row>
    <row r="4" spans="1:12">
      <c r="A4" s="52"/>
      <c r="B4" s="69" t="s">
        <v>114</v>
      </c>
      <c r="C4" s="69">
        <v>760</v>
      </c>
      <c r="D4" s="69">
        <v>1138</v>
      </c>
      <c r="E4" s="69">
        <v>2191</v>
      </c>
      <c r="F4" s="69">
        <v>2036</v>
      </c>
      <c r="G4" s="69">
        <v>6139</v>
      </c>
      <c r="I4" s="56"/>
      <c r="J4" s="56"/>
      <c r="K4" s="56"/>
      <c r="L4" s="56"/>
    </row>
    <row r="5" spans="1:12">
      <c r="A5" s="52"/>
      <c r="B5" s="75" t="s">
        <v>115</v>
      </c>
      <c r="C5" s="75">
        <v>369</v>
      </c>
      <c r="D5" s="75">
        <v>572</v>
      </c>
      <c r="E5" s="75">
        <v>1186</v>
      </c>
      <c r="F5" s="75">
        <v>987</v>
      </c>
      <c r="G5" s="75">
        <v>3564</v>
      </c>
      <c r="I5" s="56"/>
      <c r="J5" s="56"/>
      <c r="K5" s="56"/>
      <c r="L5" s="56"/>
    </row>
    <row r="6" spans="1:12">
      <c r="A6" s="52"/>
      <c r="B6" s="69" t="s">
        <v>116</v>
      </c>
      <c r="C6" s="69">
        <v>397</v>
      </c>
      <c r="D6" s="69">
        <v>186</v>
      </c>
      <c r="E6" s="69">
        <v>308</v>
      </c>
      <c r="F6" s="69">
        <v>1847</v>
      </c>
      <c r="G6" s="69">
        <v>812</v>
      </c>
      <c r="I6" s="56"/>
      <c r="J6" s="56"/>
      <c r="K6" s="56"/>
      <c r="L6" s="56"/>
    </row>
    <row r="7" spans="1:12">
      <c r="A7" s="52"/>
      <c r="B7" s="75" t="s">
        <v>146</v>
      </c>
      <c r="C7" s="75">
        <v>410</v>
      </c>
      <c r="D7" s="75">
        <v>808</v>
      </c>
      <c r="E7" s="75">
        <v>1574</v>
      </c>
      <c r="F7" s="75">
        <v>3188</v>
      </c>
      <c r="G7" s="75">
        <v>7486</v>
      </c>
      <c r="I7" s="24"/>
      <c r="J7" s="56"/>
      <c r="K7" s="56"/>
      <c r="L7" s="24"/>
    </row>
    <row r="8" spans="1:12">
      <c r="A8" s="52"/>
      <c r="B8" s="69" t="s">
        <v>147</v>
      </c>
      <c r="C8" s="69">
        <v>1159</v>
      </c>
      <c r="D8" s="69">
        <v>904</v>
      </c>
      <c r="E8" s="69">
        <v>1401</v>
      </c>
      <c r="F8" s="69">
        <v>2988</v>
      </c>
      <c r="G8" s="69">
        <v>5063</v>
      </c>
      <c r="I8" s="56"/>
      <c r="J8" s="56"/>
      <c r="K8" s="56"/>
      <c r="L8" s="56"/>
    </row>
    <row r="9" spans="1:12">
      <c r="A9" s="52"/>
      <c r="B9" s="75" t="s">
        <v>148</v>
      </c>
      <c r="C9" s="75">
        <v>1534</v>
      </c>
      <c r="D9" s="75">
        <v>1880</v>
      </c>
      <c r="E9" s="75">
        <v>3084</v>
      </c>
      <c r="F9" s="75">
        <v>2904</v>
      </c>
      <c r="G9" s="75">
        <v>9448</v>
      </c>
      <c r="I9" s="56"/>
      <c r="J9" s="56"/>
      <c r="K9" s="56"/>
      <c r="L9" s="56"/>
    </row>
    <row r="10" spans="1:12">
      <c r="A10" s="52"/>
      <c r="B10" s="69" t="s">
        <v>118</v>
      </c>
      <c r="C10" s="69">
        <v>1884</v>
      </c>
      <c r="D10" s="69">
        <v>4117</v>
      </c>
      <c r="E10" s="69">
        <v>8241</v>
      </c>
      <c r="F10" s="69">
        <v>4810</v>
      </c>
      <c r="G10" s="69">
        <v>40009</v>
      </c>
      <c r="I10" s="56"/>
      <c r="J10" s="56"/>
      <c r="K10" s="56"/>
      <c r="L10" s="56"/>
    </row>
    <row r="11" spans="1:12">
      <c r="A11" s="52"/>
      <c r="B11" s="75" t="s">
        <v>119</v>
      </c>
      <c r="C11" s="75">
        <v>2357</v>
      </c>
      <c r="D11" s="75">
        <v>1676</v>
      </c>
      <c r="E11" s="75">
        <v>2916</v>
      </c>
      <c r="F11" s="75">
        <v>7593</v>
      </c>
      <c r="G11" s="75">
        <v>12262</v>
      </c>
      <c r="I11" s="56"/>
      <c r="J11" s="56"/>
      <c r="K11" s="56"/>
      <c r="L11" s="56"/>
    </row>
    <row r="12" spans="1:12">
      <c r="A12" s="52"/>
      <c r="B12" s="69" t="s">
        <v>120</v>
      </c>
      <c r="C12" s="69">
        <v>540</v>
      </c>
      <c r="D12" s="69">
        <v>643</v>
      </c>
      <c r="E12" s="69">
        <v>1476</v>
      </c>
      <c r="F12" s="69">
        <v>2707</v>
      </c>
      <c r="G12" s="69">
        <v>4321</v>
      </c>
      <c r="I12" s="24"/>
      <c r="J12" s="56"/>
      <c r="K12" s="56"/>
      <c r="L12" s="24"/>
    </row>
    <row r="13" spans="1:12">
      <c r="A13" s="52"/>
      <c r="B13" s="75" t="s">
        <v>209</v>
      </c>
      <c r="C13" s="75">
        <v>1624</v>
      </c>
      <c r="D13" s="75">
        <v>2254</v>
      </c>
      <c r="E13" s="75">
        <v>3987</v>
      </c>
      <c r="F13" s="75">
        <v>3394</v>
      </c>
      <c r="G13" s="75">
        <v>14047</v>
      </c>
      <c r="I13" s="56"/>
      <c r="J13" s="56"/>
      <c r="K13" s="56"/>
      <c r="L13" s="56"/>
    </row>
    <row r="14" spans="1:12">
      <c r="A14" s="52"/>
      <c r="B14" s="69" t="s">
        <v>210</v>
      </c>
      <c r="C14" s="69">
        <v>1388</v>
      </c>
      <c r="D14" s="69">
        <v>1658</v>
      </c>
      <c r="E14" s="69">
        <v>2807</v>
      </c>
      <c r="F14" s="69">
        <v>7771</v>
      </c>
      <c r="G14" s="69">
        <v>6884</v>
      </c>
      <c r="I14" s="56"/>
      <c r="J14" s="56"/>
      <c r="K14" s="56"/>
      <c r="L14" s="56"/>
    </row>
    <row r="15" spans="1:12">
      <c r="A15" s="52"/>
      <c r="B15" s="75" t="s">
        <v>211</v>
      </c>
      <c r="C15" s="75">
        <v>1226</v>
      </c>
      <c r="D15" s="75">
        <v>1816</v>
      </c>
      <c r="E15" s="75">
        <v>3961</v>
      </c>
      <c r="F15" s="75">
        <v>4648</v>
      </c>
      <c r="G15" s="75">
        <v>13927</v>
      </c>
      <c r="I15" s="56"/>
      <c r="J15" s="56"/>
      <c r="K15" s="56"/>
      <c r="L15" s="56"/>
    </row>
    <row r="16" spans="1:12">
      <c r="A16" s="52"/>
      <c r="B16" s="69" t="s">
        <v>96</v>
      </c>
      <c r="C16" s="69">
        <v>526</v>
      </c>
      <c r="D16" s="69">
        <v>533</v>
      </c>
      <c r="E16" s="69">
        <v>857</v>
      </c>
      <c r="F16" s="69">
        <v>1722</v>
      </c>
      <c r="G16" s="69">
        <v>2376</v>
      </c>
      <c r="I16" s="56"/>
      <c r="J16" s="56"/>
      <c r="K16" s="56"/>
      <c r="L16" s="56"/>
    </row>
    <row r="17" spans="1:12">
      <c r="A17" s="52"/>
      <c r="B17" s="75" t="s">
        <v>97</v>
      </c>
      <c r="C17" s="75">
        <v>1004</v>
      </c>
      <c r="D17" s="75">
        <v>1492</v>
      </c>
      <c r="E17" s="75">
        <v>2845</v>
      </c>
      <c r="F17" s="75">
        <v>3415</v>
      </c>
      <c r="G17" s="75">
        <v>10562</v>
      </c>
      <c r="I17" s="56"/>
      <c r="J17" s="56"/>
      <c r="K17" s="56"/>
      <c r="L17" s="56"/>
    </row>
    <row r="18" spans="1:12">
      <c r="A18" s="52"/>
      <c r="B18" s="69" t="s">
        <v>98</v>
      </c>
      <c r="C18" s="69">
        <v>859</v>
      </c>
      <c r="D18" s="69">
        <v>672</v>
      </c>
      <c r="E18" s="69">
        <v>1331</v>
      </c>
      <c r="F18" s="69">
        <v>2589</v>
      </c>
      <c r="G18" s="69">
        <v>4482</v>
      </c>
      <c r="I18" s="56"/>
      <c r="J18" s="56"/>
      <c r="K18" s="56"/>
      <c r="L18" s="56"/>
    </row>
    <row r="19" spans="1:12">
      <c r="A19" s="52"/>
      <c r="B19" s="75" t="s">
        <v>99</v>
      </c>
      <c r="C19" s="75">
        <v>3293</v>
      </c>
      <c r="D19" s="75">
        <v>2114</v>
      </c>
      <c r="E19" s="75">
        <v>2915</v>
      </c>
      <c r="F19" s="75">
        <v>8558</v>
      </c>
      <c r="G19" s="75">
        <v>9045</v>
      </c>
      <c r="I19" s="56"/>
      <c r="J19" s="56"/>
      <c r="K19" s="56"/>
      <c r="L19" s="56"/>
    </row>
    <row r="20" spans="1:12">
      <c r="A20" s="52"/>
      <c r="B20" s="69" t="s">
        <v>100</v>
      </c>
      <c r="C20" s="69">
        <v>1061</v>
      </c>
      <c r="D20" s="69">
        <v>1177</v>
      </c>
      <c r="E20" s="69">
        <v>2769</v>
      </c>
      <c r="F20" s="69">
        <v>3109</v>
      </c>
      <c r="G20" s="69">
        <v>7030</v>
      </c>
      <c r="I20" s="56"/>
      <c r="J20" s="56"/>
      <c r="K20" s="56"/>
      <c r="L20" s="56"/>
    </row>
    <row r="21" spans="1:12">
      <c r="A21" s="52"/>
      <c r="B21" s="75" t="s">
        <v>101</v>
      </c>
      <c r="C21" s="75">
        <v>2134</v>
      </c>
      <c r="D21" s="75">
        <v>2670</v>
      </c>
      <c r="E21" s="75">
        <v>4551</v>
      </c>
      <c r="F21" s="75">
        <v>6662</v>
      </c>
      <c r="G21" s="75">
        <v>11951</v>
      </c>
      <c r="I21" s="56"/>
      <c r="J21" s="56"/>
      <c r="K21" s="56"/>
      <c r="L21" s="56"/>
    </row>
    <row r="22" spans="1:12">
      <c r="A22" s="52"/>
      <c r="B22" s="69" t="s">
        <v>102</v>
      </c>
      <c r="C22" s="69">
        <v>2612</v>
      </c>
      <c r="D22" s="69">
        <v>2666</v>
      </c>
      <c r="E22" s="69">
        <v>5138</v>
      </c>
      <c r="F22" s="69">
        <v>5218</v>
      </c>
      <c r="G22" s="69">
        <v>15292</v>
      </c>
      <c r="I22" s="54"/>
    </row>
  </sheetData>
  <sheetProtection sheet="1" objects="1" scenarios="1"/>
  <mergeCells count="1">
    <mergeCell ref="A1:G1"/>
  </mergeCells>
  <pageMargins left="0.75" right="0.75" top="1" bottom="1" header="0.5" footer="0.5"/>
  <pageSetup scale="68" fitToHeight="2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I15"/>
  <sheetViews>
    <sheetView showGridLines="0" zoomScaleNormal="100" workbookViewId="0">
      <selection activeCell="C7" sqref="C7"/>
    </sheetView>
  </sheetViews>
  <sheetFormatPr baseColWidth="10" defaultColWidth="7.6640625" defaultRowHeight="13"/>
  <cols>
    <col min="1" max="1" width="11.1640625" style="51" bestFit="1" customWidth="1"/>
    <col min="2" max="2" width="12.6640625" style="51" customWidth="1"/>
    <col min="3" max="3" width="11" style="51" customWidth="1"/>
    <col min="4" max="4" width="13.6640625" style="51" customWidth="1"/>
    <col min="5" max="5" width="12.33203125" style="51" customWidth="1"/>
    <col min="6" max="6" width="14.6640625" style="51" customWidth="1"/>
    <col min="7" max="7" width="11.33203125" style="51" customWidth="1"/>
    <col min="8" max="16384" width="7.6640625" style="51"/>
  </cols>
  <sheetData>
    <row r="1" spans="1:9" s="22" customFormat="1" ht="52" customHeight="1">
      <c r="A1" s="157" t="s">
        <v>268</v>
      </c>
      <c r="B1" s="157"/>
      <c r="C1" s="157"/>
      <c r="D1" s="157"/>
      <c r="E1" s="157"/>
      <c r="F1" s="157"/>
      <c r="G1" s="157"/>
      <c r="H1" s="50"/>
      <c r="I1" s="50"/>
    </row>
    <row r="2" spans="1:9" s="50" customFormat="1" ht="44.25" customHeight="1">
      <c r="A2" s="57"/>
      <c r="B2" s="23" t="s">
        <v>173</v>
      </c>
      <c r="C2" s="23" t="s">
        <v>212</v>
      </c>
      <c r="D2" s="23" t="s">
        <v>88</v>
      </c>
      <c r="E2" s="23" t="s">
        <v>89</v>
      </c>
      <c r="F2" s="55"/>
      <c r="G2" s="22"/>
    </row>
    <row r="3" spans="1:9" s="50" customFormat="1">
      <c r="A3" s="57"/>
      <c r="B3" s="85" t="s">
        <v>52</v>
      </c>
      <c r="C3" s="85">
        <v>0.13</v>
      </c>
      <c r="D3" s="85">
        <v>0.05</v>
      </c>
      <c r="E3" s="85">
        <v>0</v>
      </c>
      <c r="F3" s="59"/>
    </row>
    <row r="4" spans="1:9" s="50" customFormat="1">
      <c r="A4" s="57"/>
      <c r="B4" s="95" t="s">
        <v>53</v>
      </c>
      <c r="C4" s="86">
        <v>0.1</v>
      </c>
      <c r="D4" s="86">
        <v>0.1</v>
      </c>
      <c r="E4" s="86">
        <v>0</v>
      </c>
      <c r="F4" s="59"/>
    </row>
    <row r="5" spans="1:9" s="50" customFormat="1">
      <c r="A5" s="57"/>
      <c r="B5" s="85" t="s">
        <v>260</v>
      </c>
      <c r="C5" s="85">
        <v>0.01</v>
      </c>
      <c r="D5" s="85">
        <v>0</v>
      </c>
      <c r="E5" s="85">
        <v>0</v>
      </c>
      <c r="F5" s="59"/>
    </row>
    <row r="6" spans="1:9" s="50" customFormat="1">
      <c r="A6" s="57"/>
      <c r="B6" s="95" t="s">
        <v>262</v>
      </c>
      <c r="C6" s="86">
        <v>0.05</v>
      </c>
      <c r="D6" s="86">
        <v>0</v>
      </c>
      <c r="E6" s="86">
        <v>0</v>
      </c>
      <c r="F6" s="59"/>
    </row>
    <row r="7" spans="1:9" s="50" customFormat="1">
      <c r="A7" s="57"/>
      <c r="B7" s="85" t="s">
        <v>54</v>
      </c>
      <c r="C7" s="85">
        <v>0.49999999999999994</v>
      </c>
      <c r="D7" s="85">
        <v>0.77</v>
      </c>
      <c r="E7" s="85">
        <v>0.3</v>
      </c>
      <c r="F7" s="59"/>
    </row>
    <row r="8" spans="1:9" s="50" customFormat="1">
      <c r="A8" s="57"/>
      <c r="B8" s="95" t="s">
        <v>55</v>
      </c>
      <c r="C8" s="86">
        <v>0.04</v>
      </c>
      <c r="D8" s="86">
        <v>0.03</v>
      </c>
      <c r="E8" s="86">
        <v>0.01</v>
      </c>
      <c r="F8" s="59"/>
    </row>
    <row r="9" spans="1:9" s="50" customFormat="1">
      <c r="A9" s="57"/>
      <c r="B9" s="85" t="s">
        <v>56</v>
      </c>
      <c r="C9" s="85">
        <v>0.01</v>
      </c>
      <c r="D9" s="85">
        <v>0</v>
      </c>
      <c r="E9" s="85">
        <v>0.03</v>
      </c>
      <c r="F9" s="59"/>
    </row>
    <row r="10" spans="1:9" s="50" customFormat="1">
      <c r="A10" s="57"/>
      <c r="B10" s="95" t="s">
        <v>57</v>
      </c>
      <c r="C10" s="86">
        <v>0.08</v>
      </c>
      <c r="D10" s="86">
        <v>0</v>
      </c>
      <c r="E10" s="86">
        <v>0.66</v>
      </c>
      <c r="F10" s="59"/>
    </row>
    <row r="11" spans="1:9" s="50" customFormat="1">
      <c r="A11" s="57"/>
      <c r="B11" s="85" t="s">
        <v>261</v>
      </c>
      <c r="C11" s="85">
        <v>0.01</v>
      </c>
      <c r="D11" s="85">
        <v>0</v>
      </c>
      <c r="E11" s="85">
        <v>0</v>
      </c>
      <c r="F11" s="59"/>
    </row>
    <row r="12" spans="1:9" s="50" customFormat="1">
      <c r="A12" s="57"/>
      <c r="B12" s="95" t="s">
        <v>172</v>
      </c>
      <c r="C12" s="86">
        <v>0.03</v>
      </c>
      <c r="D12" s="86">
        <v>0</v>
      </c>
      <c r="E12" s="86">
        <v>0</v>
      </c>
      <c r="F12" s="59"/>
    </row>
    <row r="13" spans="1:9" s="50" customFormat="1">
      <c r="A13" s="57"/>
      <c r="B13" s="85" t="s">
        <v>58</v>
      </c>
      <c r="C13" s="85">
        <v>0.04</v>
      </c>
      <c r="D13" s="85">
        <v>0.05</v>
      </c>
      <c r="E13" s="85">
        <v>0</v>
      </c>
      <c r="F13" s="59"/>
    </row>
    <row r="14" spans="1:9" s="50" customFormat="1">
      <c r="A14" s="57"/>
      <c r="B14" s="52" t="s">
        <v>177</v>
      </c>
      <c r="C14" s="104">
        <v>1</v>
      </c>
      <c r="D14" s="104">
        <v>1</v>
      </c>
      <c r="E14" s="104">
        <v>1</v>
      </c>
      <c r="F14" s="59"/>
    </row>
    <row r="15" spans="1:9" s="50" customFormat="1">
      <c r="A15" s="57"/>
      <c r="B15" s="57"/>
      <c r="C15" s="58"/>
      <c r="D15" s="58"/>
      <c r="E15" s="58"/>
      <c r="F15" s="59"/>
    </row>
  </sheetData>
  <sheetProtection sheet="1" objects="1" scenarios="1"/>
  <mergeCells count="1">
    <mergeCell ref="A1:G1"/>
  </mergeCells>
  <pageMargins left="0.75" right="0.75" top="1" bottom="1" header="0.5" footer="0.5"/>
  <pageSetup scale="68" fitToHeight="2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C44"/>
  <sheetViews>
    <sheetView showGridLines="0" topLeftCell="A23" zoomScale="125" zoomScaleNormal="100" workbookViewId="0">
      <selection activeCell="D11" sqref="D11"/>
    </sheetView>
  </sheetViews>
  <sheetFormatPr baseColWidth="10" defaultColWidth="7.6640625" defaultRowHeight="13"/>
  <cols>
    <col min="1" max="1" width="11.1640625" style="51" bestFit="1" customWidth="1"/>
    <col min="2" max="2" width="17.33203125" style="51" customWidth="1"/>
    <col min="3" max="3" width="69.5" style="51" customWidth="1"/>
    <col min="4" max="16384" width="7.6640625" style="51"/>
  </cols>
  <sheetData>
    <row r="1" spans="1:3" s="68" customFormat="1" ht="43" customHeight="1">
      <c r="A1" s="157" t="s">
        <v>310</v>
      </c>
      <c r="B1" s="157"/>
      <c r="C1" s="157"/>
    </row>
    <row r="2" spans="1:3" s="52" customFormat="1"/>
    <row r="3" spans="1:3" s="52" customFormat="1" ht="12" customHeight="1">
      <c r="B3" s="87" t="s">
        <v>222</v>
      </c>
      <c r="C3" s="96" t="s">
        <v>236</v>
      </c>
    </row>
    <row r="4" spans="1:3" s="52" customFormat="1" ht="14">
      <c r="B4" s="88" t="s">
        <v>223</v>
      </c>
      <c r="C4" s="89" t="s">
        <v>227</v>
      </c>
    </row>
    <row r="5" spans="1:3" s="52" customFormat="1" ht="14">
      <c r="B5" s="88" t="s">
        <v>224</v>
      </c>
      <c r="C5" s="109" t="s">
        <v>320</v>
      </c>
    </row>
    <row r="6" spans="1:3" s="52" customFormat="1" ht="14">
      <c r="B6" s="88" t="s">
        <v>225</v>
      </c>
      <c r="C6" s="89" t="s">
        <v>175</v>
      </c>
    </row>
    <row r="7" spans="1:3" s="52" customFormat="1" ht="12" customHeight="1">
      <c r="B7" s="88" t="s">
        <v>226</v>
      </c>
      <c r="C7" s="109" t="s">
        <v>269</v>
      </c>
    </row>
    <row r="8" spans="1:3" s="52" customFormat="1" ht="14">
      <c r="B8" s="88" t="s">
        <v>182</v>
      </c>
      <c r="C8" s="118" t="s">
        <v>322</v>
      </c>
    </row>
    <row r="9" spans="1:3" s="52" customFormat="1" ht="43" customHeight="1">
      <c r="B9" s="76" t="s">
        <v>228</v>
      </c>
      <c r="C9" s="114" t="s">
        <v>323</v>
      </c>
    </row>
    <row r="10" spans="1:3" s="52" customFormat="1" ht="12" customHeight="1">
      <c r="B10" s="90" t="s">
        <v>222</v>
      </c>
      <c r="C10" s="108" t="s">
        <v>237</v>
      </c>
    </row>
    <row r="11" spans="1:3" s="52" customFormat="1" ht="14">
      <c r="B11" s="91" t="s">
        <v>223</v>
      </c>
      <c r="C11" s="111" t="s">
        <v>227</v>
      </c>
    </row>
    <row r="12" spans="1:3" s="52" customFormat="1" ht="12" customHeight="1">
      <c r="B12" s="91" t="s">
        <v>224</v>
      </c>
      <c r="C12" s="111" t="s">
        <v>242</v>
      </c>
    </row>
    <row r="13" spans="1:3" s="52" customFormat="1" ht="14">
      <c r="B13" s="91" t="s">
        <v>225</v>
      </c>
      <c r="C13" s="111" t="s">
        <v>175</v>
      </c>
    </row>
    <row r="14" spans="1:3" s="52" customFormat="1" ht="12" customHeight="1">
      <c r="B14" s="91" t="s">
        <v>226</v>
      </c>
      <c r="C14" s="111" t="s">
        <v>238</v>
      </c>
    </row>
    <row r="15" spans="1:3" s="52" customFormat="1" ht="14">
      <c r="B15" s="91" t="s">
        <v>182</v>
      </c>
      <c r="C15" s="119" t="s">
        <v>324</v>
      </c>
    </row>
    <row r="16" spans="1:3" s="52" customFormat="1" ht="46" customHeight="1">
      <c r="B16" s="70" t="s">
        <v>228</v>
      </c>
      <c r="C16" s="112" t="s">
        <v>325</v>
      </c>
    </row>
    <row r="17" spans="2:3" s="52" customFormat="1" ht="12" customHeight="1">
      <c r="B17" s="92" t="s">
        <v>222</v>
      </c>
      <c r="C17" s="96" t="s">
        <v>239</v>
      </c>
    </row>
    <row r="18" spans="2:3" s="52" customFormat="1" ht="14">
      <c r="B18" s="93" t="s">
        <v>223</v>
      </c>
      <c r="C18" s="109" t="s">
        <v>227</v>
      </c>
    </row>
    <row r="19" spans="2:3" s="52" customFormat="1" ht="14">
      <c r="B19" s="93" t="s">
        <v>224</v>
      </c>
      <c r="C19" s="109" t="s">
        <v>320</v>
      </c>
    </row>
    <row r="20" spans="2:3" s="52" customFormat="1" ht="14">
      <c r="B20" s="93" t="s">
        <v>225</v>
      </c>
      <c r="C20" s="109" t="s">
        <v>192</v>
      </c>
    </row>
    <row r="21" spans="2:3" s="52" customFormat="1" ht="14">
      <c r="B21" s="93" t="s">
        <v>226</v>
      </c>
      <c r="C21" s="109" t="s">
        <v>320</v>
      </c>
    </row>
    <row r="22" spans="2:3" s="52" customFormat="1" ht="14">
      <c r="B22" s="93" t="s">
        <v>182</v>
      </c>
      <c r="C22" s="120" t="s">
        <v>322</v>
      </c>
    </row>
    <row r="23" spans="2:3" s="52" customFormat="1" ht="49" customHeight="1">
      <c r="B23" s="77" t="s">
        <v>228</v>
      </c>
      <c r="C23" s="110" t="s">
        <v>326</v>
      </c>
    </row>
    <row r="24" spans="2:3" s="52" customFormat="1" ht="12" customHeight="1">
      <c r="B24" s="90" t="s">
        <v>222</v>
      </c>
      <c r="C24" s="108" t="s">
        <v>240</v>
      </c>
    </row>
    <row r="25" spans="2:3" s="52" customFormat="1" ht="14">
      <c r="B25" s="91" t="s">
        <v>223</v>
      </c>
      <c r="C25" s="111" t="s">
        <v>227</v>
      </c>
    </row>
    <row r="26" spans="2:3" s="52" customFormat="1" ht="14">
      <c r="B26" s="91" t="s">
        <v>224</v>
      </c>
      <c r="C26" s="111" t="s">
        <v>320</v>
      </c>
    </row>
    <row r="27" spans="2:3" s="52" customFormat="1" ht="14">
      <c r="B27" s="91" t="s">
        <v>225</v>
      </c>
      <c r="C27" s="111" t="s">
        <v>192</v>
      </c>
    </row>
    <row r="28" spans="2:3" s="52" customFormat="1" ht="12" customHeight="1">
      <c r="B28" s="91" t="s">
        <v>226</v>
      </c>
      <c r="C28" s="111" t="s">
        <v>320</v>
      </c>
    </row>
    <row r="29" spans="2:3" s="52" customFormat="1" ht="14">
      <c r="B29" s="91" t="s">
        <v>182</v>
      </c>
      <c r="C29" s="119" t="s">
        <v>321</v>
      </c>
    </row>
    <row r="30" spans="2:3" s="52" customFormat="1" ht="41" customHeight="1">
      <c r="B30" s="70" t="s">
        <v>228</v>
      </c>
      <c r="C30" s="112" t="s">
        <v>331</v>
      </c>
    </row>
    <row r="31" spans="2:3" s="52" customFormat="1" ht="12" customHeight="1">
      <c r="B31" s="92" t="s">
        <v>222</v>
      </c>
      <c r="C31" s="96" t="s">
        <v>241</v>
      </c>
    </row>
    <row r="32" spans="2:3" s="52" customFormat="1" ht="14">
      <c r="B32" s="93" t="s">
        <v>223</v>
      </c>
      <c r="C32" s="109" t="s">
        <v>327</v>
      </c>
    </row>
    <row r="33" spans="2:3" s="52" customFormat="1" ht="14">
      <c r="B33" s="93" t="s">
        <v>224</v>
      </c>
      <c r="C33" s="109" t="s">
        <v>320</v>
      </c>
    </row>
    <row r="34" spans="2:3" s="52" customFormat="1" ht="14">
      <c r="B34" s="93" t="s">
        <v>225</v>
      </c>
      <c r="C34" s="109" t="s">
        <v>62</v>
      </c>
    </row>
    <row r="35" spans="2:3" s="52" customFormat="1" ht="14">
      <c r="B35" s="93" t="s">
        <v>226</v>
      </c>
      <c r="C35" s="109" t="s">
        <v>320</v>
      </c>
    </row>
    <row r="36" spans="2:3" s="52" customFormat="1" ht="14">
      <c r="B36" s="93" t="s">
        <v>182</v>
      </c>
      <c r="C36" s="120" t="s">
        <v>328</v>
      </c>
    </row>
    <row r="37" spans="2:3" s="52" customFormat="1" ht="47" customHeight="1">
      <c r="B37" s="77" t="s">
        <v>228</v>
      </c>
      <c r="C37" s="110" t="s">
        <v>329</v>
      </c>
    </row>
    <row r="38" spans="2:3" ht="14">
      <c r="B38" s="90" t="s">
        <v>222</v>
      </c>
      <c r="C38" s="108" t="s">
        <v>242</v>
      </c>
    </row>
    <row r="39" spans="2:3" ht="14">
      <c r="B39" s="91" t="s">
        <v>223</v>
      </c>
      <c r="C39" s="111" t="s">
        <v>227</v>
      </c>
    </row>
    <row r="40" spans="2:3" ht="14">
      <c r="B40" s="91" t="s">
        <v>224</v>
      </c>
      <c r="C40" s="111" t="s">
        <v>320</v>
      </c>
    </row>
    <row r="41" spans="2:3" ht="14">
      <c r="B41" s="91" t="s">
        <v>225</v>
      </c>
      <c r="C41" s="111" t="s">
        <v>192</v>
      </c>
    </row>
    <row r="42" spans="2:3" ht="14">
      <c r="B42" s="91" t="s">
        <v>226</v>
      </c>
      <c r="C42" s="111" t="s">
        <v>320</v>
      </c>
    </row>
    <row r="43" spans="2:3" ht="14">
      <c r="B43" s="91" t="s">
        <v>182</v>
      </c>
      <c r="C43" s="119" t="s">
        <v>322</v>
      </c>
    </row>
    <row r="44" spans="2:3" ht="43" customHeight="1">
      <c r="B44" s="70" t="s">
        <v>228</v>
      </c>
      <c r="C44" s="112" t="s">
        <v>330</v>
      </c>
    </row>
  </sheetData>
  <sheetProtection sheet="1" objects="1" scenarios="1"/>
  <mergeCells count="1">
    <mergeCell ref="A1:C1"/>
  </mergeCells>
  <pageMargins left="0.75" right="0.75" top="1" bottom="1" header="0.5" footer="0.5"/>
  <pageSetup scale="68" fitToHeight="2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7638-378E-A74B-87BB-D49DF2C04E87}">
  <sheetPr>
    <pageSetUpPr fitToPage="1"/>
  </sheetPr>
  <dimension ref="A1:I33"/>
  <sheetViews>
    <sheetView showGridLines="0" zoomScaleNormal="100" workbookViewId="0">
      <selection activeCell="B3" sqref="B3:H31"/>
    </sheetView>
  </sheetViews>
  <sheetFormatPr baseColWidth="10" defaultColWidth="7.6640625" defaultRowHeight="13"/>
  <cols>
    <col min="1" max="1" width="11.1640625" style="121" bestFit="1" customWidth="1"/>
    <col min="2" max="2" width="39.33203125" style="121" customWidth="1"/>
    <col min="3" max="8" width="8.6640625" style="121" customWidth="1"/>
    <col min="9" max="16384" width="7.6640625" style="121"/>
  </cols>
  <sheetData>
    <row r="1" spans="1:9" s="124" customFormat="1" ht="43" customHeight="1">
      <c r="A1" s="158" t="s">
        <v>374</v>
      </c>
      <c r="B1" s="158"/>
      <c r="C1" s="158"/>
      <c r="D1" s="158"/>
      <c r="E1" s="158"/>
      <c r="F1" s="158"/>
      <c r="G1" s="158"/>
      <c r="H1" s="158"/>
    </row>
    <row r="2" spans="1:9" s="122" customFormat="1"/>
    <row r="3" spans="1:9" s="122" customFormat="1">
      <c r="C3" s="127" t="s">
        <v>340</v>
      </c>
      <c r="D3" s="127" t="s">
        <v>341</v>
      </c>
      <c r="E3" s="127" t="s">
        <v>342</v>
      </c>
      <c r="F3" s="127" t="s">
        <v>343</v>
      </c>
      <c r="G3" s="127" t="s">
        <v>344</v>
      </c>
      <c r="H3" s="127" t="s">
        <v>345</v>
      </c>
      <c r="I3" s="128"/>
    </row>
    <row r="4" spans="1:9" s="122" customFormat="1" ht="16">
      <c r="B4" s="125" t="s">
        <v>365</v>
      </c>
      <c r="C4" s="127"/>
      <c r="D4" s="127"/>
      <c r="E4" s="127"/>
      <c r="F4" s="127"/>
      <c r="G4" s="127"/>
      <c r="H4" s="127"/>
      <c r="I4" s="128"/>
    </row>
    <row r="5" spans="1:9">
      <c r="B5" s="133" t="s">
        <v>335</v>
      </c>
      <c r="C5" s="131">
        <v>6.2</v>
      </c>
      <c r="D5" s="131">
        <v>4.96</v>
      </c>
      <c r="E5" s="131">
        <v>3.72</v>
      </c>
      <c r="F5" s="131">
        <v>2.48</v>
      </c>
      <c r="G5" s="131">
        <v>1.24</v>
      </c>
      <c r="H5" s="131">
        <v>0</v>
      </c>
      <c r="I5" s="129"/>
    </row>
    <row r="6" spans="1:9">
      <c r="B6" s="133" t="s">
        <v>336</v>
      </c>
      <c r="C6" s="131">
        <v>5.07</v>
      </c>
      <c r="D6" s="131">
        <v>4.05</v>
      </c>
      <c r="E6" s="131">
        <v>3.04</v>
      </c>
      <c r="F6" s="131">
        <v>2.0299999999999998</v>
      </c>
      <c r="G6" s="131">
        <v>1.01</v>
      </c>
      <c r="H6" s="131">
        <v>0</v>
      </c>
      <c r="I6" s="129"/>
    </row>
    <row r="7" spans="1:9">
      <c r="B7" s="133" t="s">
        <v>337</v>
      </c>
      <c r="C7" s="131">
        <v>7.07</v>
      </c>
      <c r="D7" s="131">
        <v>5.65</v>
      </c>
      <c r="E7" s="131">
        <v>4.24</v>
      </c>
      <c r="F7" s="131">
        <v>2.83</v>
      </c>
      <c r="G7" s="131">
        <v>1.41</v>
      </c>
      <c r="H7" s="131">
        <v>0</v>
      </c>
      <c r="I7" s="129"/>
    </row>
    <row r="8" spans="1:9">
      <c r="B8" s="133" t="s">
        <v>338</v>
      </c>
      <c r="C8" s="131">
        <v>5.48</v>
      </c>
      <c r="D8" s="131">
        <v>4.38</v>
      </c>
      <c r="E8" s="131">
        <v>3.29</v>
      </c>
      <c r="F8" s="131">
        <v>2.19</v>
      </c>
      <c r="G8" s="131">
        <v>1.1000000000000001</v>
      </c>
      <c r="H8" s="131">
        <v>0</v>
      </c>
      <c r="I8" s="129"/>
    </row>
    <row r="9" spans="1:9">
      <c r="B9" s="133" t="s">
        <v>339</v>
      </c>
      <c r="C9" s="131">
        <v>7.8</v>
      </c>
      <c r="D9" s="131">
        <v>6.24</v>
      </c>
      <c r="E9" s="131">
        <v>4.68</v>
      </c>
      <c r="F9" s="131">
        <v>3.12</v>
      </c>
      <c r="G9" s="131">
        <v>1.56</v>
      </c>
      <c r="H9" s="131">
        <v>0</v>
      </c>
      <c r="I9" s="129"/>
    </row>
    <row r="10" spans="1:9">
      <c r="C10" s="129"/>
      <c r="D10" s="129"/>
      <c r="E10" s="129"/>
      <c r="F10" s="129"/>
      <c r="G10" s="129"/>
      <c r="H10" s="129"/>
      <c r="I10" s="129"/>
    </row>
    <row r="11" spans="1:9" ht="16">
      <c r="B11" s="126" t="s">
        <v>366</v>
      </c>
      <c r="C11" s="127"/>
      <c r="D11" s="127"/>
      <c r="E11" s="127"/>
      <c r="F11" s="127"/>
      <c r="G11" s="127"/>
      <c r="H11" s="127"/>
      <c r="I11" s="130"/>
    </row>
    <row r="12" spans="1:9">
      <c r="B12" s="123" t="s">
        <v>346</v>
      </c>
      <c r="C12" s="130"/>
      <c r="D12" s="130"/>
      <c r="E12" s="130"/>
      <c r="F12" s="130"/>
      <c r="G12" s="130"/>
      <c r="H12" s="130"/>
      <c r="I12" s="129"/>
    </row>
    <row r="13" spans="1:9">
      <c r="B13" s="132" t="s">
        <v>347</v>
      </c>
      <c r="C13" s="135">
        <v>0.82</v>
      </c>
      <c r="D13" s="135">
        <v>0.92</v>
      </c>
      <c r="E13" s="135">
        <v>1</v>
      </c>
      <c r="F13" s="135">
        <v>1.1000000000000001</v>
      </c>
      <c r="G13" s="135">
        <v>1.26</v>
      </c>
      <c r="H13" s="135">
        <v>1.26</v>
      </c>
      <c r="I13" s="129"/>
    </row>
    <row r="14" spans="1:9">
      <c r="B14" s="132" t="s">
        <v>348</v>
      </c>
      <c r="C14" s="135">
        <v>0.94</v>
      </c>
      <c r="D14" s="135">
        <v>0.94</v>
      </c>
      <c r="E14" s="135">
        <v>1</v>
      </c>
      <c r="F14" s="135">
        <v>1.08</v>
      </c>
      <c r="G14" s="135">
        <v>1.1599999999999999</v>
      </c>
      <c r="H14" s="135">
        <v>1.1599999999999999</v>
      </c>
      <c r="I14" s="129"/>
    </row>
    <row r="15" spans="1:9">
      <c r="B15" s="132" t="s">
        <v>349</v>
      </c>
      <c r="C15" s="135">
        <v>0.7</v>
      </c>
      <c r="D15" s="135">
        <v>0.85</v>
      </c>
      <c r="E15" s="135">
        <v>1</v>
      </c>
      <c r="F15" s="135">
        <v>1.1499999999999999</v>
      </c>
      <c r="G15" s="135">
        <v>1.3</v>
      </c>
      <c r="H15" s="135">
        <v>1.65</v>
      </c>
      <c r="I15" s="129"/>
    </row>
    <row r="16" spans="1:9">
      <c r="B16" s="123" t="s">
        <v>350</v>
      </c>
      <c r="C16" s="136"/>
      <c r="D16" s="136"/>
      <c r="E16" s="136"/>
      <c r="F16" s="136"/>
      <c r="G16" s="136"/>
      <c r="H16" s="136"/>
      <c r="I16" s="129"/>
    </row>
    <row r="17" spans="2:9">
      <c r="B17" s="132" t="s">
        <v>351</v>
      </c>
      <c r="C17" s="135">
        <v>1</v>
      </c>
      <c r="D17" s="135">
        <v>1</v>
      </c>
      <c r="E17" s="135">
        <v>1</v>
      </c>
      <c r="F17" s="135">
        <v>1.1100000000000001</v>
      </c>
      <c r="G17" s="135">
        <v>1.3</v>
      </c>
      <c r="H17" s="135">
        <v>1.66</v>
      </c>
      <c r="I17" s="129"/>
    </row>
    <row r="18" spans="2:9">
      <c r="B18" s="132" t="s">
        <v>352</v>
      </c>
      <c r="C18" s="135">
        <v>1</v>
      </c>
      <c r="D18" s="135">
        <v>1</v>
      </c>
      <c r="E18" s="135">
        <v>1</v>
      </c>
      <c r="F18" s="135">
        <v>1.06</v>
      </c>
      <c r="G18" s="135">
        <v>1.21</v>
      </c>
      <c r="H18" s="135">
        <v>1.56</v>
      </c>
      <c r="I18" s="129"/>
    </row>
    <row r="19" spans="2:9">
      <c r="B19" s="132" t="s">
        <v>353</v>
      </c>
      <c r="C19" s="135">
        <v>0.87</v>
      </c>
      <c r="D19" s="135">
        <v>0.87</v>
      </c>
      <c r="E19" s="135">
        <v>1</v>
      </c>
      <c r="F19" s="135">
        <v>1.1499999999999999</v>
      </c>
      <c r="G19" s="135">
        <v>1.3</v>
      </c>
      <c r="H19" s="135">
        <v>1.3</v>
      </c>
      <c r="I19" s="129"/>
    </row>
    <row r="20" spans="2:9">
      <c r="B20" s="132" t="s">
        <v>354</v>
      </c>
      <c r="C20" s="135">
        <v>0.87</v>
      </c>
      <c r="D20" s="135">
        <v>0.87</v>
      </c>
      <c r="E20" s="135">
        <v>1</v>
      </c>
      <c r="F20" s="135">
        <v>1.07</v>
      </c>
      <c r="G20" s="135">
        <v>1.1499999999999999</v>
      </c>
      <c r="H20" s="135">
        <v>1.1499999999999999</v>
      </c>
      <c r="I20" s="129"/>
    </row>
    <row r="21" spans="2:9">
      <c r="B21" s="123" t="s">
        <v>355</v>
      </c>
      <c r="C21" s="136"/>
      <c r="D21" s="136"/>
      <c r="E21" s="136"/>
      <c r="F21" s="136"/>
      <c r="G21" s="136"/>
      <c r="H21" s="136"/>
      <c r="I21" s="129"/>
    </row>
    <row r="22" spans="2:9">
      <c r="B22" s="132" t="s">
        <v>356</v>
      </c>
      <c r="C22" s="135">
        <v>1.42</v>
      </c>
      <c r="D22" s="135">
        <v>1.19</v>
      </c>
      <c r="E22" s="135">
        <v>1</v>
      </c>
      <c r="F22" s="135">
        <v>0.85</v>
      </c>
      <c r="G22" s="135">
        <v>0.71</v>
      </c>
      <c r="H22" s="135">
        <v>0.71</v>
      </c>
      <c r="I22" s="129"/>
    </row>
    <row r="23" spans="2:9">
      <c r="B23" s="132" t="s">
        <v>357</v>
      </c>
      <c r="C23" s="135">
        <v>1.22</v>
      </c>
      <c r="D23" s="135">
        <v>1.1000000000000001</v>
      </c>
      <c r="E23" s="135">
        <v>1</v>
      </c>
      <c r="F23" s="135">
        <v>0.88</v>
      </c>
      <c r="G23" s="135">
        <v>0.81</v>
      </c>
      <c r="H23" s="135">
        <v>0.81</v>
      </c>
      <c r="I23" s="129"/>
    </row>
    <row r="24" spans="2:9">
      <c r="B24" s="132" t="s">
        <v>358</v>
      </c>
      <c r="C24" s="135">
        <v>1.34</v>
      </c>
      <c r="D24" s="135">
        <v>1.1499999999999999</v>
      </c>
      <c r="E24" s="135">
        <v>1</v>
      </c>
      <c r="F24" s="135">
        <v>0.88</v>
      </c>
      <c r="G24" s="135">
        <v>0.76</v>
      </c>
      <c r="H24" s="135">
        <v>0.76</v>
      </c>
      <c r="I24" s="129"/>
    </row>
    <row r="25" spans="2:9">
      <c r="B25" s="132" t="s">
        <v>359</v>
      </c>
      <c r="C25" s="135">
        <v>1.21</v>
      </c>
      <c r="D25" s="135">
        <v>1.1000000000000001</v>
      </c>
      <c r="E25" s="135">
        <v>1</v>
      </c>
      <c r="F25" s="135">
        <v>0.9</v>
      </c>
      <c r="G25" s="135">
        <v>0.9</v>
      </c>
      <c r="H25" s="135">
        <v>0.9</v>
      </c>
      <c r="I25" s="129"/>
    </row>
    <row r="26" spans="2:9">
      <c r="B26" s="132" t="s">
        <v>360</v>
      </c>
      <c r="C26" s="135">
        <v>1.1399999999999999</v>
      </c>
      <c r="D26" s="135">
        <v>1.07</v>
      </c>
      <c r="E26" s="135">
        <v>1</v>
      </c>
      <c r="F26" s="135">
        <v>0.95</v>
      </c>
      <c r="G26" s="135">
        <v>0.95</v>
      </c>
      <c r="H26" s="135">
        <v>0.95</v>
      </c>
      <c r="I26" s="129"/>
    </row>
    <row r="27" spans="2:9">
      <c r="B27" s="132" t="s">
        <v>372</v>
      </c>
      <c r="C27" s="135">
        <v>1.29</v>
      </c>
      <c r="D27" s="135">
        <v>1.1000000000000001</v>
      </c>
      <c r="E27" s="135">
        <v>1</v>
      </c>
      <c r="F27" s="135">
        <v>0.88</v>
      </c>
      <c r="G27" s="135">
        <v>0.81</v>
      </c>
      <c r="H27" s="135">
        <v>0.81</v>
      </c>
      <c r="I27" s="129"/>
    </row>
    <row r="28" spans="2:9">
      <c r="B28" s="123" t="s">
        <v>361</v>
      </c>
      <c r="C28" s="136"/>
      <c r="D28" s="136"/>
      <c r="E28" s="136"/>
      <c r="F28" s="136"/>
      <c r="G28" s="136"/>
      <c r="H28" s="136"/>
      <c r="I28" s="129"/>
    </row>
    <row r="29" spans="2:9">
      <c r="B29" s="132" t="s">
        <v>362</v>
      </c>
      <c r="C29" s="135">
        <v>1.24</v>
      </c>
      <c r="D29" s="135">
        <v>1.1000000000000001</v>
      </c>
      <c r="E29" s="135">
        <v>1</v>
      </c>
      <c r="F29" s="135">
        <v>0.91</v>
      </c>
      <c r="G29" s="135">
        <v>0.82</v>
      </c>
      <c r="H29" s="135">
        <v>0.82</v>
      </c>
      <c r="I29" s="129"/>
    </row>
    <row r="30" spans="2:9">
      <c r="B30" s="132" t="s">
        <v>363</v>
      </c>
      <c r="C30" s="135">
        <v>1.24</v>
      </c>
      <c r="D30" s="135">
        <v>1.1000000000000001</v>
      </c>
      <c r="E30" s="135">
        <v>1</v>
      </c>
      <c r="F30" s="135">
        <v>0.91</v>
      </c>
      <c r="G30" s="135">
        <v>0.83</v>
      </c>
      <c r="H30" s="135">
        <v>0.83</v>
      </c>
      <c r="I30" s="129"/>
    </row>
    <row r="31" spans="2:9">
      <c r="B31" s="132" t="s">
        <v>364</v>
      </c>
      <c r="C31" s="135">
        <v>1.23</v>
      </c>
      <c r="D31" s="135">
        <v>1.08</v>
      </c>
      <c r="E31" s="135">
        <v>1</v>
      </c>
      <c r="F31" s="135">
        <v>1.04</v>
      </c>
      <c r="G31" s="135">
        <v>1.1000000000000001</v>
      </c>
      <c r="H31" s="135">
        <v>1.1000000000000001</v>
      </c>
      <c r="I31" s="129"/>
    </row>
    <row r="32" spans="2:9">
      <c r="C32" s="129"/>
      <c r="D32" s="129"/>
      <c r="E32" s="129"/>
      <c r="F32" s="129"/>
      <c r="G32" s="129"/>
      <c r="H32" s="129"/>
      <c r="I32" s="129"/>
    </row>
    <row r="33" spans="3:9">
      <c r="C33" s="129"/>
      <c r="D33" s="129"/>
      <c r="E33" s="129"/>
      <c r="F33" s="129"/>
      <c r="G33" s="129"/>
      <c r="H33" s="129"/>
      <c r="I33" s="129"/>
    </row>
  </sheetData>
  <sheetProtection sheet="1" objects="1" scenarios="1"/>
  <mergeCells count="1">
    <mergeCell ref="A1:H1"/>
  </mergeCells>
  <pageMargins left="0.75" right="0.75" top="1" bottom="1" header="0.5" footer="0.5"/>
  <pageSetup scale="68" fitToHeight="2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K96"/>
  <sheetViews>
    <sheetView showGridLines="0" tabSelected="1" zoomScale="121" zoomScaleNormal="121" workbookViewId="0">
      <selection activeCell="B97" sqref="B97"/>
    </sheetView>
  </sheetViews>
  <sheetFormatPr baseColWidth="10" defaultColWidth="7.6640625" defaultRowHeight="13"/>
  <cols>
    <col min="1" max="1" width="54" style="1" customWidth="1"/>
    <col min="2" max="2" width="16.1640625" style="1" customWidth="1"/>
    <col min="3" max="3" width="11.83203125" style="1" customWidth="1"/>
    <col min="4" max="6" width="10.5" style="1" customWidth="1"/>
    <col min="7" max="16384" width="7.6640625" style="1"/>
  </cols>
  <sheetData>
    <row r="1" spans="1:11" ht="13" customHeight="1">
      <c r="A1" s="1" t="s">
        <v>188</v>
      </c>
      <c r="B1" s="161" t="s">
        <v>376</v>
      </c>
      <c r="C1" s="162"/>
      <c r="D1" s="163"/>
      <c r="E1" s="2"/>
      <c r="F1" s="2"/>
      <c r="G1" s="2"/>
      <c r="H1" s="2"/>
      <c r="I1" s="2"/>
      <c r="J1" s="2"/>
      <c r="K1" s="2"/>
    </row>
    <row r="2" spans="1:11" ht="13" customHeight="1">
      <c r="A2" s="1" t="s">
        <v>230</v>
      </c>
      <c r="B2" s="161" t="s">
        <v>377</v>
      </c>
      <c r="C2" s="162"/>
      <c r="D2" s="163"/>
      <c r="E2" s="2"/>
      <c r="F2" s="2"/>
      <c r="G2" s="2"/>
      <c r="H2" s="2"/>
      <c r="I2" s="2"/>
      <c r="J2" s="2"/>
      <c r="K2" s="2"/>
    </row>
    <row r="3" spans="1:11" ht="13" customHeight="1">
      <c r="A3" s="15"/>
      <c r="B3" s="80"/>
      <c r="C3" s="2"/>
      <c r="D3" s="2"/>
      <c r="E3" s="2"/>
      <c r="F3" s="2"/>
      <c r="G3" s="2"/>
      <c r="H3" s="2"/>
      <c r="I3" s="2"/>
      <c r="J3" s="2"/>
      <c r="K3" s="2"/>
    </row>
    <row r="4" spans="1:11" ht="30" customHeight="1">
      <c r="A4" s="49" t="s">
        <v>176</v>
      </c>
      <c r="B4" s="79"/>
      <c r="C4" s="79"/>
      <c r="D4" s="79"/>
      <c r="E4" s="79"/>
      <c r="F4" s="79"/>
      <c r="G4" s="2"/>
      <c r="H4" s="2"/>
      <c r="I4" s="2"/>
    </row>
    <row r="5" spans="1:11" ht="13" customHeight="1">
      <c r="A5" s="98" t="s">
        <v>178</v>
      </c>
      <c r="B5" s="100" t="s">
        <v>275</v>
      </c>
      <c r="C5" s="100" t="s">
        <v>276</v>
      </c>
      <c r="D5" s="164" t="s">
        <v>277</v>
      </c>
      <c r="E5" s="164"/>
      <c r="F5" s="164"/>
      <c r="G5" s="164"/>
      <c r="H5" s="2"/>
      <c r="I5" s="2"/>
    </row>
    <row r="6" spans="1:11" ht="13" customHeight="1">
      <c r="A6" s="40" t="s">
        <v>217</v>
      </c>
      <c r="B6" s="101">
        <v>10</v>
      </c>
      <c r="C6" s="102"/>
      <c r="D6" s="160"/>
      <c r="E6" s="160"/>
      <c r="F6" s="160"/>
      <c r="G6" s="160"/>
      <c r="H6" s="2"/>
      <c r="I6" s="2"/>
    </row>
    <row r="7" spans="1:11" ht="13" customHeight="1">
      <c r="A7" s="40" t="s">
        <v>234</v>
      </c>
      <c r="B7" s="101">
        <v>10</v>
      </c>
      <c r="C7" s="102"/>
      <c r="D7" s="160"/>
      <c r="E7" s="160"/>
      <c r="F7" s="160"/>
      <c r="G7" s="160"/>
      <c r="H7" s="2"/>
      <c r="I7" s="2"/>
    </row>
    <row r="8" spans="1:11" ht="13" customHeight="1">
      <c r="A8" s="40" t="s">
        <v>332</v>
      </c>
      <c r="B8" s="101">
        <v>10</v>
      </c>
      <c r="C8" s="102"/>
      <c r="D8" s="160"/>
      <c r="E8" s="160"/>
      <c r="F8" s="160"/>
      <c r="G8" s="160"/>
      <c r="H8" s="2"/>
      <c r="I8" s="2"/>
    </row>
    <row r="9" spans="1:11" ht="13" customHeight="1">
      <c r="A9" s="40" t="s">
        <v>333</v>
      </c>
      <c r="B9" s="101">
        <v>10</v>
      </c>
      <c r="C9" s="117"/>
      <c r="D9" s="165"/>
      <c r="E9" s="166"/>
      <c r="F9" s="166"/>
      <c r="G9" s="167"/>
      <c r="H9" s="2"/>
      <c r="I9" s="2"/>
    </row>
    <row r="10" spans="1:11" ht="13" customHeight="1">
      <c r="A10" s="40" t="s">
        <v>334</v>
      </c>
      <c r="B10" s="101">
        <v>10</v>
      </c>
      <c r="C10" s="102"/>
      <c r="D10" s="160"/>
      <c r="E10" s="160"/>
      <c r="F10" s="160"/>
      <c r="G10" s="160"/>
      <c r="H10" s="2"/>
      <c r="I10" s="2"/>
    </row>
    <row r="11" spans="1:11" ht="13" customHeight="1">
      <c r="A11" s="99" t="s">
        <v>177</v>
      </c>
      <c r="B11" s="103">
        <f>SUM(B6:B10)</f>
        <v>50</v>
      </c>
      <c r="C11" s="102">
        <f>SUM(C6:C10)</f>
        <v>0</v>
      </c>
      <c r="D11" s="160"/>
      <c r="E11" s="160"/>
      <c r="F11" s="160"/>
      <c r="G11" s="160"/>
      <c r="H11" s="2"/>
      <c r="I11" s="2"/>
    </row>
    <row r="12" spans="1:11" s="39" customFormat="1" ht="13" customHeight="1">
      <c r="B12" s="2"/>
      <c r="C12" s="2"/>
      <c r="D12" s="2"/>
      <c r="E12" s="2"/>
      <c r="F12" s="2"/>
      <c r="G12" s="2"/>
      <c r="H12" s="2"/>
      <c r="I12" s="2"/>
    </row>
    <row r="13" spans="1:11" s="18" customFormat="1" ht="95" customHeight="1" thickBot="1">
      <c r="A13" s="159" t="s">
        <v>111</v>
      </c>
      <c r="B13" s="159"/>
      <c r="C13" s="159"/>
      <c r="D13" s="159"/>
      <c r="E13" s="159"/>
      <c r="F13" s="159"/>
      <c r="G13" s="159"/>
      <c r="H13" s="19"/>
      <c r="I13" s="19"/>
    </row>
    <row r="14" spans="1:11" s="60" customFormat="1" ht="13" hidden="1" customHeight="1">
      <c r="A14" s="35" t="s">
        <v>91</v>
      </c>
      <c r="B14" s="35"/>
      <c r="C14" s="35"/>
      <c r="D14" s="35"/>
      <c r="E14" s="35"/>
    </row>
    <row r="15" spans="1:11" s="60" customFormat="1" ht="13" hidden="1" customHeight="1">
      <c r="A15" s="61" t="s">
        <v>92</v>
      </c>
      <c r="B15" s="105" t="s">
        <v>278</v>
      </c>
      <c r="C15" s="61"/>
      <c r="D15" s="61"/>
      <c r="E15" s="61"/>
    </row>
    <row r="16" spans="1:11" s="60" customFormat="1" ht="13" hidden="1" customHeight="1">
      <c r="A16" s="61" t="s">
        <v>93</v>
      </c>
      <c r="B16" s="105" t="s">
        <v>279</v>
      </c>
      <c r="C16" s="61"/>
      <c r="D16" s="61"/>
      <c r="E16" s="61"/>
    </row>
    <row r="17" spans="1:5" s="60" customFormat="1" ht="13" hidden="1" customHeight="1">
      <c r="A17" s="61" t="s">
        <v>200</v>
      </c>
      <c r="B17" s="105" t="s">
        <v>280</v>
      </c>
      <c r="C17" s="61"/>
      <c r="D17" s="61"/>
      <c r="E17" s="61"/>
    </row>
    <row r="18" spans="1:5" s="60" customFormat="1" ht="13" hidden="1" customHeight="1">
      <c r="A18" s="61" t="s">
        <v>127</v>
      </c>
      <c r="B18" s="105" t="s">
        <v>281</v>
      </c>
      <c r="C18" s="61"/>
      <c r="D18" s="61"/>
      <c r="E18" s="61"/>
    </row>
    <row r="19" spans="1:5" s="60" customFormat="1" ht="13" hidden="1" customHeight="1">
      <c r="A19" s="61" t="s">
        <v>128</v>
      </c>
      <c r="B19" s="105" t="s">
        <v>282</v>
      </c>
      <c r="C19" s="61"/>
      <c r="D19" s="61"/>
      <c r="E19" s="61"/>
    </row>
    <row r="20" spans="1:5" s="60" customFormat="1" ht="13" hidden="1" customHeight="1">
      <c r="A20" s="61" t="s">
        <v>196</v>
      </c>
      <c r="B20" s="105" t="s">
        <v>283</v>
      </c>
      <c r="C20" s="61"/>
      <c r="D20" s="61"/>
      <c r="E20" s="61"/>
    </row>
    <row r="21" spans="1:5" s="60" customFormat="1" ht="13" hidden="1" customHeight="1">
      <c r="A21" s="61" t="s">
        <v>200</v>
      </c>
      <c r="B21" s="105" t="s">
        <v>284</v>
      </c>
      <c r="C21" s="61"/>
      <c r="D21" s="61"/>
      <c r="E21" s="61"/>
    </row>
    <row r="22" spans="1:5" s="60" customFormat="1" ht="13" hidden="1" customHeight="1">
      <c r="A22" s="61" t="s">
        <v>103</v>
      </c>
      <c r="B22" s="105" t="s">
        <v>285</v>
      </c>
      <c r="C22" s="61"/>
      <c r="D22" s="61"/>
      <c r="E22" s="61"/>
    </row>
    <row r="23" spans="1:5" s="60" customFormat="1" ht="13" hidden="1" customHeight="1">
      <c r="A23" s="61" t="s">
        <v>193</v>
      </c>
      <c r="B23" s="105" t="s">
        <v>286</v>
      </c>
      <c r="C23" s="61"/>
      <c r="D23" s="61"/>
      <c r="E23" s="61"/>
    </row>
    <row r="24" spans="1:5" s="60" customFormat="1" ht="13" hidden="1" customHeight="1">
      <c r="A24" s="62" t="s">
        <v>194</v>
      </c>
      <c r="B24" s="105" t="s">
        <v>287</v>
      </c>
      <c r="C24" s="61"/>
      <c r="D24" s="61"/>
      <c r="E24" s="61"/>
    </row>
    <row r="25" spans="1:5" s="60" customFormat="1" ht="13" hidden="1" customHeight="1">
      <c r="A25" s="61" t="s">
        <v>195</v>
      </c>
      <c r="B25" s="105" t="s">
        <v>288</v>
      </c>
      <c r="C25" s="61"/>
      <c r="D25" s="61"/>
      <c r="E25" s="61"/>
    </row>
    <row r="26" spans="1:5" s="60" customFormat="1" ht="13" hidden="1" customHeight="1">
      <c r="A26" s="61" t="s">
        <v>125</v>
      </c>
      <c r="B26" s="105" t="s">
        <v>289</v>
      </c>
      <c r="C26" s="61"/>
      <c r="D26" s="61"/>
      <c r="E26" s="61"/>
    </row>
    <row r="27" spans="1:5" s="60" customFormat="1" ht="13" hidden="1" customHeight="1">
      <c r="A27" s="61" t="s">
        <v>200</v>
      </c>
      <c r="B27" s="105" t="s">
        <v>290</v>
      </c>
      <c r="C27" s="61"/>
      <c r="D27" s="61"/>
      <c r="E27" s="61"/>
    </row>
    <row r="28" spans="1:5" s="60" customFormat="1" ht="13" hidden="1" customHeight="1">
      <c r="A28" s="36" t="s">
        <v>191</v>
      </c>
      <c r="B28" s="105" t="s">
        <v>291</v>
      </c>
      <c r="C28" s="61"/>
      <c r="D28" s="61"/>
      <c r="E28" s="61"/>
    </row>
    <row r="29" spans="1:5" s="60" customFormat="1" ht="13" hidden="1" customHeight="1">
      <c r="A29" s="36" t="s">
        <v>175</v>
      </c>
      <c r="B29" s="105" t="s">
        <v>292</v>
      </c>
      <c r="C29" s="61"/>
      <c r="D29" s="61"/>
      <c r="E29" s="61"/>
    </row>
    <row r="30" spans="1:5" s="60" customFormat="1" ht="13" hidden="1" customHeight="1">
      <c r="A30" s="36" t="s">
        <v>90</v>
      </c>
      <c r="B30" s="105" t="s">
        <v>293</v>
      </c>
      <c r="C30" s="61"/>
      <c r="D30" s="61"/>
      <c r="E30" s="61"/>
    </row>
    <row r="31" spans="1:5" s="60" customFormat="1" ht="13" hidden="1" customHeight="1">
      <c r="A31" s="36" t="s">
        <v>192</v>
      </c>
      <c r="B31" s="105" t="s">
        <v>294</v>
      </c>
      <c r="C31" s="61"/>
      <c r="D31" s="61"/>
      <c r="E31" s="61"/>
    </row>
    <row r="32" spans="1:5" s="60" customFormat="1" ht="13" hidden="1" customHeight="1">
      <c r="A32" s="61" t="s">
        <v>200</v>
      </c>
      <c r="B32" s="105" t="s">
        <v>295</v>
      </c>
      <c r="C32" s="61"/>
      <c r="D32" s="61"/>
      <c r="E32" s="61"/>
    </row>
    <row r="33" spans="1:5" s="60" customFormat="1" ht="13" hidden="1" customHeight="1">
      <c r="A33" s="61" t="s">
        <v>129</v>
      </c>
      <c r="B33" s="105" t="s">
        <v>296</v>
      </c>
      <c r="C33" s="61"/>
      <c r="D33" s="61"/>
      <c r="E33" s="61"/>
    </row>
    <row r="34" spans="1:5" s="60" customFormat="1" ht="13" hidden="1" customHeight="1">
      <c r="A34" s="61" t="s">
        <v>130</v>
      </c>
      <c r="B34" s="105" t="s">
        <v>297</v>
      </c>
      <c r="C34" s="61"/>
      <c r="D34" s="61"/>
      <c r="E34" s="61"/>
    </row>
    <row r="35" spans="1:5" s="60" customFormat="1" ht="13" hidden="1" customHeight="1">
      <c r="A35" s="61" t="s">
        <v>131</v>
      </c>
      <c r="B35" s="105" t="s">
        <v>298</v>
      </c>
      <c r="C35" s="61"/>
      <c r="D35" s="61"/>
      <c r="E35" s="61"/>
    </row>
    <row r="36" spans="1:5" s="60" customFormat="1" ht="13" hidden="1" customHeight="1">
      <c r="A36" s="61" t="s">
        <v>161</v>
      </c>
      <c r="B36" s="105" t="s">
        <v>299</v>
      </c>
      <c r="C36" s="61"/>
      <c r="D36" s="61"/>
      <c r="E36" s="61"/>
    </row>
    <row r="37" spans="1:5" s="60" customFormat="1" ht="13" hidden="1" customHeight="1">
      <c r="A37" s="61" t="s">
        <v>200</v>
      </c>
      <c r="B37" s="105" t="s">
        <v>300</v>
      </c>
      <c r="C37" s="61"/>
      <c r="D37" s="61"/>
      <c r="E37" s="61"/>
    </row>
    <row r="38" spans="1:5" s="60" customFormat="1" ht="13" hidden="1" customHeight="1">
      <c r="A38" s="61"/>
      <c r="B38" s="105" t="s">
        <v>301</v>
      </c>
      <c r="C38" s="61"/>
      <c r="D38" s="61"/>
      <c r="E38" s="61"/>
    </row>
    <row r="39" spans="1:5" s="60" customFormat="1" ht="13" hidden="1" customHeight="1">
      <c r="A39" s="61"/>
      <c r="B39" s="105" t="s">
        <v>302</v>
      </c>
      <c r="C39" s="61"/>
      <c r="D39" s="61"/>
      <c r="E39" s="61"/>
    </row>
    <row r="40" spans="1:5" s="60" customFormat="1" ht="13" hidden="1" customHeight="1">
      <c r="A40" s="61"/>
      <c r="B40" s="105" t="s">
        <v>303</v>
      </c>
      <c r="C40" s="61"/>
      <c r="D40" s="61"/>
      <c r="E40" s="61"/>
    </row>
    <row r="41" spans="1:5" s="60" customFormat="1" ht="13" hidden="1" customHeight="1">
      <c r="A41" s="61"/>
      <c r="B41" s="105" t="s">
        <v>304</v>
      </c>
      <c r="C41" s="61"/>
      <c r="D41" s="61"/>
      <c r="E41" s="61"/>
    </row>
    <row r="42" spans="1:5" s="60" customFormat="1" ht="13" hidden="1" customHeight="1">
      <c r="A42" s="61"/>
      <c r="B42" s="105" t="s">
        <v>305</v>
      </c>
      <c r="C42" s="61"/>
      <c r="D42" s="61"/>
      <c r="E42" s="61"/>
    </row>
    <row r="43" spans="1:5" s="60" customFormat="1" ht="13" hidden="1" customHeight="1">
      <c r="A43" s="61"/>
      <c r="B43" s="105" t="s">
        <v>306</v>
      </c>
      <c r="C43" s="61"/>
      <c r="D43" s="61"/>
      <c r="E43" s="61"/>
    </row>
    <row r="44" spans="1:5" s="60" customFormat="1" ht="13" hidden="1" customHeight="1">
      <c r="A44" s="61"/>
      <c r="B44" s="105" t="s">
        <v>307</v>
      </c>
      <c r="C44" s="61"/>
      <c r="D44" s="61"/>
      <c r="E44" s="61"/>
    </row>
    <row r="45" spans="1:5" s="60" customFormat="1" ht="13" hidden="1" customHeight="1">
      <c r="A45" s="61"/>
      <c r="B45" s="105" t="s">
        <v>308</v>
      </c>
      <c r="C45" s="61"/>
      <c r="D45" s="61"/>
      <c r="E45" s="61"/>
    </row>
    <row r="46" spans="1:5" s="60" customFormat="1" ht="13" hidden="1" customHeight="1">
      <c r="A46" s="61"/>
      <c r="B46" s="105" t="s">
        <v>309</v>
      </c>
      <c r="C46" s="61"/>
      <c r="D46" s="61"/>
      <c r="E46" s="61"/>
    </row>
    <row r="47" spans="1:5" s="60" customFormat="1" ht="13" hidden="1" customHeight="1">
      <c r="A47" s="61"/>
      <c r="B47" s="105"/>
      <c r="C47" s="61"/>
      <c r="D47" s="61"/>
      <c r="E47" s="61"/>
    </row>
    <row r="48" spans="1:5" s="60" customFormat="1" ht="13" hidden="1" customHeight="1">
      <c r="A48" s="61"/>
      <c r="B48" s="105"/>
      <c r="C48" s="61"/>
      <c r="D48" s="61"/>
      <c r="E48" s="61"/>
    </row>
    <row r="49" spans="1:5" s="60" customFormat="1" ht="13" hidden="1" customHeight="1">
      <c r="A49" s="61"/>
      <c r="B49" s="105"/>
      <c r="C49" s="61"/>
      <c r="D49" s="61"/>
      <c r="E49" s="61"/>
    </row>
    <row r="50" spans="1:5" s="60" customFormat="1" ht="13" hidden="1" customHeight="1">
      <c r="A50" s="61"/>
      <c r="B50" s="105"/>
      <c r="C50" s="61"/>
      <c r="D50" s="61"/>
      <c r="E50" s="61"/>
    </row>
    <row r="51" spans="1:5" s="60" customFormat="1" ht="13" hidden="1" customHeight="1">
      <c r="A51" s="61"/>
      <c r="B51" s="105"/>
      <c r="C51" s="61"/>
      <c r="D51" s="61"/>
      <c r="E51" s="61"/>
    </row>
    <row r="52" spans="1:5" s="60" customFormat="1" ht="13" hidden="1" customHeight="1">
      <c r="A52" s="61"/>
      <c r="B52" s="105"/>
      <c r="C52" s="61"/>
      <c r="D52" s="61"/>
      <c r="E52" s="61"/>
    </row>
    <row r="53" spans="1:5" s="60" customFormat="1" ht="13" hidden="1" customHeight="1">
      <c r="A53" s="61"/>
      <c r="B53" s="105"/>
      <c r="C53" s="61"/>
      <c r="D53" s="61"/>
      <c r="E53" s="61"/>
    </row>
    <row r="54" spans="1:5" s="60" customFormat="1" ht="13" hidden="1" customHeight="1">
      <c r="A54" s="61"/>
      <c r="B54" s="61"/>
      <c r="C54" s="61"/>
      <c r="D54" s="61"/>
      <c r="E54" s="61"/>
    </row>
    <row r="55" spans="1:5" s="60" customFormat="1" ht="13" hidden="1" customHeight="1">
      <c r="A55" s="61"/>
      <c r="B55" s="61"/>
      <c r="C55" s="61"/>
      <c r="D55" s="61"/>
      <c r="E55" s="61"/>
    </row>
    <row r="56" spans="1:5" s="60" customFormat="1" ht="13" hidden="1" customHeight="1">
      <c r="A56" s="61"/>
      <c r="B56" s="61"/>
      <c r="C56" s="61"/>
      <c r="D56" s="61"/>
      <c r="E56" s="61"/>
    </row>
    <row r="57" spans="1:5" s="60" customFormat="1" ht="13" hidden="1" customHeight="1">
      <c r="A57" s="61"/>
      <c r="B57" s="61"/>
      <c r="C57" s="61"/>
      <c r="D57" s="61"/>
      <c r="E57" s="61"/>
    </row>
    <row r="58" spans="1:5" s="60" customFormat="1" ht="13" hidden="1" customHeight="1">
      <c r="A58" s="61"/>
      <c r="B58" s="61"/>
      <c r="C58" s="61"/>
      <c r="D58" s="61"/>
      <c r="E58" s="61"/>
    </row>
    <row r="59" spans="1:5" s="18" customFormat="1" ht="55" customHeight="1" thickBot="1">
      <c r="A59" s="116" t="s">
        <v>273</v>
      </c>
      <c r="B59" s="37"/>
      <c r="C59" s="37"/>
      <c r="D59" s="37"/>
      <c r="E59" s="37"/>
    </row>
    <row r="60" spans="1:5" s="18" customFormat="1">
      <c r="A60" s="37" t="str">
        <f>A6</f>
        <v>Size matrix</v>
      </c>
      <c r="B60" s="37"/>
      <c r="C60" s="37"/>
      <c r="D60" s="37"/>
      <c r="E60" s="37"/>
    </row>
    <row r="61" spans="1:5" s="18" customFormat="1">
      <c r="A61" s="36"/>
      <c r="B61" s="20" t="s">
        <v>132</v>
      </c>
      <c r="C61" s="20" t="s">
        <v>133</v>
      </c>
      <c r="D61" s="20" t="s">
        <v>134</v>
      </c>
    </row>
    <row r="62" spans="1:5" s="18" customFormat="1">
      <c r="A62" s="63" t="s">
        <v>135</v>
      </c>
      <c r="B62" s="139">
        <v>1</v>
      </c>
      <c r="C62" s="71">
        <v>6</v>
      </c>
      <c r="D62" s="71">
        <v>7</v>
      </c>
      <c r="E62" s="18" t="s">
        <v>218</v>
      </c>
    </row>
    <row r="63" spans="1:5" s="18" customFormat="1">
      <c r="A63" s="63" t="s">
        <v>136</v>
      </c>
      <c r="B63" s="71">
        <v>7</v>
      </c>
      <c r="C63" s="71">
        <v>8</v>
      </c>
      <c r="D63" s="71">
        <v>10</v>
      </c>
      <c r="E63" s="18" t="s">
        <v>218</v>
      </c>
    </row>
    <row r="64" spans="1:5" s="18" customFormat="1">
      <c r="A64" s="63" t="s">
        <v>137</v>
      </c>
      <c r="B64" s="71">
        <v>10</v>
      </c>
      <c r="C64" s="71">
        <v>13</v>
      </c>
      <c r="D64" s="71">
        <v>15</v>
      </c>
      <c r="E64" s="18" t="s">
        <v>218</v>
      </c>
    </row>
    <row r="65" spans="1:9" s="18" customFormat="1">
      <c r="A65" s="64" t="s">
        <v>138</v>
      </c>
      <c r="B65" s="71">
        <v>15</v>
      </c>
      <c r="C65" s="71">
        <v>19</v>
      </c>
      <c r="D65" s="71">
        <v>23</v>
      </c>
      <c r="E65" s="18" t="s">
        <v>218</v>
      </c>
    </row>
    <row r="66" spans="1:9" s="18" customFormat="1">
      <c r="A66" s="64" t="s">
        <v>139</v>
      </c>
      <c r="B66" s="71">
        <v>23</v>
      </c>
      <c r="C66" s="71">
        <v>28</v>
      </c>
      <c r="D66" s="140" t="s">
        <v>375</v>
      </c>
      <c r="E66" s="18" t="s">
        <v>218</v>
      </c>
    </row>
    <row r="67" spans="1:9" s="60" customFormat="1" ht="12.75" customHeight="1" thickBot="1">
      <c r="A67" s="18"/>
      <c r="B67" s="18"/>
      <c r="C67" s="18"/>
      <c r="D67" s="18"/>
      <c r="E67" s="18"/>
    </row>
    <row r="68" spans="1:9" s="18" customFormat="1">
      <c r="A68" s="37" t="str">
        <f>A7</f>
        <v>Component sizing</v>
      </c>
      <c r="B68" s="37"/>
      <c r="C68" s="37"/>
      <c r="D68" s="37"/>
      <c r="E68" s="37"/>
    </row>
    <row r="69" spans="1:9" s="60" customFormat="1" ht="12.75" customHeight="1">
      <c r="A69" s="43" t="s">
        <v>229</v>
      </c>
      <c r="B69" s="44" t="s">
        <v>235</v>
      </c>
      <c r="C69" s="61"/>
    </row>
    <row r="70" spans="1:9" s="60" customFormat="1" ht="12.75" customHeight="1">
      <c r="A70" s="65" t="str">
        <f>Architecture!C3</f>
        <v>ForecastedComponent01</v>
      </c>
      <c r="B70" s="72">
        <v>65</v>
      </c>
      <c r="C70" s="61" t="s">
        <v>140</v>
      </c>
    </row>
    <row r="71" spans="1:9" s="60" customFormat="1" ht="12.75" customHeight="1">
      <c r="A71" s="65" t="str">
        <f>Architecture!C10</f>
        <v>ForecastedComponent02</v>
      </c>
      <c r="B71" s="71">
        <v>93</v>
      </c>
      <c r="C71" s="61" t="s">
        <v>140</v>
      </c>
    </row>
    <row r="72" spans="1:9" s="60" customFormat="1" ht="12.75" customHeight="1">
      <c r="A72" s="65" t="str">
        <f>Architecture!C17</f>
        <v>ForecastedComponent03</v>
      </c>
      <c r="B72" s="71">
        <v>112</v>
      </c>
      <c r="C72" s="61" t="s">
        <v>140</v>
      </c>
      <c r="I72" s="94"/>
    </row>
    <row r="73" spans="1:9" s="60" customFormat="1" ht="12.75" customHeight="1">
      <c r="A73" s="65" t="str">
        <f>Architecture!C24</f>
        <v>ForecastedComponent04</v>
      </c>
      <c r="B73" s="71">
        <v>52</v>
      </c>
      <c r="C73" s="61" t="s">
        <v>140</v>
      </c>
    </row>
    <row r="74" spans="1:9" s="60" customFormat="1" ht="12.75" customHeight="1">
      <c r="A74" s="65" t="str">
        <f>Architecture!C31</f>
        <v>ForecastedComponent05</v>
      </c>
      <c r="B74" s="71">
        <v>44</v>
      </c>
      <c r="C74" s="61" t="s">
        <v>140</v>
      </c>
    </row>
    <row r="75" spans="1:9" s="60" customFormat="1" ht="12.75" customHeight="1">
      <c r="A75" s="65" t="str">
        <f>Architecture!C38</f>
        <v>ForecastedComponent06</v>
      </c>
      <c r="B75" s="71">
        <v>30</v>
      </c>
      <c r="C75" s="61" t="s">
        <v>140</v>
      </c>
      <c r="G75" s="94"/>
      <c r="I75" s="94"/>
    </row>
    <row r="76" spans="1:9" s="60" customFormat="1" ht="12.75" customHeight="1">
      <c r="A76" s="18"/>
      <c r="B76" s="18"/>
      <c r="C76" s="18"/>
    </row>
    <row r="77" spans="1:9" s="18" customFormat="1">
      <c r="A77" s="38" t="str">
        <f>A8</f>
        <v>Size calculations</v>
      </c>
      <c r="B77" s="38"/>
      <c r="C77" s="38"/>
      <c r="D77" s="38"/>
      <c r="E77" s="38"/>
    </row>
    <row r="78" spans="1:9" s="19" customFormat="1">
      <c r="A78" s="18" t="s">
        <v>215</v>
      </c>
      <c r="B78" s="73">
        <v>396</v>
      </c>
      <c r="C78" s="66" t="s">
        <v>140</v>
      </c>
      <c r="D78" s="42"/>
    </row>
    <row r="79" spans="1:9" s="19" customFormat="1">
      <c r="A79" s="18" t="s">
        <v>124</v>
      </c>
      <c r="B79" s="74">
        <v>835</v>
      </c>
      <c r="C79" s="66" t="s">
        <v>140</v>
      </c>
      <c r="D79" s="42"/>
    </row>
    <row r="80" spans="1:9" s="19" customFormat="1">
      <c r="A80" s="18" t="s">
        <v>121</v>
      </c>
      <c r="B80" s="74">
        <v>307</v>
      </c>
      <c r="C80" s="66" t="s">
        <v>140</v>
      </c>
      <c r="D80" s="2"/>
    </row>
    <row r="81" spans="1:5" s="19" customFormat="1">
      <c r="A81" s="18" t="s">
        <v>142</v>
      </c>
      <c r="B81" s="74">
        <v>1733</v>
      </c>
      <c r="C81" s="66" t="s">
        <v>140</v>
      </c>
      <c r="D81" s="2"/>
    </row>
    <row r="82" spans="1:5" s="19" customFormat="1">
      <c r="A82" s="18" t="s">
        <v>201</v>
      </c>
      <c r="B82" s="74" t="s">
        <v>414</v>
      </c>
      <c r="C82" s="66"/>
      <c r="D82" s="2"/>
    </row>
    <row r="83" spans="1:5" s="60" customFormat="1" ht="12.75" customHeight="1">
      <c r="A83" s="18"/>
      <c r="B83" s="18"/>
      <c r="C83" s="18"/>
    </row>
    <row r="84" spans="1:5" s="18" customFormat="1">
      <c r="A84" s="38" t="str">
        <f>A9</f>
        <v>Bottom-up effort calculations</v>
      </c>
      <c r="B84" s="38"/>
      <c r="C84" s="38"/>
      <c r="D84" s="38"/>
      <c r="E84" s="38"/>
    </row>
    <row r="85" spans="1:5" s="19" customFormat="1">
      <c r="A85" s="18" t="s">
        <v>143</v>
      </c>
      <c r="B85" s="74">
        <v>17</v>
      </c>
      <c r="C85" s="66" t="s">
        <v>144</v>
      </c>
      <c r="D85" s="2"/>
    </row>
    <row r="86" spans="1:5" s="19" customFormat="1">
      <c r="A86" s="18" t="s">
        <v>216</v>
      </c>
      <c r="B86" s="74">
        <v>2883</v>
      </c>
      <c r="C86" s="66" t="s">
        <v>145</v>
      </c>
      <c r="D86" s="2"/>
    </row>
    <row r="87" spans="1:5" s="19" customFormat="1">
      <c r="A87" s="18" t="s">
        <v>141</v>
      </c>
      <c r="B87" s="74">
        <v>1670</v>
      </c>
      <c r="C87" s="66" t="s">
        <v>145</v>
      </c>
      <c r="D87" s="2"/>
    </row>
    <row r="88" spans="1:5" s="19" customFormat="1">
      <c r="A88" s="18" t="s">
        <v>142</v>
      </c>
      <c r="B88" s="74">
        <v>4175</v>
      </c>
      <c r="C88" s="66" t="s">
        <v>145</v>
      </c>
      <c r="D88" s="2"/>
    </row>
    <row r="89" spans="1:5" s="19" customFormat="1">
      <c r="A89" s="18" t="s">
        <v>201</v>
      </c>
      <c r="B89" s="74" t="s">
        <v>422</v>
      </c>
      <c r="C89" s="66"/>
      <c r="D89" s="2"/>
    </row>
    <row r="90" spans="1:5" s="19" customFormat="1">
      <c r="A90" s="18"/>
      <c r="B90" s="48"/>
      <c r="C90" s="48"/>
      <c r="D90" s="48"/>
      <c r="E90" s="48"/>
    </row>
    <row r="91" spans="1:5" s="19" customFormat="1" ht="14" customHeight="1">
      <c r="A91" s="138" t="s">
        <v>373</v>
      </c>
      <c r="B91" s="74">
        <v>1442</v>
      </c>
      <c r="C91" s="97" t="s">
        <v>171</v>
      </c>
      <c r="D91" s="2"/>
    </row>
    <row r="92" spans="1:5" s="19" customFormat="1">
      <c r="B92" s="97"/>
      <c r="C92" s="97"/>
      <c r="D92" s="2"/>
    </row>
    <row r="93" spans="1:5" s="18" customFormat="1">
      <c r="A93" s="107" t="str">
        <f>A10</f>
        <v>Top-down effort calculations</v>
      </c>
      <c r="B93" s="38"/>
      <c r="C93" s="38"/>
      <c r="D93" s="38"/>
      <c r="E93" s="38"/>
    </row>
    <row r="94" spans="1:5">
      <c r="A94" s="134" t="s">
        <v>371</v>
      </c>
      <c r="B94" s="137">
        <v>2.4</v>
      </c>
      <c r="C94" s="134" t="s">
        <v>369</v>
      </c>
    </row>
    <row r="95" spans="1:5">
      <c r="A95" s="66" t="s">
        <v>367</v>
      </c>
      <c r="B95" s="137">
        <v>7.5</v>
      </c>
      <c r="C95" s="66" t="s">
        <v>369</v>
      </c>
    </row>
    <row r="96" spans="1:5">
      <c r="A96" s="66" t="s">
        <v>368</v>
      </c>
      <c r="B96" s="137">
        <v>2.1</v>
      </c>
      <c r="C96" s="66" t="s">
        <v>369</v>
      </c>
    </row>
  </sheetData>
  <sheetProtection sheet="1" objects="1" scenarios="1"/>
  <mergeCells count="10">
    <mergeCell ref="A13:G13"/>
    <mergeCell ref="D8:G8"/>
    <mergeCell ref="D10:G10"/>
    <mergeCell ref="D11:G11"/>
    <mergeCell ref="B1:D1"/>
    <mergeCell ref="B2:D2"/>
    <mergeCell ref="D5:G5"/>
    <mergeCell ref="D6:G6"/>
    <mergeCell ref="D7:G7"/>
    <mergeCell ref="D9:G9"/>
  </mergeCells>
  <phoneticPr fontId="11" type="noConversion"/>
  <dataValidations count="1">
    <dataValidation type="list" allowBlank="1" showInputMessage="1" showErrorMessage="1" sqref="B89:B90 B82" xr:uid="{00000000-0002-0000-0800-000000000000}">
      <formula1>$A$32:$A$35</formula1>
    </dataValidation>
  </dataValidations>
  <pageMargins left="0.75" right="0.75" top="1" bottom="1" header="0.5" footer="0.5"/>
  <pageSetup scale="86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N92"/>
  <sheetViews>
    <sheetView showGridLines="0" zoomScale="125" workbookViewId="0">
      <selection activeCell="C6" sqref="C6"/>
    </sheetView>
  </sheetViews>
  <sheetFormatPr baseColWidth="10" defaultColWidth="7.6640625" defaultRowHeight="13"/>
  <cols>
    <col min="1" max="5" width="12.83203125" style="4" customWidth="1"/>
    <col min="6" max="7" width="7.6640625" style="4"/>
    <col min="8" max="8" width="11.33203125" style="4" customWidth="1"/>
    <col min="9" max="9" width="10" style="4" customWidth="1"/>
    <col min="10" max="10" width="7.6640625" style="4"/>
    <col min="11" max="11" width="10" style="4" customWidth="1"/>
    <col min="12" max="12" width="11.6640625" style="4" customWidth="1"/>
    <col min="13" max="13" width="14" style="4" customWidth="1"/>
    <col min="14" max="14" width="11.33203125" style="4" customWidth="1"/>
    <col min="15" max="15" width="14" style="4" customWidth="1"/>
    <col min="16" max="16384" width="7.6640625" style="4"/>
  </cols>
  <sheetData>
    <row r="1" spans="1:14" ht="16">
      <c r="A1" s="168" t="s">
        <v>184</v>
      </c>
      <c r="B1" s="168"/>
      <c r="C1" s="168"/>
      <c r="D1" s="168"/>
      <c r="E1" s="168"/>
    </row>
    <row r="2" spans="1:14">
      <c r="A2" s="169" t="str">
        <f>Solution!A60</f>
        <v>Size matrix</v>
      </c>
      <c r="B2" s="169"/>
      <c r="C2" s="169"/>
      <c r="D2" s="169"/>
      <c r="E2" s="169"/>
    </row>
    <row r="5" spans="1:14">
      <c r="A5" s="36"/>
      <c r="B5" s="20" t="s">
        <v>132</v>
      </c>
      <c r="C5" s="20" t="s">
        <v>133</v>
      </c>
      <c r="D5" s="20" t="s">
        <v>134</v>
      </c>
      <c r="E5" s="18"/>
      <c r="H5" s="81" t="s">
        <v>109</v>
      </c>
      <c r="I5" s="81" t="s">
        <v>110</v>
      </c>
      <c r="J5" s="81" t="s">
        <v>190</v>
      </c>
      <c r="K5" s="81" t="s">
        <v>174</v>
      </c>
      <c r="L5" s="171" t="s">
        <v>380</v>
      </c>
      <c r="M5" s="171" t="s">
        <v>381</v>
      </c>
      <c r="N5" s="171" t="s">
        <v>382</v>
      </c>
    </row>
    <row r="6" spans="1:14">
      <c r="A6" s="63" t="s">
        <v>135</v>
      </c>
      <c r="B6" s="139">
        <v>1</v>
      </c>
      <c r="C6" s="71">
        <f>EXP(B14 - 2 * B15)</f>
        <v>5.570714685163459</v>
      </c>
      <c r="D6" s="71">
        <f>EXP(B14 - 1.5 * B15)</f>
        <v>6.819219248924953</v>
      </c>
      <c r="E6" s="18" t="s">
        <v>218</v>
      </c>
      <c r="H6" s="83" t="s">
        <v>311</v>
      </c>
      <c r="I6" s="179">
        <v>14</v>
      </c>
      <c r="J6" s="179">
        <v>1</v>
      </c>
      <c r="K6" s="179" t="s">
        <v>191</v>
      </c>
      <c r="L6" s="172">
        <f>I6/J6</f>
        <v>14</v>
      </c>
      <c r="M6" s="172">
        <f>LN(L6)</f>
        <v>2.6390573296152584</v>
      </c>
      <c r="N6" s="78" t="str">
        <f>IF(L6&lt;$D$6, "VS", IF(L6&lt;$D$7, "S", IF(L6&lt;$D$8, "M", IF(L6&lt;$D$9, "L", "VL"))))</f>
        <v>M</v>
      </c>
    </row>
    <row r="7" spans="1:14">
      <c r="A7" s="63" t="s">
        <v>136</v>
      </c>
      <c r="B7" s="71">
        <f>EXP(B14 - 1.5 * B15)</f>
        <v>6.819219248924953</v>
      </c>
      <c r="C7" s="71">
        <f>EXP(B14 - B15)</f>
        <v>8.3475377564672595</v>
      </c>
      <c r="D7" s="71">
        <f>EXP(B14 - 0.5 * B15)</f>
        <v>10.218381907376232</v>
      </c>
      <c r="E7" s="18" t="s">
        <v>218</v>
      </c>
      <c r="H7" t="s">
        <v>312</v>
      </c>
      <c r="I7" s="180">
        <v>152</v>
      </c>
      <c r="J7" s="180">
        <v>14</v>
      </c>
      <c r="K7" s="180" t="s">
        <v>191</v>
      </c>
      <c r="L7" s="172">
        <f>I7/J7</f>
        <v>10.857142857142858</v>
      </c>
      <c r="M7" s="172">
        <f t="shared" ref="M7:M70" si="0">LN(L7)</f>
        <v>2.3848231912310176</v>
      </c>
      <c r="N7" s="78" t="str">
        <f t="shared" ref="N7:N70" si="1">IF(L7&lt;$D$6, "VS", IF(L7&lt;$D$7, "S", IF(L7&lt;$D$8, "M", IF(L7&lt;$D$9, "L", "VL"))))</f>
        <v>M</v>
      </c>
    </row>
    <row r="8" spans="1:14">
      <c r="A8" s="63" t="s">
        <v>137</v>
      </c>
      <c r="B8" s="71">
        <f>EXP(B14 - 0.5 * B15)</f>
        <v>10.218381907376232</v>
      </c>
      <c r="C8" s="71">
        <f>EXP(B14)</f>
        <v>12.508518302190129</v>
      </c>
      <c r="D8" s="71">
        <f>EXP(B14 + 0.5 * B15)</f>
        <v>15.311918416680159</v>
      </c>
      <c r="E8" s="18" t="s">
        <v>218</v>
      </c>
      <c r="H8" s="83" t="s">
        <v>313</v>
      </c>
      <c r="I8" s="179">
        <v>71</v>
      </c>
      <c r="J8" s="179">
        <v>7</v>
      </c>
      <c r="K8" s="179" t="s">
        <v>175</v>
      </c>
      <c r="L8" s="172">
        <f>I8/J8</f>
        <v>10.142857142857142</v>
      </c>
      <c r="M8" s="172">
        <f t="shared" si="0"/>
        <v>2.316769727986002</v>
      </c>
      <c r="N8" s="78" t="str">
        <f t="shared" si="1"/>
        <v>S</v>
      </c>
    </row>
    <row r="9" spans="1:14">
      <c r="A9" s="64" t="s">
        <v>138</v>
      </c>
      <c r="B9" s="71">
        <f>EXP(B14 + 0.5 * B15)</f>
        <v>15.311918416680159</v>
      </c>
      <c r="C9" s="71">
        <f>EXP(B14 + B15)</f>
        <v>18.743614546098414</v>
      </c>
      <c r="D9" s="71">
        <f>EXP(B14 + 1.5 * B15)</f>
        <v>22.944419940873996</v>
      </c>
      <c r="E9" s="18" t="s">
        <v>218</v>
      </c>
      <c r="H9" t="s">
        <v>314</v>
      </c>
      <c r="I9" s="180">
        <v>341</v>
      </c>
      <c r="J9" s="180">
        <v>26</v>
      </c>
      <c r="K9" s="180" t="s">
        <v>62</v>
      </c>
      <c r="L9" s="172">
        <f>I9/J9</f>
        <v>13.115384615384615</v>
      </c>
      <c r="M9" s="172">
        <f t="shared" si="0"/>
        <v>2.5737859392620348</v>
      </c>
      <c r="N9" s="78" t="str">
        <f t="shared" si="1"/>
        <v>M</v>
      </c>
    </row>
    <row r="10" spans="1:14">
      <c r="A10" s="64" t="s">
        <v>139</v>
      </c>
      <c r="B10" s="71">
        <f>EXP(B14 + 1.5 * B15)</f>
        <v>22.944419940873996</v>
      </c>
      <c r="C10" s="71">
        <f>EXP(B14 + 2 * B15)</f>
        <v>28.086706815722412</v>
      </c>
      <c r="D10" s="140" t="s">
        <v>375</v>
      </c>
      <c r="E10" s="18" t="s">
        <v>218</v>
      </c>
      <c r="H10" s="83" t="s">
        <v>315</v>
      </c>
      <c r="I10" s="179">
        <v>19</v>
      </c>
      <c r="J10" s="179">
        <v>1</v>
      </c>
      <c r="K10" s="179" t="s">
        <v>191</v>
      </c>
      <c r="L10" s="172">
        <f>I10/J10</f>
        <v>19</v>
      </c>
      <c r="M10" s="172">
        <f t="shared" si="0"/>
        <v>2.9444389791664403</v>
      </c>
      <c r="N10" s="78" t="str">
        <f t="shared" si="1"/>
        <v>L</v>
      </c>
    </row>
    <row r="11" spans="1:14">
      <c r="H11" t="s">
        <v>316</v>
      </c>
      <c r="I11" s="180">
        <v>38</v>
      </c>
      <c r="J11" s="180">
        <v>1</v>
      </c>
      <c r="K11" s="180" t="s">
        <v>192</v>
      </c>
      <c r="L11" s="172">
        <f>I11/J11</f>
        <v>38</v>
      </c>
      <c r="M11" s="172">
        <f t="shared" si="0"/>
        <v>3.6375861597263857</v>
      </c>
      <c r="N11" s="78" t="str">
        <f t="shared" si="1"/>
        <v>VL</v>
      </c>
    </row>
    <row r="12" spans="1:14">
      <c r="H12" s="83" t="s">
        <v>317</v>
      </c>
      <c r="I12" s="179">
        <v>56</v>
      </c>
      <c r="J12" s="179">
        <v>6</v>
      </c>
      <c r="K12" s="179" t="s">
        <v>62</v>
      </c>
      <c r="L12" s="172">
        <f>I12/J12</f>
        <v>9.3333333333333339</v>
      </c>
      <c r="M12" s="172">
        <f t="shared" si="0"/>
        <v>2.2335922215070942</v>
      </c>
      <c r="N12" s="78" t="str">
        <f t="shared" si="1"/>
        <v>S</v>
      </c>
    </row>
    <row r="13" spans="1:14">
      <c r="H13" t="s">
        <v>318</v>
      </c>
      <c r="I13" s="180">
        <v>16</v>
      </c>
      <c r="J13" s="180">
        <v>1</v>
      </c>
      <c r="K13" s="180" t="s">
        <v>175</v>
      </c>
      <c r="L13" s="172">
        <f>I13/J13</f>
        <v>16</v>
      </c>
      <c r="M13" s="172">
        <f t="shared" si="0"/>
        <v>2.7725887222397811</v>
      </c>
      <c r="N13" s="78" t="str">
        <f t="shared" si="1"/>
        <v>L</v>
      </c>
    </row>
    <row r="14" spans="1:14">
      <c r="A14" s="170" t="s">
        <v>378</v>
      </c>
      <c r="B14" s="174">
        <f>AVERAGE(M6:M91)</f>
        <v>2.5264098763921901</v>
      </c>
      <c r="H14" s="83" t="s">
        <v>319</v>
      </c>
      <c r="I14" s="179">
        <v>224</v>
      </c>
      <c r="J14" s="179">
        <v>17</v>
      </c>
      <c r="K14" s="179" t="s">
        <v>62</v>
      </c>
      <c r="L14" s="172">
        <f>I14/J14</f>
        <v>13.176470588235293</v>
      </c>
      <c r="M14" s="172">
        <f t="shared" si="0"/>
        <v>2.5784327077988238</v>
      </c>
      <c r="N14" s="78" t="str">
        <f t="shared" si="1"/>
        <v>M</v>
      </c>
    </row>
    <row r="15" spans="1:14">
      <c r="A15" s="170" t="s">
        <v>379</v>
      </c>
      <c r="B15" s="175">
        <f>STDEV(M6:M91)</f>
        <v>0.40444326047992307</v>
      </c>
      <c r="H15" t="s">
        <v>63</v>
      </c>
      <c r="I15" s="180">
        <v>296</v>
      </c>
      <c r="J15" s="180">
        <v>24</v>
      </c>
      <c r="K15" s="180" t="s">
        <v>192</v>
      </c>
      <c r="L15" s="172">
        <f>I15/J15</f>
        <v>12.333333333333334</v>
      </c>
      <c r="M15" s="172">
        <f t="shared" si="0"/>
        <v>2.5123056239761148</v>
      </c>
      <c r="N15" s="78" t="str">
        <f t="shared" si="1"/>
        <v>M</v>
      </c>
    </row>
    <row r="16" spans="1:14">
      <c r="H16" s="83" t="s">
        <v>64</v>
      </c>
      <c r="I16" s="179">
        <v>225</v>
      </c>
      <c r="J16" s="179">
        <v>16</v>
      </c>
      <c r="K16" s="179" t="s">
        <v>62</v>
      </c>
      <c r="L16" s="172">
        <f>I16/J16</f>
        <v>14.0625</v>
      </c>
      <c r="M16" s="172">
        <f t="shared" si="0"/>
        <v>2.643511679964639</v>
      </c>
      <c r="N16" s="78" t="str">
        <f t="shared" si="1"/>
        <v>M</v>
      </c>
    </row>
    <row r="17" spans="1:14">
      <c r="H17" t="s">
        <v>65</v>
      </c>
      <c r="I17" s="180">
        <v>82</v>
      </c>
      <c r="J17" s="180">
        <v>4</v>
      </c>
      <c r="K17" s="180" t="s">
        <v>62</v>
      </c>
      <c r="L17" s="172">
        <f>I17/J17</f>
        <v>20.5</v>
      </c>
      <c r="M17" s="172">
        <f t="shared" si="0"/>
        <v>3.0204248861443626</v>
      </c>
      <c r="N17" s="78" t="str">
        <f t="shared" si="1"/>
        <v>L</v>
      </c>
    </row>
    <row r="18" spans="1:14">
      <c r="H18" s="83" t="s">
        <v>66</v>
      </c>
      <c r="I18" s="179">
        <v>28</v>
      </c>
      <c r="J18" s="179">
        <v>2</v>
      </c>
      <c r="K18" s="179" t="s">
        <v>62</v>
      </c>
      <c r="L18" s="172">
        <f>I18/J18</f>
        <v>14</v>
      </c>
      <c r="M18" s="172">
        <f t="shared" si="0"/>
        <v>2.6390573296152584</v>
      </c>
      <c r="N18" s="78" t="str">
        <f t="shared" si="1"/>
        <v>M</v>
      </c>
    </row>
    <row r="19" spans="1:14">
      <c r="H19" t="s">
        <v>67</v>
      </c>
      <c r="I19" s="180">
        <v>19</v>
      </c>
      <c r="J19" s="180">
        <v>2</v>
      </c>
      <c r="K19" s="180" t="s">
        <v>191</v>
      </c>
      <c r="L19" s="172">
        <f>I19/J19</f>
        <v>9.5</v>
      </c>
      <c r="M19" s="172">
        <f t="shared" si="0"/>
        <v>2.2512917986064953</v>
      </c>
      <c r="N19" s="78" t="str">
        <f t="shared" si="1"/>
        <v>S</v>
      </c>
    </row>
    <row r="20" spans="1:14">
      <c r="H20" s="83" t="s">
        <v>68</v>
      </c>
      <c r="I20" s="179">
        <v>112</v>
      </c>
      <c r="J20" s="179">
        <v>7</v>
      </c>
      <c r="K20" s="179" t="s">
        <v>192</v>
      </c>
      <c r="L20" s="172">
        <f>I20/J20</f>
        <v>16</v>
      </c>
      <c r="M20" s="172">
        <f t="shared" si="0"/>
        <v>2.7725887222397811</v>
      </c>
      <c r="N20" s="78" t="str">
        <f t="shared" si="1"/>
        <v>L</v>
      </c>
    </row>
    <row r="21" spans="1:14">
      <c r="H21" t="s">
        <v>69</v>
      </c>
      <c r="I21" s="180">
        <v>16</v>
      </c>
      <c r="J21" s="180">
        <v>1</v>
      </c>
      <c r="K21" s="130" t="s">
        <v>175</v>
      </c>
      <c r="L21" s="172">
        <f>I21/J21</f>
        <v>16</v>
      </c>
      <c r="M21" s="172">
        <f t="shared" si="0"/>
        <v>2.7725887222397811</v>
      </c>
      <c r="N21" s="78" t="str">
        <f t="shared" si="1"/>
        <v>L</v>
      </c>
    </row>
    <row r="22" spans="1:14">
      <c r="A22" s="178"/>
      <c r="H22" s="83" t="s">
        <v>70</v>
      </c>
      <c r="I22" s="179">
        <v>235</v>
      </c>
      <c r="J22" s="179">
        <v>19</v>
      </c>
      <c r="K22" s="179" t="s">
        <v>175</v>
      </c>
      <c r="L22" s="172">
        <f>I22/J22</f>
        <v>12.368421052631579</v>
      </c>
      <c r="M22" s="172">
        <f t="shared" si="0"/>
        <v>2.5151465349777187</v>
      </c>
      <c r="N22" s="78" t="str">
        <f t="shared" si="1"/>
        <v>M</v>
      </c>
    </row>
    <row r="23" spans="1:14">
      <c r="A23" s="178"/>
      <c r="H23" t="s">
        <v>71</v>
      </c>
      <c r="I23" s="180">
        <v>129</v>
      </c>
      <c r="J23" s="180">
        <v>10</v>
      </c>
      <c r="K23" s="180" t="s">
        <v>175</v>
      </c>
      <c r="L23" s="172">
        <f>I23/J23</f>
        <v>12.9</v>
      </c>
      <c r="M23" s="172">
        <f t="shared" si="0"/>
        <v>2.5572273113676265</v>
      </c>
      <c r="N23" s="78" t="str">
        <f t="shared" si="1"/>
        <v>M</v>
      </c>
    </row>
    <row r="24" spans="1:14">
      <c r="A24" s="178"/>
      <c r="H24" s="83" t="s">
        <v>72</v>
      </c>
      <c r="I24" s="179">
        <v>83</v>
      </c>
      <c r="J24" s="179">
        <v>8</v>
      </c>
      <c r="K24" s="179" t="s">
        <v>175</v>
      </c>
      <c r="L24" s="172">
        <f>I24/J24</f>
        <v>10.375</v>
      </c>
      <c r="M24" s="172">
        <f t="shared" si="0"/>
        <v>2.3393990661167621</v>
      </c>
      <c r="N24" s="78" t="str">
        <f t="shared" si="1"/>
        <v>M</v>
      </c>
    </row>
    <row r="25" spans="1:14">
      <c r="A25" s="178"/>
      <c r="H25" t="s">
        <v>73</v>
      </c>
      <c r="I25" s="180">
        <v>104</v>
      </c>
      <c r="J25" s="180">
        <v>9</v>
      </c>
      <c r="K25" s="180" t="s">
        <v>192</v>
      </c>
      <c r="L25" s="172">
        <f>I25/J25</f>
        <v>11.555555555555555</v>
      </c>
      <c r="M25" s="172">
        <f t="shared" si="0"/>
        <v>2.4471663218051534</v>
      </c>
      <c r="N25" s="78" t="str">
        <f t="shared" si="1"/>
        <v>M</v>
      </c>
    </row>
    <row r="26" spans="1:14">
      <c r="A26" s="178"/>
      <c r="H26" s="83" t="s">
        <v>74</v>
      </c>
      <c r="I26" s="179">
        <v>139</v>
      </c>
      <c r="J26" s="179">
        <v>12</v>
      </c>
      <c r="K26" s="179" t="s">
        <v>192</v>
      </c>
      <c r="L26" s="172">
        <f>I26/J26</f>
        <v>11.583333333333334</v>
      </c>
      <c r="M26" s="172">
        <f t="shared" si="0"/>
        <v>2.4495672833426916</v>
      </c>
      <c r="N26" s="78" t="str">
        <f t="shared" si="1"/>
        <v>M</v>
      </c>
    </row>
    <row r="27" spans="1:14">
      <c r="B27" s="177"/>
      <c r="C27" s="177"/>
      <c r="D27" s="177"/>
      <c r="H27" t="s">
        <v>75</v>
      </c>
      <c r="I27" s="180">
        <v>77</v>
      </c>
      <c r="J27" s="180">
        <v>3</v>
      </c>
      <c r="K27" s="180" t="s">
        <v>192</v>
      </c>
      <c r="L27" s="172">
        <f>I27/J27</f>
        <v>25.666666666666668</v>
      </c>
      <c r="M27" s="172">
        <f t="shared" si="0"/>
        <v>3.2451931331855741</v>
      </c>
      <c r="N27" s="78" t="str">
        <f t="shared" si="1"/>
        <v>VL</v>
      </c>
    </row>
    <row r="28" spans="1:14">
      <c r="B28" s="177"/>
      <c r="C28" s="177"/>
      <c r="D28" s="177"/>
      <c r="H28" s="83" t="s">
        <v>76</v>
      </c>
      <c r="I28" s="179">
        <v>23</v>
      </c>
      <c r="J28" s="179">
        <v>2</v>
      </c>
      <c r="K28" s="179" t="s">
        <v>192</v>
      </c>
      <c r="L28" s="172">
        <f>I28/J28</f>
        <v>11.5</v>
      </c>
      <c r="M28" s="172">
        <f t="shared" si="0"/>
        <v>2.4423470353692043</v>
      </c>
      <c r="N28" s="78" t="str">
        <f t="shared" si="1"/>
        <v>M</v>
      </c>
    </row>
    <row r="29" spans="1:14">
      <c r="H29" t="s">
        <v>77</v>
      </c>
      <c r="I29" s="180">
        <v>209</v>
      </c>
      <c r="J29" s="180">
        <v>17</v>
      </c>
      <c r="K29" s="180" t="s">
        <v>62</v>
      </c>
      <c r="L29" s="172">
        <f>I29/J29</f>
        <v>12.294117647058824</v>
      </c>
      <c r="M29" s="172">
        <f t="shared" si="0"/>
        <v>2.5091209079085948</v>
      </c>
      <c r="N29" s="78" t="str">
        <f t="shared" si="1"/>
        <v>M</v>
      </c>
    </row>
    <row r="30" spans="1:14">
      <c r="H30" s="83" t="s">
        <v>78</v>
      </c>
      <c r="I30" s="179">
        <v>33</v>
      </c>
      <c r="J30" s="179">
        <v>3</v>
      </c>
      <c r="K30" s="179" t="s">
        <v>175</v>
      </c>
      <c r="L30" s="172">
        <f>I30/J30</f>
        <v>11</v>
      </c>
      <c r="M30" s="172">
        <f t="shared" si="0"/>
        <v>2.3978952727983707</v>
      </c>
      <c r="N30" s="78" t="str">
        <f t="shared" si="1"/>
        <v>M</v>
      </c>
    </row>
    <row r="31" spans="1:14">
      <c r="H31" t="s">
        <v>79</v>
      </c>
      <c r="I31" s="180">
        <v>89</v>
      </c>
      <c r="J31" s="180">
        <v>5</v>
      </c>
      <c r="K31" s="180" t="s">
        <v>62</v>
      </c>
      <c r="L31" s="172">
        <f>I31/J31</f>
        <v>17.8</v>
      </c>
      <c r="M31" s="172">
        <f t="shared" si="0"/>
        <v>2.8791984572980396</v>
      </c>
      <c r="N31" s="78" t="str">
        <f t="shared" si="1"/>
        <v>L</v>
      </c>
    </row>
    <row r="32" spans="1:14">
      <c r="H32" s="83" t="s">
        <v>80</v>
      </c>
      <c r="I32" s="179">
        <v>167</v>
      </c>
      <c r="J32" s="179">
        <v>13</v>
      </c>
      <c r="K32" s="179" t="s">
        <v>62</v>
      </c>
      <c r="L32" s="172">
        <f>I32/J32</f>
        <v>12.846153846153847</v>
      </c>
      <c r="M32" s="172">
        <f t="shared" si="0"/>
        <v>2.5530444549552183</v>
      </c>
      <c r="N32" s="78" t="str">
        <f t="shared" si="1"/>
        <v>M</v>
      </c>
    </row>
    <row r="33" spans="8:14">
      <c r="H33" t="s">
        <v>81</v>
      </c>
      <c r="I33" s="180">
        <v>119</v>
      </c>
      <c r="J33" s="180">
        <v>11</v>
      </c>
      <c r="K33" s="180" t="s">
        <v>192</v>
      </c>
      <c r="L33" s="172">
        <f>I33/J33</f>
        <v>10.818181818181818</v>
      </c>
      <c r="M33" s="172">
        <f t="shared" si="0"/>
        <v>2.3812282203131589</v>
      </c>
      <c r="N33" s="78" t="str">
        <f t="shared" si="1"/>
        <v>M</v>
      </c>
    </row>
    <row r="34" spans="8:14">
      <c r="H34" s="83" t="s">
        <v>82</v>
      </c>
      <c r="I34" s="179">
        <v>104</v>
      </c>
      <c r="J34" s="179">
        <v>7</v>
      </c>
      <c r="K34" s="179" t="s">
        <v>175</v>
      </c>
      <c r="L34" s="172">
        <f>I34/J34</f>
        <v>14.857142857142858</v>
      </c>
      <c r="M34" s="172">
        <f t="shared" si="0"/>
        <v>2.6984807500860595</v>
      </c>
      <c r="N34" s="78" t="str">
        <f t="shared" si="1"/>
        <v>M</v>
      </c>
    </row>
    <row r="35" spans="8:14">
      <c r="H35" t="s">
        <v>83</v>
      </c>
      <c r="I35" s="180">
        <v>15</v>
      </c>
      <c r="J35" s="180">
        <v>3</v>
      </c>
      <c r="K35" s="180" t="s">
        <v>175</v>
      </c>
      <c r="L35" s="172">
        <f>I35/J35</f>
        <v>5</v>
      </c>
      <c r="M35" s="172">
        <f t="shared" si="0"/>
        <v>1.6094379124341003</v>
      </c>
      <c r="N35" s="78" t="str">
        <f t="shared" si="1"/>
        <v>VS</v>
      </c>
    </row>
    <row r="36" spans="8:14">
      <c r="H36" s="83" t="s">
        <v>84</v>
      </c>
      <c r="I36" s="179">
        <v>42</v>
      </c>
      <c r="J36" s="179">
        <v>3</v>
      </c>
      <c r="K36" s="179" t="s">
        <v>175</v>
      </c>
      <c r="L36" s="172">
        <f>I36/J36</f>
        <v>14</v>
      </c>
      <c r="M36" s="172">
        <f t="shared" si="0"/>
        <v>2.6390573296152584</v>
      </c>
      <c r="N36" s="78" t="str">
        <f t="shared" si="1"/>
        <v>M</v>
      </c>
    </row>
    <row r="37" spans="8:14">
      <c r="H37" t="s">
        <v>85</v>
      </c>
      <c r="I37" s="180">
        <v>126</v>
      </c>
      <c r="J37" s="180">
        <v>11</v>
      </c>
      <c r="K37" s="180" t="s">
        <v>191</v>
      </c>
      <c r="L37" s="172">
        <f>I37/J37</f>
        <v>11.454545454545455</v>
      </c>
      <c r="M37" s="172">
        <f t="shared" si="0"/>
        <v>2.4383866341531073</v>
      </c>
      <c r="N37" s="78" t="str">
        <f t="shared" si="1"/>
        <v>M</v>
      </c>
    </row>
    <row r="38" spans="8:14">
      <c r="H38" s="83" t="s">
        <v>86</v>
      </c>
      <c r="I38" s="179">
        <v>117</v>
      </c>
      <c r="J38" s="179">
        <v>7</v>
      </c>
      <c r="K38" s="179" t="s">
        <v>192</v>
      </c>
      <c r="L38" s="172">
        <f>I38/J38</f>
        <v>16.714285714285715</v>
      </c>
      <c r="M38" s="172">
        <f t="shared" si="0"/>
        <v>2.8162637857424428</v>
      </c>
      <c r="N38" s="78" t="str">
        <f t="shared" si="1"/>
        <v>L</v>
      </c>
    </row>
    <row r="39" spans="8:14">
      <c r="H39" t="s">
        <v>87</v>
      </c>
      <c r="I39" s="180">
        <v>106</v>
      </c>
      <c r="J39" s="180">
        <v>8</v>
      </c>
      <c r="K39" s="180" t="s">
        <v>191</v>
      </c>
      <c r="L39" s="172">
        <f>I39/J39</f>
        <v>13.25</v>
      </c>
      <c r="M39" s="172">
        <f t="shared" si="0"/>
        <v>2.5839975524322312</v>
      </c>
      <c r="N39" s="78" t="str">
        <f t="shared" si="1"/>
        <v>M</v>
      </c>
    </row>
    <row r="40" spans="8:14">
      <c r="H40" s="83" t="s">
        <v>0</v>
      </c>
      <c r="I40" s="179">
        <v>140</v>
      </c>
      <c r="J40" s="179">
        <v>13</v>
      </c>
      <c r="K40" s="179" t="s">
        <v>191</v>
      </c>
      <c r="L40" s="172">
        <f>I40/J40</f>
        <v>10.76923076923077</v>
      </c>
      <c r="M40" s="172">
        <f t="shared" si="0"/>
        <v>2.3766930651477676</v>
      </c>
      <c r="N40" s="78" t="str">
        <f t="shared" si="1"/>
        <v>M</v>
      </c>
    </row>
    <row r="41" spans="8:14">
      <c r="H41" t="s">
        <v>1</v>
      </c>
      <c r="I41" s="180">
        <v>9</v>
      </c>
      <c r="J41" s="180">
        <v>1</v>
      </c>
      <c r="K41" s="180" t="s">
        <v>191</v>
      </c>
      <c r="L41" s="172">
        <f>I41/J41</f>
        <v>9</v>
      </c>
      <c r="M41" s="172">
        <f t="shared" si="0"/>
        <v>2.1972245773362196</v>
      </c>
      <c r="N41" s="78" t="str">
        <f t="shared" si="1"/>
        <v>S</v>
      </c>
    </row>
    <row r="42" spans="8:14">
      <c r="H42" s="83" t="s">
        <v>2</v>
      </c>
      <c r="I42" s="179">
        <v>194</v>
      </c>
      <c r="J42" s="179">
        <v>15</v>
      </c>
      <c r="K42" s="179" t="s">
        <v>175</v>
      </c>
      <c r="L42" s="172">
        <f>I42/J42</f>
        <v>12.933333333333334</v>
      </c>
      <c r="M42" s="172">
        <f t="shared" si="0"/>
        <v>2.5598079579611182</v>
      </c>
      <c r="N42" s="78" t="str">
        <f t="shared" si="1"/>
        <v>M</v>
      </c>
    </row>
    <row r="43" spans="8:14">
      <c r="H43" t="s">
        <v>3</v>
      </c>
      <c r="I43" s="180">
        <v>55</v>
      </c>
      <c r="J43" s="180">
        <v>8</v>
      </c>
      <c r="K43" s="180" t="s">
        <v>192</v>
      </c>
      <c r="L43" s="172">
        <f>I43/J43</f>
        <v>6.875</v>
      </c>
      <c r="M43" s="172">
        <f t="shared" si="0"/>
        <v>1.927891643552635</v>
      </c>
      <c r="N43" s="78" t="str">
        <f t="shared" si="1"/>
        <v>S</v>
      </c>
    </row>
    <row r="44" spans="8:14">
      <c r="H44" s="83" t="s">
        <v>4</v>
      </c>
      <c r="I44" s="179">
        <v>68</v>
      </c>
      <c r="J44" s="179">
        <v>3</v>
      </c>
      <c r="K44" s="181" t="s">
        <v>192</v>
      </c>
      <c r="L44" s="172">
        <f>I44/J44</f>
        <v>22.666666666666668</v>
      </c>
      <c r="M44" s="172">
        <f t="shared" si="0"/>
        <v>3.120895416507997</v>
      </c>
      <c r="N44" s="78" t="str">
        <f t="shared" si="1"/>
        <v>L</v>
      </c>
    </row>
    <row r="45" spans="8:14">
      <c r="H45" t="s">
        <v>5</v>
      </c>
      <c r="I45" s="180">
        <v>308</v>
      </c>
      <c r="J45" s="180">
        <v>24</v>
      </c>
      <c r="K45" s="180" t="s">
        <v>191</v>
      </c>
      <c r="L45" s="172">
        <f>I45/J45</f>
        <v>12.833333333333334</v>
      </c>
      <c r="M45" s="172">
        <f t="shared" si="0"/>
        <v>2.5520459526256287</v>
      </c>
      <c r="N45" s="78" t="str">
        <f t="shared" si="1"/>
        <v>M</v>
      </c>
    </row>
    <row r="46" spans="8:14">
      <c r="H46" s="83" t="s">
        <v>6</v>
      </c>
      <c r="I46" s="179">
        <v>124</v>
      </c>
      <c r="J46" s="179">
        <v>5</v>
      </c>
      <c r="K46" s="179" t="s">
        <v>175</v>
      </c>
      <c r="L46" s="172">
        <f>I46/J46</f>
        <v>24.8</v>
      </c>
      <c r="M46" s="172">
        <f t="shared" si="0"/>
        <v>3.2108436531709366</v>
      </c>
      <c r="N46" s="78" t="str">
        <f t="shared" si="1"/>
        <v>VL</v>
      </c>
    </row>
    <row r="47" spans="8:14">
      <c r="H47" t="s">
        <v>7</v>
      </c>
      <c r="I47" s="180">
        <v>5</v>
      </c>
      <c r="J47" s="180">
        <v>1</v>
      </c>
      <c r="K47" s="180" t="s">
        <v>62</v>
      </c>
      <c r="L47" s="172">
        <f>I47/J47</f>
        <v>5</v>
      </c>
      <c r="M47" s="172">
        <f>LN(L47)</f>
        <v>1.6094379124341003</v>
      </c>
      <c r="N47" s="78" t="str">
        <f t="shared" si="1"/>
        <v>VS</v>
      </c>
    </row>
    <row r="48" spans="8:14">
      <c r="H48" s="83" t="s">
        <v>8</v>
      </c>
      <c r="I48" s="179">
        <v>181</v>
      </c>
      <c r="J48" s="179">
        <v>17</v>
      </c>
      <c r="K48" s="181" t="s">
        <v>175</v>
      </c>
      <c r="L48" s="172">
        <f>I48/J48</f>
        <v>10.647058823529411</v>
      </c>
      <c r="M48" s="172">
        <f t="shared" si="0"/>
        <v>2.3652836872096095</v>
      </c>
      <c r="N48" s="78" t="str">
        <f t="shared" si="1"/>
        <v>M</v>
      </c>
    </row>
    <row r="49" spans="8:14">
      <c r="H49" t="s">
        <v>9</v>
      </c>
      <c r="I49" s="180">
        <v>119</v>
      </c>
      <c r="J49" s="180">
        <v>9</v>
      </c>
      <c r="K49" s="180" t="s">
        <v>192</v>
      </c>
      <c r="L49" s="172">
        <f>I49/J49</f>
        <v>13.222222222222221</v>
      </c>
      <c r="M49" s="172">
        <f t="shared" si="0"/>
        <v>2.5818989157753101</v>
      </c>
      <c r="N49" s="78" t="str">
        <f t="shared" si="1"/>
        <v>M</v>
      </c>
    </row>
    <row r="50" spans="8:14">
      <c r="H50" s="83" t="s">
        <v>10</v>
      </c>
      <c r="I50" s="179">
        <v>247</v>
      </c>
      <c r="J50" s="179">
        <v>20</v>
      </c>
      <c r="K50" s="179" t="s">
        <v>62</v>
      </c>
      <c r="L50" s="172">
        <f>I50/J50</f>
        <v>12.35</v>
      </c>
      <c r="M50" s="172">
        <f t="shared" si="0"/>
        <v>2.5136560630739861</v>
      </c>
      <c r="N50" s="78" t="str">
        <f>IF(L50&lt;$D$6, "VS", IF(L50&lt;$D$7, "S", IF(L50&lt;$D$8, "M", IF(L50&lt;$D$9, "L", "VL"))))</f>
        <v>M</v>
      </c>
    </row>
    <row r="51" spans="8:14">
      <c r="H51" t="s">
        <v>11</v>
      </c>
      <c r="I51" s="180">
        <v>66</v>
      </c>
      <c r="J51" s="180">
        <v>5</v>
      </c>
      <c r="K51" s="180" t="s">
        <v>62</v>
      </c>
      <c r="L51" s="172">
        <f>I51/J51</f>
        <v>13.2</v>
      </c>
      <c r="M51" s="172">
        <f t="shared" si="0"/>
        <v>2.5802168295923251</v>
      </c>
      <c r="N51" s="78" t="str">
        <f t="shared" si="1"/>
        <v>M</v>
      </c>
    </row>
    <row r="52" spans="8:14">
      <c r="H52" s="83" t="s">
        <v>12</v>
      </c>
      <c r="I52" s="179">
        <v>38</v>
      </c>
      <c r="J52" s="179">
        <v>2</v>
      </c>
      <c r="K52" s="179" t="s">
        <v>191</v>
      </c>
      <c r="L52" s="172">
        <f>I52/J52</f>
        <v>19</v>
      </c>
      <c r="M52" s="172">
        <f t="shared" si="0"/>
        <v>2.9444389791664403</v>
      </c>
      <c r="N52" s="78" t="str">
        <f t="shared" si="1"/>
        <v>L</v>
      </c>
    </row>
    <row r="53" spans="8:14">
      <c r="H53" t="s">
        <v>13</v>
      </c>
      <c r="I53" s="180">
        <v>125</v>
      </c>
      <c r="J53" s="180">
        <v>8</v>
      </c>
      <c r="K53" s="180" t="s">
        <v>62</v>
      </c>
      <c r="L53" s="172">
        <f>I53/J53</f>
        <v>15.625</v>
      </c>
      <c r="M53" s="172">
        <f t="shared" si="0"/>
        <v>2.7488721956224653</v>
      </c>
      <c r="N53" s="78" t="str">
        <f t="shared" si="1"/>
        <v>L</v>
      </c>
    </row>
    <row r="54" spans="8:14">
      <c r="H54" s="83" t="s">
        <v>14</v>
      </c>
      <c r="I54" s="179">
        <v>12</v>
      </c>
      <c r="J54" s="179">
        <v>2</v>
      </c>
      <c r="K54" s="179" t="s">
        <v>192</v>
      </c>
      <c r="L54" s="172">
        <f>I54/J54</f>
        <v>6</v>
      </c>
      <c r="M54" s="172">
        <f t="shared" si="0"/>
        <v>1.791759469228055</v>
      </c>
      <c r="N54" s="78" t="str">
        <f t="shared" si="1"/>
        <v>VS</v>
      </c>
    </row>
    <row r="55" spans="8:14">
      <c r="H55" t="s">
        <v>15</v>
      </c>
      <c r="I55" s="180">
        <v>65</v>
      </c>
      <c r="J55" s="180">
        <v>5</v>
      </c>
      <c r="K55" s="180" t="s">
        <v>191</v>
      </c>
      <c r="L55" s="172">
        <f>I55/J55</f>
        <v>13</v>
      </c>
      <c r="M55" s="172">
        <f t="shared" si="0"/>
        <v>2.5649493574615367</v>
      </c>
      <c r="N55" s="78" t="str">
        <f t="shared" si="1"/>
        <v>M</v>
      </c>
    </row>
    <row r="56" spans="8:14">
      <c r="H56" s="83" t="s">
        <v>16</v>
      </c>
      <c r="I56" s="179">
        <v>141</v>
      </c>
      <c r="J56" s="179">
        <v>12</v>
      </c>
      <c r="K56" s="179" t="s">
        <v>175</v>
      </c>
      <c r="L56" s="172">
        <f>I56/J56</f>
        <v>11.75</v>
      </c>
      <c r="M56" s="172">
        <f t="shared" si="0"/>
        <v>2.4638532405901681</v>
      </c>
      <c r="N56" s="78" t="str">
        <f t="shared" si="1"/>
        <v>M</v>
      </c>
    </row>
    <row r="57" spans="8:14">
      <c r="H57" t="s">
        <v>17</v>
      </c>
      <c r="I57" s="180">
        <v>47</v>
      </c>
      <c r="J57" s="180">
        <v>1</v>
      </c>
      <c r="K57" s="180" t="s">
        <v>191</v>
      </c>
      <c r="L57" s="172">
        <f>I57/J57</f>
        <v>47</v>
      </c>
      <c r="M57" s="172">
        <f t="shared" si="0"/>
        <v>3.8501476017100584</v>
      </c>
      <c r="N57" s="78" t="str">
        <f t="shared" si="1"/>
        <v>VL</v>
      </c>
    </row>
    <row r="58" spans="8:14">
      <c r="H58" s="83" t="s">
        <v>18</v>
      </c>
      <c r="I58" s="179">
        <v>72</v>
      </c>
      <c r="J58" s="179">
        <v>5</v>
      </c>
      <c r="K58" s="179" t="s">
        <v>191</v>
      </c>
      <c r="L58" s="172">
        <f>I58/J58</f>
        <v>14.4</v>
      </c>
      <c r="M58" s="172">
        <f t="shared" si="0"/>
        <v>2.6672282065819548</v>
      </c>
      <c r="N58" s="78" t="str">
        <f t="shared" si="1"/>
        <v>M</v>
      </c>
    </row>
    <row r="59" spans="8:14">
      <c r="H59" t="s">
        <v>19</v>
      </c>
      <c r="I59" s="180">
        <v>60</v>
      </c>
      <c r="J59" s="180">
        <v>4</v>
      </c>
      <c r="K59" s="180" t="s">
        <v>62</v>
      </c>
      <c r="L59" s="172">
        <f>I59/J59</f>
        <v>15</v>
      </c>
      <c r="M59" s="172">
        <f t="shared" si="0"/>
        <v>2.7080502011022101</v>
      </c>
      <c r="N59" s="78" t="str">
        <f t="shared" si="1"/>
        <v>M</v>
      </c>
    </row>
    <row r="60" spans="8:14">
      <c r="H60" s="83" t="s">
        <v>20</v>
      </c>
      <c r="I60" s="179">
        <v>102</v>
      </c>
      <c r="J60" s="179">
        <v>10</v>
      </c>
      <c r="K60" s="179" t="s">
        <v>191</v>
      </c>
      <c r="L60" s="172">
        <f>I60/J60</f>
        <v>10.199999999999999</v>
      </c>
      <c r="M60" s="172">
        <f t="shared" si="0"/>
        <v>2.3223877202902252</v>
      </c>
      <c r="N60" s="78" t="str">
        <f t="shared" si="1"/>
        <v>S</v>
      </c>
    </row>
    <row r="61" spans="8:14">
      <c r="H61" t="s">
        <v>21</v>
      </c>
      <c r="I61" s="180">
        <v>112</v>
      </c>
      <c r="J61" s="180">
        <v>9</v>
      </c>
      <c r="K61" s="180" t="s">
        <v>175</v>
      </c>
      <c r="L61" s="172">
        <f>I61/J61</f>
        <v>12.444444444444445</v>
      </c>
      <c r="M61" s="172">
        <f t="shared" si="0"/>
        <v>2.521274293958875</v>
      </c>
      <c r="N61" s="78" t="str">
        <f t="shared" si="1"/>
        <v>M</v>
      </c>
    </row>
    <row r="62" spans="8:14">
      <c r="H62" s="83" t="s">
        <v>22</v>
      </c>
      <c r="I62" s="179">
        <v>168</v>
      </c>
      <c r="J62" s="179">
        <v>14</v>
      </c>
      <c r="K62" s="179" t="s">
        <v>175</v>
      </c>
      <c r="L62" s="172">
        <f>I62/J62</f>
        <v>12</v>
      </c>
      <c r="M62" s="172">
        <f t="shared" si="0"/>
        <v>2.4849066497880004</v>
      </c>
      <c r="N62" s="78" t="str">
        <f t="shared" si="1"/>
        <v>M</v>
      </c>
    </row>
    <row r="63" spans="8:14">
      <c r="H63" t="s">
        <v>23</v>
      </c>
      <c r="I63" s="180">
        <v>25</v>
      </c>
      <c r="J63" s="180">
        <v>5</v>
      </c>
      <c r="K63" s="180" t="s">
        <v>192</v>
      </c>
      <c r="L63" s="172">
        <f>I63/J63</f>
        <v>5</v>
      </c>
      <c r="M63" s="172">
        <f t="shared" si="0"/>
        <v>1.6094379124341003</v>
      </c>
      <c r="N63" s="78" t="str">
        <f t="shared" si="1"/>
        <v>VS</v>
      </c>
    </row>
    <row r="64" spans="8:14">
      <c r="H64" s="83" t="s">
        <v>24</v>
      </c>
      <c r="I64" s="179">
        <v>164</v>
      </c>
      <c r="J64" s="179">
        <v>11</v>
      </c>
      <c r="K64" s="179" t="s">
        <v>62</v>
      </c>
      <c r="L64" s="172">
        <f>I64/J64</f>
        <v>14.909090909090908</v>
      </c>
      <c r="M64" s="172">
        <f t="shared" si="0"/>
        <v>2.7019711550258276</v>
      </c>
      <c r="N64" s="78" t="str">
        <f t="shared" si="1"/>
        <v>M</v>
      </c>
    </row>
    <row r="65" spans="8:14">
      <c r="H65" t="s">
        <v>25</v>
      </c>
      <c r="I65" s="180">
        <v>37</v>
      </c>
      <c r="J65" s="180">
        <v>2</v>
      </c>
      <c r="K65" s="180" t="s">
        <v>62</v>
      </c>
      <c r="L65" s="172">
        <f>I65/J65</f>
        <v>18.5</v>
      </c>
      <c r="M65" s="172">
        <f t="shared" si="0"/>
        <v>2.917770732084279</v>
      </c>
      <c r="N65" s="78" t="str">
        <f t="shared" si="1"/>
        <v>L</v>
      </c>
    </row>
    <row r="66" spans="8:14">
      <c r="H66" s="83" t="s">
        <v>26</v>
      </c>
      <c r="I66" s="179">
        <v>57</v>
      </c>
      <c r="J66" s="179">
        <v>4</v>
      </c>
      <c r="K66" s="179" t="s">
        <v>175</v>
      </c>
      <c r="L66" s="172">
        <f>I66/J66</f>
        <v>14.25</v>
      </c>
      <c r="M66" s="172">
        <f t="shared" si="0"/>
        <v>2.6567569067146595</v>
      </c>
      <c r="N66" s="78" t="str">
        <f t="shared" si="1"/>
        <v>M</v>
      </c>
    </row>
    <row r="67" spans="8:14">
      <c r="H67" t="s">
        <v>27</v>
      </c>
      <c r="I67" s="180">
        <v>17</v>
      </c>
      <c r="J67" s="180">
        <v>1</v>
      </c>
      <c r="K67" s="180" t="s">
        <v>191</v>
      </c>
      <c r="L67" s="172">
        <f>I67/J67</f>
        <v>17</v>
      </c>
      <c r="M67" s="172">
        <f t="shared" si="0"/>
        <v>2.8332133440562162</v>
      </c>
      <c r="N67" s="78" t="str">
        <f t="shared" si="1"/>
        <v>L</v>
      </c>
    </row>
    <row r="68" spans="8:14">
      <c r="H68" s="83" t="s">
        <v>28</v>
      </c>
      <c r="I68" s="179">
        <v>176</v>
      </c>
      <c r="J68" s="179">
        <v>12</v>
      </c>
      <c r="K68" s="179" t="s">
        <v>175</v>
      </c>
      <c r="L68" s="172">
        <f>I68/J68</f>
        <v>14.666666666666666</v>
      </c>
      <c r="M68" s="172">
        <f t="shared" si="0"/>
        <v>2.6855773452501515</v>
      </c>
      <c r="N68" s="78" t="str">
        <f t="shared" si="1"/>
        <v>M</v>
      </c>
    </row>
    <row r="69" spans="8:14">
      <c r="H69" t="s">
        <v>29</v>
      </c>
      <c r="I69" s="180">
        <v>223</v>
      </c>
      <c r="J69" s="180">
        <v>18</v>
      </c>
      <c r="K69" s="180" t="s">
        <v>191</v>
      </c>
      <c r="L69" s="172">
        <f>I69/J69</f>
        <v>12.388888888888889</v>
      </c>
      <c r="M69" s="172">
        <f t="shared" si="0"/>
        <v>2.5168000135639539</v>
      </c>
      <c r="N69" s="78" t="str">
        <f t="shared" si="1"/>
        <v>M</v>
      </c>
    </row>
    <row r="70" spans="8:14">
      <c r="H70" s="83" t="s">
        <v>30</v>
      </c>
      <c r="I70" s="179">
        <v>26</v>
      </c>
      <c r="J70" s="179">
        <v>1</v>
      </c>
      <c r="K70" s="179" t="s">
        <v>175</v>
      </c>
      <c r="L70" s="172">
        <f>I70/J70</f>
        <v>26</v>
      </c>
      <c r="M70" s="172">
        <f t="shared" si="0"/>
        <v>3.2580965380214821</v>
      </c>
      <c r="N70" s="78" t="str">
        <f t="shared" si="1"/>
        <v>VL</v>
      </c>
    </row>
    <row r="71" spans="8:14">
      <c r="H71" t="s">
        <v>31</v>
      </c>
      <c r="I71" s="180">
        <v>51</v>
      </c>
      <c r="J71" s="180">
        <v>6</v>
      </c>
      <c r="K71" s="180" t="s">
        <v>62</v>
      </c>
      <c r="L71" s="172">
        <f>I71/J71</f>
        <v>8.5</v>
      </c>
      <c r="M71" s="172">
        <f t="shared" ref="M71" si="2">LN(L71)</f>
        <v>2.1400661634962708</v>
      </c>
      <c r="N71" s="78" t="str">
        <f t="shared" ref="N71:N80" si="3">IF(L71&lt;$D$6, "VS", IF(L71&lt;$D$7, "S", IF(L71&lt;$D$8, "M", IF(L71&lt;$D$9, "L", "VL"))))</f>
        <v>S</v>
      </c>
    </row>
    <row r="72" spans="8:14">
      <c r="H72" s="83" t="s">
        <v>32</v>
      </c>
      <c r="I72" s="179">
        <v>170</v>
      </c>
      <c r="J72" s="179">
        <v>14</v>
      </c>
      <c r="K72" s="179" t="s">
        <v>192</v>
      </c>
      <c r="L72" s="172">
        <f>I72/J72</f>
        <v>12.142857142857142</v>
      </c>
      <c r="M72" s="172">
        <f>LN(L72)</f>
        <v>2.4967411074350032</v>
      </c>
      <c r="N72" s="78" t="str">
        <f t="shared" si="3"/>
        <v>M</v>
      </c>
    </row>
    <row r="73" spans="8:14">
      <c r="H73" t="s">
        <v>33</v>
      </c>
      <c r="I73" s="180">
        <v>268</v>
      </c>
      <c r="J73" s="180">
        <v>18</v>
      </c>
      <c r="K73" s="180" t="s">
        <v>175</v>
      </c>
      <c r="L73" s="172">
        <f>I73/J73</f>
        <v>14.888888888888889</v>
      </c>
      <c r="M73" s="172">
        <f>LN(L73)</f>
        <v>2.700615222614692</v>
      </c>
      <c r="N73" s="78" t="str">
        <f t="shared" si="3"/>
        <v>M</v>
      </c>
    </row>
    <row r="74" spans="8:14">
      <c r="H74" s="83" t="s">
        <v>34</v>
      </c>
      <c r="I74" s="179">
        <v>222</v>
      </c>
      <c r="J74" s="179">
        <v>17</v>
      </c>
      <c r="K74" s="179" t="s">
        <v>192</v>
      </c>
      <c r="L74" s="172">
        <f>I74/J74</f>
        <v>13.058823529411764</v>
      </c>
      <c r="M74" s="172">
        <f>LN(L74)</f>
        <v>2.5694640378160631</v>
      </c>
      <c r="N74" s="78" t="str">
        <f t="shared" si="3"/>
        <v>M</v>
      </c>
    </row>
    <row r="75" spans="8:14">
      <c r="H75" t="s">
        <v>35</v>
      </c>
      <c r="I75" s="180">
        <v>62</v>
      </c>
      <c r="J75" s="180">
        <v>6</v>
      </c>
      <c r="K75" s="180" t="s">
        <v>191</v>
      </c>
      <c r="L75" s="172">
        <f>I75/J75</f>
        <v>10.333333333333334</v>
      </c>
      <c r="M75" s="172">
        <f>LN(L75)</f>
        <v>2.3353749158170367</v>
      </c>
      <c r="N75" s="78" t="str">
        <f t="shared" si="3"/>
        <v>M</v>
      </c>
    </row>
    <row r="76" spans="8:14">
      <c r="H76" s="83" t="s">
        <v>36</v>
      </c>
      <c r="I76" s="179">
        <v>83</v>
      </c>
      <c r="J76" s="179">
        <v>7</v>
      </c>
      <c r="K76" s="179" t="s">
        <v>191</v>
      </c>
      <c r="L76" s="172">
        <f>I76/J76</f>
        <v>11.857142857142858</v>
      </c>
      <c r="M76" s="172">
        <f>LN(L76)</f>
        <v>2.4729304587412848</v>
      </c>
      <c r="N76" s="78" t="str">
        <f t="shared" si="3"/>
        <v>M</v>
      </c>
    </row>
    <row r="77" spans="8:14">
      <c r="H77" t="s">
        <v>37</v>
      </c>
      <c r="I77" s="180">
        <v>219</v>
      </c>
      <c r="J77" s="180">
        <v>21</v>
      </c>
      <c r="K77" s="180" t="s">
        <v>175</v>
      </c>
      <c r="L77" s="172">
        <f>I77/J77</f>
        <v>10.428571428571429</v>
      </c>
      <c r="M77" s="172">
        <f>LN(L77)</f>
        <v>2.3445492920930779</v>
      </c>
      <c r="N77" s="78" t="str">
        <f t="shared" si="3"/>
        <v>M</v>
      </c>
    </row>
    <row r="78" spans="8:14">
      <c r="H78" s="83" t="s">
        <v>38</v>
      </c>
      <c r="I78" s="179">
        <v>115</v>
      </c>
      <c r="J78" s="179">
        <v>10</v>
      </c>
      <c r="K78" s="179" t="s">
        <v>192</v>
      </c>
      <c r="L78" s="172">
        <f>I78/J78</f>
        <v>11.5</v>
      </c>
      <c r="M78" s="172">
        <f>LN(L78)</f>
        <v>2.4423470353692043</v>
      </c>
      <c r="N78" s="78" t="str">
        <f t="shared" si="3"/>
        <v>M</v>
      </c>
    </row>
    <row r="79" spans="8:14">
      <c r="H79" t="s">
        <v>39</v>
      </c>
      <c r="I79" s="180">
        <v>29</v>
      </c>
      <c r="J79" s="180">
        <v>4</v>
      </c>
      <c r="K79" s="180" t="s">
        <v>191</v>
      </c>
      <c r="L79" s="172">
        <f>I79/J79</f>
        <v>7.25</v>
      </c>
      <c r="M79" s="172">
        <f>LN(L79)</f>
        <v>1.9810014688665833</v>
      </c>
      <c r="N79" s="78" t="str">
        <f t="shared" si="3"/>
        <v>S</v>
      </c>
    </row>
    <row r="80" spans="8:14">
      <c r="H80" s="83" t="s">
        <v>40</v>
      </c>
      <c r="I80" s="179">
        <v>108</v>
      </c>
      <c r="J80" s="179">
        <v>11</v>
      </c>
      <c r="K80" s="179" t="s">
        <v>192</v>
      </c>
      <c r="L80" s="172">
        <f>I80/J80</f>
        <v>9.8181818181818183</v>
      </c>
      <c r="M80" s="172">
        <f>LN(L80)</f>
        <v>2.2842359543258492</v>
      </c>
      <c r="N80" s="78" t="str">
        <f t="shared" si="3"/>
        <v>S</v>
      </c>
    </row>
    <row r="81" spans="8:14">
      <c r="H81" t="s">
        <v>41</v>
      </c>
      <c r="I81" s="180">
        <v>152</v>
      </c>
      <c r="J81" s="180">
        <v>13</v>
      </c>
      <c r="K81" s="180" t="s">
        <v>192</v>
      </c>
      <c r="L81" s="172">
        <f>I81/J81</f>
        <v>11.692307692307692</v>
      </c>
      <c r="M81" s="172">
        <f>LN(L81)</f>
        <v>2.4589311633847397</v>
      </c>
      <c r="N81" s="78" t="str">
        <f>IF(L81&lt;$D$6, "VS", IF(L81&lt;$D$7, "S", IF(L81&lt;$D$8, "M", IF(L81&lt;$D$9, "L", "VL"))))</f>
        <v>M</v>
      </c>
    </row>
    <row r="82" spans="8:14">
      <c r="H82" s="83" t="s">
        <v>42</v>
      </c>
      <c r="I82" s="179">
        <v>52</v>
      </c>
      <c r="J82" s="179">
        <v>3</v>
      </c>
      <c r="K82" s="179" t="s">
        <v>175</v>
      </c>
      <c r="L82" s="172">
        <f>I82/J82</f>
        <v>17.333333333333332</v>
      </c>
      <c r="M82" s="172">
        <f>LN(L82)</f>
        <v>2.8526314299133175</v>
      </c>
      <c r="N82" s="78" t="str">
        <f t="shared" ref="N82:N91" si="4">IF(L82&lt;$D$6, "VS", IF(L82&lt;$D$7, "S", IF(L82&lt;$D$8, "M", IF(L82&lt;$D$9, "L", "VL"))))</f>
        <v>L</v>
      </c>
    </row>
    <row r="83" spans="8:14">
      <c r="H83" t="s">
        <v>43</v>
      </c>
      <c r="I83" s="180">
        <v>5</v>
      </c>
      <c r="J83" s="180">
        <v>1</v>
      </c>
      <c r="K83" s="180" t="s">
        <v>191</v>
      </c>
      <c r="L83" s="172">
        <f>I83/J83</f>
        <v>5</v>
      </c>
      <c r="M83" s="172">
        <f>LN(L83)</f>
        <v>1.6094379124341003</v>
      </c>
      <c r="N83" s="78" t="str">
        <f t="shared" si="4"/>
        <v>VS</v>
      </c>
    </row>
    <row r="84" spans="8:14">
      <c r="H84" s="83" t="s">
        <v>44</v>
      </c>
      <c r="I84" s="179">
        <v>196</v>
      </c>
      <c r="J84" s="179">
        <v>16</v>
      </c>
      <c r="K84" s="179" t="s">
        <v>192</v>
      </c>
      <c r="L84" s="172">
        <f>I84/J84</f>
        <v>12.25</v>
      </c>
      <c r="M84" s="172">
        <f>LN(L84)</f>
        <v>2.5055259369907361</v>
      </c>
      <c r="N84" s="78" t="str">
        <f t="shared" si="4"/>
        <v>M</v>
      </c>
    </row>
    <row r="85" spans="8:14">
      <c r="H85" t="s">
        <v>45</v>
      </c>
      <c r="I85" s="180">
        <v>82</v>
      </c>
      <c r="J85" s="180">
        <v>7</v>
      </c>
      <c r="K85" s="180" t="s">
        <v>175</v>
      </c>
      <c r="L85" s="172">
        <f>I85/J85</f>
        <v>11.714285714285714</v>
      </c>
      <c r="M85" s="172">
        <f>LN(L85)</f>
        <v>2.4608090982089399</v>
      </c>
      <c r="N85" s="78" t="str">
        <f t="shared" si="4"/>
        <v>M</v>
      </c>
    </row>
    <row r="86" spans="8:14">
      <c r="H86" s="83" t="s">
        <v>46</v>
      </c>
      <c r="I86" s="179">
        <v>142</v>
      </c>
      <c r="J86" s="179">
        <v>11</v>
      </c>
      <c r="K86" s="179" t="s">
        <v>192</v>
      </c>
      <c r="L86" s="172">
        <f>I86/J86</f>
        <v>12.909090909090908</v>
      </c>
      <c r="M86" s="172">
        <f>LN(L86)</f>
        <v>2.5579317848028902</v>
      </c>
      <c r="N86" s="78" t="str">
        <f t="shared" si="4"/>
        <v>M</v>
      </c>
    </row>
    <row r="87" spans="8:14">
      <c r="H87" t="s">
        <v>47</v>
      </c>
      <c r="I87" s="180">
        <v>10</v>
      </c>
      <c r="J87" s="180">
        <v>2</v>
      </c>
      <c r="K87" s="180" t="s">
        <v>175</v>
      </c>
      <c r="L87" s="172">
        <f>I87/J87</f>
        <v>5</v>
      </c>
      <c r="M87" s="172">
        <f>LN(L87)</f>
        <v>1.6094379124341003</v>
      </c>
      <c r="N87" s="78" t="str">
        <f t="shared" si="4"/>
        <v>VS</v>
      </c>
    </row>
    <row r="88" spans="8:14">
      <c r="H88" s="83" t="s">
        <v>48</v>
      </c>
      <c r="I88" s="179">
        <v>33</v>
      </c>
      <c r="J88" s="179">
        <v>2</v>
      </c>
      <c r="K88" s="179" t="s">
        <v>62</v>
      </c>
      <c r="L88" s="172">
        <f>I88/J88</f>
        <v>16.5</v>
      </c>
      <c r="M88" s="172">
        <f>LN(L88)</f>
        <v>2.8033603809065348</v>
      </c>
      <c r="N88" s="78" t="str">
        <f t="shared" si="4"/>
        <v>L</v>
      </c>
    </row>
    <row r="89" spans="8:14">
      <c r="H89" t="s">
        <v>49</v>
      </c>
      <c r="I89" s="180">
        <v>52</v>
      </c>
      <c r="J89" s="180">
        <v>3</v>
      </c>
      <c r="K89" s="180" t="s">
        <v>192</v>
      </c>
      <c r="L89" s="172">
        <f>I89/J89</f>
        <v>17.333333333333332</v>
      </c>
      <c r="M89" s="172">
        <f>LN(L89)</f>
        <v>2.8526314299133175</v>
      </c>
      <c r="N89" s="78" t="str">
        <f t="shared" si="4"/>
        <v>L</v>
      </c>
    </row>
    <row r="90" spans="8:14">
      <c r="H90" s="83" t="s">
        <v>50</v>
      </c>
      <c r="I90" s="179">
        <v>20</v>
      </c>
      <c r="J90" s="179">
        <v>4</v>
      </c>
      <c r="K90" s="179" t="s">
        <v>192</v>
      </c>
      <c r="L90" s="172">
        <f>I90/J90</f>
        <v>5</v>
      </c>
      <c r="M90" s="172">
        <f>LN(L90)</f>
        <v>1.6094379124341003</v>
      </c>
      <c r="N90" s="78" t="str">
        <f t="shared" si="4"/>
        <v>VS</v>
      </c>
    </row>
    <row r="91" spans="8:14">
      <c r="H91" t="s">
        <v>51</v>
      </c>
      <c r="I91" s="180">
        <v>94</v>
      </c>
      <c r="J91" s="180">
        <v>11</v>
      </c>
      <c r="K91" s="180" t="s">
        <v>191</v>
      </c>
      <c r="L91" s="172">
        <f>I91/J91</f>
        <v>8.545454545454545</v>
      </c>
      <c r="M91" s="172">
        <f>LN(L91)</f>
        <v>2.1453995094716332</v>
      </c>
      <c r="N91" s="78" t="str">
        <f t="shared" si="4"/>
        <v>S</v>
      </c>
    </row>
    <row r="92" spans="8:14">
      <c r="H92" s="83" t="s">
        <v>259</v>
      </c>
      <c r="I92" s="179">
        <v>55</v>
      </c>
      <c r="J92" s="179">
        <v>0</v>
      </c>
      <c r="K92" s="179" t="s">
        <v>175</v>
      </c>
      <c r="L92" s="172"/>
      <c r="M92" s="173"/>
    </row>
  </sheetData>
  <mergeCells count="2">
    <mergeCell ref="A1:E1"/>
    <mergeCell ref="A2:E2"/>
  </mergeCells>
  <phoneticPr fontId="0" type="noConversion"/>
  <pageMargins left="0.75" right="0.75" top="1" bottom="1" header="0.5" footer="0.5"/>
  <pageSetup orientation="portrait"/>
  <headerFooter alignWithMargins="0"/>
  <ignoredErrors>
    <ignoredError sqref="L9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Description</vt:lpstr>
      <vt:lpstr>Process</vt:lpstr>
      <vt:lpstr>Component History</vt:lpstr>
      <vt:lpstr>Project History</vt:lpstr>
      <vt:lpstr>Activities</vt:lpstr>
      <vt:lpstr>Architecture</vt:lpstr>
      <vt:lpstr>COCOMO</vt:lpstr>
      <vt:lpstr>Solution</vt:lpstr>
      <vt:lpstr>Calc-1</vt:lpstr>
      <vt:lpstr>Calc-2</vt:lpstr>
      <vt:lpstr>Calc-3</vt:lpstr>
      <vt:lpstr>Calc-4</vt:lpstr>
      <vt:lpstr>Calc-5</vt:lpstr>
      <vt:lpstr>Solution!InstructorAssessment4A</vt:lpstr>
      <vt:lpstr>Activities!Print_Area</vt:lpstr>
      <vt:lpstr>Architecture!Print_Area</vt:lpstr>
      <vt:lpstr>COCOMO!Print_Area</vt:lpstr>
      <vt:lpstr>'Component History'!Print_Area</vt:lpstr>
      <vt:lpstr>Description!Print_Area</vt:lpstr>
      <vt:lpstr>'Project History'!Print_Area</vt:lpstr>
    </vt:vector>
  </TitlesOfParts>
  <Company>Auburn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Umphress</dc:creator>
  <cp:lastModifiedBy>Microsoft Office User</cp:lastModifiedBy>
  <cp:lastPrinted>2018-12-10T17:39:59Z</cp:lastPrinted>
  <dcterms:created xsi:type="dcterms:W3CDTF">2001-05-29T14:24:49Z</dcterms:created>
  <dcterms:modified xsi:type="dcterms:W3CDTF">2020-04-13T05:47:30Z</dcterms:modified>
</cp:coreProperties>
</file>