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הלוואות!$B$6:$Q$59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סל'!$B$6:$N$41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O33" i="78" l="1"/>
  <c r="M29" i="63"/>
  <c r="M28" i="63"/>
  <c r="M27" i="63"/>
  <c r="M26" i="63"/>
  <c r="M25" i="63"/>
  <c r="M24" i="63"/>
  <c r="M23" i="63"/>
  <c r="M22" i="63"/>
  <c r="M21" i="63"/>
  <c r="M20" i="63"/>
  <c r="M19" i="63"/>
  <c r="M18" i="63"/>
  <c r="M17" i="63"/>
  <c r="M16" i="63"/>
  <c r="M15" i="63"/>
  <c r="M14" i="63"/>
  <c r="M13" i="63"/>
  <c r="M12" i="63"/>
  <c r="C11" i="84" l="1"/>
  <c r="C10" i="84"/>
  <c r="C43" i="88" s="1"/>
  <c r="I12" i="78" l="1"/>
  <c r="I11" i="78" s="1"/>
  <c r="L12" i="78"/>
  <c r="L11" i="78" s="1"/>
  <c r="O24" i="78"/>
  <c r="O23" i="78"/>
  <c r="O22" i="78"/>
  <c r="O20" i="78"/>
  <c r="O13" i="78"/>
  <c r="O17" i="78"/>
  <c r="O94" i="78"/>
  <c r="O93" i="78" s="1"/>
  <c r="J12" i="81"/>
  <c r="J11" i="81"/>
  <c r="J10" i="81"/>
  <c r="J30" i="76"/>
  <c r="J29" i="76"/>
  <c r="J27" i="76"/>
  <c r="J26" i="76"/>
  <c r="J25" i="76"/>
  <c r="J24" i="76"/>
  <c r="J23" i="76"/>
  <c r="J22" i="76"/>
  <c r="J20" i="76"/>
  <c r="J19" i="76"/>
  <c r="J18" i="76"/>
  <c r="J17" i="76"/>
  <c r="J16" i="76"/>
  <c r="J15" i="76"/>
  <c r="J14" i="76"/>
  <c r="J13" i="76"/>
  <c r="J12" i="76"/>
  <c r="J11" i="76"/>
  <c r="R30" i="71"/>
  <c r="R29" i="71"/>
  <c r="R28" i="71"/>
  <c r="R26" i="71"/>
  <c r="R25" i="71"/>
  <c r="R24" i="71"/>
  <c r="R23" i="71"/>
  <c r="R22" i="71"/>
  <c r="R21" i="71"/>
  <c r="R19" i="71"/>
  <c r="R18" i="71"/>
  <c r="R17" i="71"/>
  <c r="R16" i="71"/>
  <c r="R15" i="71"/>
  <c r="R14" i="71"/>
  <c r="R13" i="71"/>
  <c r="R12" i="71"/>
  <c r="R11" i="71"/>
  <c r="O85" i="69"/>
  <c r="O84" i="69"/>
  <c r="O83" i="69"/>
  <c r="O82" i="69"/>
  <c r="O81" i="69"/>
  <c r="O80" i="69"/>
  <c r="O79" i="69"/>
  <c r="O78" i="69"/>
  <c r="O77" i="69"/>
  <c r="O76" i="69"/>
  <c r="O75" i="69"/>
  <c r="O74" i="69"/>
  <c r="O73" i="69"/>
  <c r="O72" i="69"/>
  <c r="O71" i="69"/>
  <c r="O70" i="69"/>
  <c r="O69" i="69"/>
  <c r="O68" i="69"/>
  <c r="O67" i="69"/>
  <c r="O66" i="69"/>
  <c r="O65" i="69"/>
  <c r="O64" i="69"/>
  <c r="O63" i="69"/>
  <c r="O62" i="69"/>
  <c r="O61" i="69"/>
  <c r="O60" i="69"/>
  <c r="O59" i="69"/>
  <c r="O58" i="69"/>
  <c r="O57" i="69"/>
  <c r="O56" i="69"/>
  <c r="O55" i="69"/>
  <c r="O54" i="69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N16" i="64"/>
  <c r="N15" i="64"/>
  <c r="N14" i="64"/>
  <c r="N13" i="64"/>
  <c r="N12" i="64"/>
  <c r="N11" i="64"/>
  <c r="M41" i="63"/>
  <c r="M40" i="63"/>
  <c r="M39" i="63"/>
  <c r="M38" i="63"/>
  <c r="M37" i="63"/>
  <c r="M36" i="63"/>
  <c r="M35" i="63"/>
  <c r="M34" i="63"/>
  <c r="M33" i="63"/>
  <c r="M32" i="63"/>
  <c r="M31" i="63"/>
  <c r="M11" i="63"/>
  <c r="O217" i="61"/>
  <c r="S217" i="61"/>
  <c r="S189" i="61"/>
  <c r="O189" i="61"/>
  <c r="S129" i="61"/>
  <c r="S128" i="61"/>
  <c r="S127" i="61"/>
  <c r="O129" i="61"/>
  <c r="O128" i="61"/>
  <c r="O127" i="61"/>
  <c r="S119" i="61"/>
  <c r="S118" i="61"/>
  <c r="O119" i="61"/>
  <c r="O118" i="61"/>
  <c r="O111" i="61"/>
  <c r="O110" i="61"/>
  <c r="S111" i="61"/>
  <c r="S110" i="61"/>
  <c r="O71" i="61"/>
  <c r="O70" i="61"/>
  <c r="O69" i="61"/>
  <c r="S71" i="61"/>
  <c r="S70" i="61"/>
  <c r="S69" i="61"/>
  <c r="T257" i="61"/>
  <c r="T256" i="61"/>
  <c r="T255" i="61"/>
  <c r="T254" i="61"/>
  <c r="T253" i="61"/>
  <c r="T251" i="61"/>
  <c r="T250" i="61"/>
  <c r="T249" i="61"/>
  <c r="T248" i="61"/>
  <c r="T247" i="61"/>
  <c r="T246" i="61"/>
  <c r="T245" i="61"/>
  <c r="T244" i="61"/>
  <c r="T243" i="61"/>
  <c r="T242" i="61"/>
  <c r="T241" i="61"/>
  <c r="T240" i="61"/>
  <c r="T239" i="61"/>
  <c r="T238" i="61"/>
  <c r="T237" i="61"/>
  <c r="T236" i="61"/>
  <c r="T235" i="61"/>
  <c r="T234" i="61"/>
  <c r="T233" i="61"/>
  <c r="T232" i="61"/>
  <c r="T231" i="61"/>
  <c r="T230" i="61"/>
  <c r="T229" i="61"/>
  <c r="T228" i="61"/>
  <c r="T227" i="61"/>
  <c r="T226" i="61"/>
  <c r="T225" i="61"/>
  <c r="T224" i="61"/>
  <c r="T223" i="61"/>
  <c r="T222" i="61"/>
  <c r="T221" i="61"/>
  <c r="T220" i="61"/>
  <c r="T219" i="61"/>
  <c r="T218" i="61"/>
  <c r="T217" i="61"/>
  <c r="T216" i="61"/>
  <c r="T215" i="61"/>
  <c r="T214" i="61"/>
  <c r="T213" i="61"/>
  <c r="T212" i="61"/>
  <c r="T211" i="61"/>
  <c r="T210" i="61"/>
  <c r="T209" i="61"/>
  <c r="T208" i="61"/>
  <c r="T207" i="61"/>
  <c r="T206" i="61"/>
  <c r="T205" i="61"/>
  <c r="T204" i="61"/>
  <c r="T203" i="61"/>
  <c r="T202" i="61"/>
  <c r="T201" i="61"/>
  <c r="T200" i="61"/>
  <c r="T199" i="61"/>
  <c r="T198" i="61"/>
  <c r="T197" i="61"/>
  <c r="T196" i="61"/>
  <c r="T195" i="61"/>
  <c r="T194" i="61"/>
  <c r="T193" i="61"/>
  <c r="T192" i="61"/>
  <c r="T191" i="61"/>
  <c r="T190" i="61"/>
  <c r="T189" i="61"/>
  <c r="T188" i="61"/>
  <c r="T187" i="61"/>
  <c r="T186" i="61"/>
  <c r="T185" i="61"/>
  <c r="T184" i="61"/>
  <c r="T183" i="61"/>
  <c r="T182" i="61"/>
  <c r="T181" i="61"/>
  <c r="T180" i="61"/>
  <c r="T179" i="61"/>
  <c r="T178" i="61"/>
  <c r="T177" i="61"/>
  <c r="T176" i="61"/>
  <c r="T175" i="61"/>
  <c r="T174" i="61"/>
  <c r="T173" i="61"/>
  <c r="T172" i="61"/>
  <c r="T171" i="61"/>
  <c r="T170" i="61"/>
  <c r="T169" i="61"/>
  <c r="T168" i="61"/>
  <c r="T167" i="61"/>
  <c r="T166" i="61"/>
  <c r="T164" i="61"/>
  <c r="T163" i="61"/>
  <c r="T162" i="61"/>
  <c r="T161" i="61"/>
  <c r="T160" i="61"/>
  <c r="T159" i="61"/>
  <c r="T158" i="61"/>
  <c r="T157" i="61"/>
  <c r="T156" i="61"/>
  <c r="T155" i="61"/>
  <c r="T154" i="61"/>
  <c r="T153" i="61"/>
  <c r="T152" i="61"/>
  <c r="T151" i="61"/>
  <c r="T150" i="61"/>
  <c r="T149" i="61"/>
  <c r="T148" i="61"/>
  <c r="T147" i="61"/>
  <c r="T146" i="61"/>
  <c r="T145" i="61"/>
  <c r="T144" i="61"/>
  <c r="T143" i="61"/>
  <c r="T142" i="61"/>
  <c r="T141" i="61"/>
  <c r="T140" i="61"/>
  <c r="T139" i="61"/>
  <c r="T138" i="61"/>
  <c r="T137" i="61"/>
  <c r="T136" i="61"/>
  <c r="T135" i="61"/>
  <c r="T134" i="61"/>
  <c r="T133" i="61"/>
  <c r="T132" i="61"/>
  <c r="T131" i="61"/>
  <c r="T130" i="61"/>
  <c r="T129" i="61"/>
  <c r="T128" i="61"/>
  <c r="T127" i="61"/>
  <c r="T126" i="61"/>
  <c r="T125" i="61"/>
  <c r="T124" i="61"/>
  <c r="T123" i="61"/>
  <c r="T122" i="61"/>
  <c r="T121" i="61"/>
  <c r="T120" i="61"/>
  <c r="T119" i="61"/>
  <c r="T118" i="61"/>
  <c r="T117" i="61"/>
  <c r="T116" i="61"/>
  <c r="T115" i="61"/>
  <c r="T114" i="61"/>
  <c r="T113" i="61"/>
  <c r="T112" i="61"/>
  <c r="T111" i="61"/>
  <c r="T110" i="61"/>
  <c r="T109" i="61"/>
  <c r="T108" i="61"/>
  <c r="T107" i="61"/>
  <c r="T106" i="61"/>
  <c r="T105" i="61"/>
  <c r="T104" i="61"/>
  <c r="T103" i="61"/>
  <c r="T102" i="61"/>
  <c r="T101" i="61"/>
  <c r="T100" i="61"/>
  <c r="T99" i="61"/>
  <c r="T98" i="61"/>
  <c r="T97" i="61"/>
  <c r="T96" i="61"/>
  <c r="T95" i="61"/>
  <c r="T94" i="61"/>
  <c r="T93" i="61"/>
  <c r="T92" i="61"/>
  <c r="T91" i="61"/>
  <c r="T90" i="61"/>
  <c r="T89" i="61"/>
  <c r="T88" i="61"/>
  <c r="T87" i="61"/>
  <c r="T86" i="61"/>
  <c r="T85" i="61"/>
  <c r="T84" i="61"/>
  <c r="T83" i="61"/>
  <c r="T82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Q46" i="59"/>
  <c r="Q45" i="59"/>
  <c r="Q44" i="59"/>
  <c r="Q43" i="59"/>
  <c r="Q42" i="59"/>
  <c r="Q41" i="59"/>
  <c r="Q40" i="59"/>
  <c r="Q39" i="59"/>
  <c r="Q38" i="59"/>
  <c r="Q37" i="59"/>
  <c r="Q36" i="59"/>
  <c r="Q35" i="59"/>
  <c r="Q34" i="59"/>
  <c r="Q33" i="59"/>
  <c r="Q32" i="59"/>
  <c r="Q31" i="59"/>
  <c r="Q30" i="59"/>
  <c r="Q29" i="59"/>
  <c r="Q28" i="59"/>
  <c r="Q26" i="59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C37" i="88"/>
  <c r="C31" i="88"/>
  <c r="C26" i="88"/>
  <c r="C23" i="88" s="1"/>
  <c r="C24" i="88"/>
  <c r="C18" i="88"/>
  <c r="C17" i="88"/>
  <c r="C15" i="88"/>
  <c r="C13" i="88"/>
  <c r="C12" i="88" s="1"/>
  <c r="O12" i="78" l="1"/>
  <c r="O11" i="78" s="1"/>
  <c r="O10" i="78" s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P76" i="78" l="1"/>
  <c r="P52" i="78"/>
  <c r="C11" i="88"/>
  <c r="P79" i="78"/>
  <c r="P26" i="78"/>
  <c r="P28" i="78"/>
  <c r="P30" i="78"/>
  <c r="P27" i="78"/>
  <c r="P29" i="78"/>
  <c r="P31" i="78"/>
  <c r="P55" i="78"/>
  <c r="P42" i="78"/>
  <c r="P17" i="78"/>
  <c r="P95" i="78"/>
  <c r="P64" i="78"/>
  <c r="P71" i="78"/>
  <c r="P74" i="78"/>
  <c r="P86" i="78"/>
  <c r="P58" i="78"/>
  <c r="P43" i="78"/>
  <c r="P61" i="78"/>
  <c r="P33" i="78"/>
  <c r="P90" i="78"/>
  <c r="P56" i="78"/>
  <c r="P82" i="78"/>
  <c r="P72" i="78"/>
  <c r="P91" i="78"/>
  <c r="P10" i="78"/>
  <c r="P35" i="78"/>
  <c r="P24" i="78"/>
  <c r="P75" i="78"/>
  <c r="P81" i="78"/>
  <c r="P89" i="78"/>
  <c r="P50" i="78"/>
  <c r="P34" i="78"/>
  <c r="P85" i="78"/>
  <c r="P11" i="78"/>
  <c r="P25" i="78"/>
  <c r="P53" i="78"/>
  <c r="P73" i="78"/>
  <c r="P18" i="78"/>
  <c r="P44" i="78"/>
  <c r="P88" i="78"/>
  <c r="C33" i="88"/>
  <c r="P45" i="78"/>
  <c r="P70" i="78"/>
  <c r="P15" i="78"/>
  <c r="P16" i="78"/>
  <c r="P41" i="78"/>
  <c r="P63" i="78"/>
  <c r="P62" i="78"/>
  <c r="P46" i="78"/>
  <c r="P93" i="78"/>
  <c r="P80" i="78"/>
  <c r="P13" i="78"/>
  <c r="P37" i="78"/>
  <c r="P59" i="78"/>
  <c r="P83" i="78"/>
  <c r="P22" i="78"/>
  <c r="P49" i="78"/>
  <c r="P69" i="78"/>
  <c r="P19" i="78"/>
  <c r="P51" i="78"/>
  <c r="P77" i="78"/>
  <c r="P23" i="78"/>
  <c r="P20" i="78"/>
  <c r="P47" i="78"/>
  <c r="P66" i="78"/>
  <c r="P94" i="78"/>
  <c r="P78" i="78"/>
  <c r="P87" i="78"/>
  <c r="P68" i="78"/>
  <c r="P54" i="78"/>
  <c r="P38" i="78"/>
  <c r="P96" i="78"/>
  <c r="P21" i="78"/>
  <c r="P48" i="78"/>
  <c r="P67" i="78"/>
  <c r="P14" i="78"/>
  <c r="P39" i="78"/>
  <c r="P60" i="78"/>
  <c r="P84" i="78"/>
  <c r="P40" i="78"/>
  <c r="P65" i="78"/>
  <c r="P12" i="78"/>
  <c r="P36" i="78"/>
  <c r="P57" i="78"/>
  <c r="C10" i="88" l="1"/>
  <c r="C42" i="88" s="1"/>
  <c r="Q43" i="78" s="1"/>
  <c r="U240" i="61" l="1"/>
  <c r="D13" i="88"/>
  <c r="R40" i="59"/>
  <c r="R17" i="59"/>
  <c r="U226" i="61"/>
  <c r="U110" i="61"/>
  <c r="U69" i="61"/>
  <c r="U47" i="61"/>
  <c r="U33" i="61"/>
  <c r="R46" i="59"/>
  <c r="N11" i="63"/>
  <c r="U84" i="61"/>
  <c r="U239" i="61"/>
  <c r="U196" i="61"/>
  <c r="U44" i="61"/>
  <c r="D26" i="88"/>
  <c r="U133" i="61"/>
  <c r="U111" i="61"/>
  <c r="U97" i="61"/>
  <c r="U67" i="61"/>
  <c r="R14" i="59"/>
  <c r="U189" i="61"/>
  <c r="P80" i="69"/>
  <c r="U198" i="61"/>
  <c r="U176" i="61"/>
  <c r="U161" i="61"/>
  <c r="U131" i="61"/>
  <c r="U12" i="61"/>
  <c r="R16" i="59"/>
  <c r="P57" i="69"/>
  <c r="D11" i="88"/>
  <c r="U37" i="61"/>
  <c r="U166" i="61"/>
  <c r="U15" i="61"/>
  <c r="U143" i="61"/>
  <c r="R28" i="59"/>
  <c r="U129" i="61"/>
  <c r="R13" i="59"/>
  <c r="U99" i="61"/>
  <c r="U228" i="61"/>
  <c r="R31" i="59"/>
  <c r="U64" i="61"/>
  <c r="U254" i="61"/>
  <c r="U175" i="61"/>
  <c r="Q44" i="78"/>
  <c r="D10" i="88"/>
  <c r="R36" i="59"/>
  <c r="U101" i="61"/>
  <c r="U230" i="61"/>
  <c r="U79" i="61"/>
  <c r="U208" i="61"/>
  <c r="U65" i="61"/>
  <c r="U194" i="61"/>
  <c r="U35" i="61"/>
  <c r="U163" i="61"/>
  <c r="N25" i="63"/>
  <c r="U28" i="61"/>
  <c r="U124" i="61"/>
  <c r="U46" i="61"/>
  <c r="P16" i="69"/>
  <c r="Q14" i="78"/>
  <c r="Q82" i="78"/>
  <c r="S25" i="71"/>
  <c r="P81" i="69"/>
  <c r="P63" i="69"/>
  <c r="D18" i="88"/>
  <c r="R15" i="59"/>
  <c r="U13" i="61"/>
  <c r="U45" i="61"/>
  <c r="U77" i="61"/>
  <c r="U109" i="61"/>
  <c r="U141" i="61"/>
  <c r="U174" i="61"/>
  <c r="U206" i="61"/>
  <c r="U238" i="61"/>
  <c r="R25" i="59"/>
  <c r="U23" i="61"/>
  <c r="U55" i="61"/>
  <c r="U87" i="61"/>
  <c r="U119" i="61"/>
  <c r="U151" i="61"/>
  <c r="U184" i="61"/>
  <c r="U216" i="61"/>
  <c r="U248" i="61"/>
  <c r="R44" i="59"/>
  <c r="U41" i="61"/>
  <c r="U73" i="61"/>
  <c r="U105" i="61"/>
  <c r="U137" i="61"/>
  <c r="U170" i="61"/>
  <c r="U202" i="61"/>
  <c r="U234" i="61"/>
  <c r="R21" i="59"/>
  <c r="U11" i="61"/>
  <c r="U43" i="61"/>
  <c r="U75" i="61"/>
  <c r="U107" i="61"/>
  <c r="U139" i="61"/>
  <c r="U172" i="61"/>
  <c r="U204" i="61"/>
  <c r="U236" i="61"/>
  <c r="N13" i="63"/>
  <c r="N29" i="63"/>
  <c r="R18" i="59"/>
  <c r="R35" i="59"/>
  <c r="U16" i="61"/>
  <c r="U32" i="61"/>
  <c r="U48" i="61"/>
  <c r="U68" i="61"/>
  <c r="U92" i="61"/>
  <c r="U140" i="61"/>
  <c r="U205" i="61"/>
  <c r="N26" i="63"/>
  <c r="R33" i="59"/>
  <c r="U62" i="61"/>
  <c r="U126" i="61"/>
  <c r="U191" i="61"/>
  <c r="U256" i="61"/>
  <c r="P32" i="69"/>
  <c r="S23" i="71"/>
  <c r="Q60" i="78"/>
  <c r="S11" i="71"/>
  <c r="Q37" i="78"/>
  <c r="P21" i="69"/>
  <c r="P50" i="69"/>
  <c r="K20" i="76"/>
  <c r="Q68" i="78"/>
  <c r="P15" i="69"/>
  <c r="P79" i="69"/>
  <c r="Q90" i="78"/>
  <c r="Q84" i="78"/>
  <c r="Q69" i="78"/>
  <c r="Q55" i="78"/>
  <c r="Q39" i="78"/>
  <c r="Q16" i="78"/>
  <c r="K17" i="76"/>
  <c r="S17" i="71"/>
  <c r="P75" i="69"/>
  <c r="P59" i="69"/>
  <c r="P43" i="69"/>
  <c r="P27" i="69"/>
  <c r="P11" i="69"/>
  <c r="P61" i="69"/>
  <c r="P17" i="69"/>
  <c r="Q79" i="78"/>
  <c r="Q89" i="78"/>
  <c r="Q50" i="78"/>
  <c r="Q34" i="78"/>
  <c r="Q11" i="78"/>
  <c r="K16" i="76"/>
  <c r="S21" i="71"/>
  <c r="P78" i="69"/>
  <c r="P62" i="69"/>
  <c r="P46" i="69"/>
  <c r="P30" i="69"/>
  <c r="P14" i="69"/>
  <c r="P53" i="69"/>
  <c r="O13" i="64"/>
  <c r="Q78" i="78"/>
  <c r="Q88" i="78"/>
  <c r="Q49" i="78"/>
  <c r="Q33" i="78"/>
  <c r="Q10" i="78"/>
  <c r="K19" i="76"/>
  <c r="S24" i="71"/>
  <c r="P85" i="69"/>
  <c r="P45" i="69"/>
  <c r="Q85" i="78"/>
  <c r="Q70" i="78"/>
  <c r="Q56" i="78"/>
  <c r="Q40" i="78"/>
  <c r="Q17" i="78"/>
  <c r="K18" i="76"/>
  <c r="S18" i="71"/>
  <c r="P76" i="69"/>
  <c r="P60" i="69"/>
  <c r="P44" i="69"/>
  <c r="P28" i="69"/>
  <c r="P12" i="69"/>
  <c r="N37" i="63"/>
  <c r="N20" i="63"/>
  <c r="U251" i="61"/>
  <c r="U235" i="61"/>
  <c r="U219" i="61"/>
  <c r="U203" i="61"/>
  <c r="U187" i="61"/>
  <c r="U171" i="61"/>
  <c r="U154" i="61"/>
  <c r="U138" i="61"/>
  <c r="U122" i="61"/>
  <c r="U106" i="61"/>
  <c r="U90" i="61"/>
  <c r="U74" i="61"/>
  <c r="U58" i="61"/>
  <c r="U42" i="61"/>
  <c r="U26" i="61"/>
  <c r="R45" i="59"/>
  <c r="R29" i="59"/>
  <c r="R12" i="59"/>
  <c r="N27" i="63"/>
  <c r="N39" i="63"/>
  <c r="N22" i="63"/>
  <c r="U249" i="61"/>
  <c r="U233" i="61"/>
  <c r="U217" i="61"/>
  <c r="U201" i="61"/>
  <c r="U185" i="61"/>
  <c r="U169" i="61"/>
  <c r="U152" i="61"/>
  <c r="U136" i="61"/>
  <c r="U120" i="61"/>
  <c r="U104" i="61"/>
  <c r="U88" i="61"/>
  <c r="U72" i="61"/>
  <c r="U56" i="61"/>
  <c r="Q80" i="78"/>
  <c r="Q65" i="78"/>
  <c r="Q51" i="78"/>
  <c r="Q35" i="78"/>
  <c r="Q12" i="78"/>
  <c r="K13" i="76"/>
  <c r="S13" i="71"/>
  <c r="P71" i="69"/>
  <c r="P55" i="69"/>
  <c r="P39" i="69"/>
  <c r="P23" i="69"/>
  <c r="O15" i="64"/>
  <c r="P49" i="69"/>
  <c r="Q95" i="78"/>
  <c r="Q91" i="78"/>
  <c r="Q62" i="78"/>
  <c r="Q46" i="78"/>
  <c r="Q23" i="78"/>
  <c r="K30" i="76"/>
  <c r="K12" i="76"/>
  <c r="S16" i="71"/>
  <c r="P74" i="69"/>
  <c r="P58" i="69"/>
  <c r="P42" i="69"/>
  <c r="P26" i="69"/>
  <c r="O14" i="64"/>
  <c r="P41" i="69"/>
  <c r="Q94" i="78"/>
  <c r="Q75" i="78"/>
  <c r="Q61" i="78"/>
  <c r="Q45" i="78"/>
  <c r="Q22" i="78"/>
  <c r="K10" i="81"/>
  <c r="K15" i="76"/>
  <c r="S19" i="71"/>
  <c r="P73" i="69"/>
  <c r="P29" i="69"/>
  <c r="Q81" i="78"/>
  <c r="Q66" i="78"/>
  <c r="Q52" i="78"/>
  <c r="Q36" i="78"/>
  <c r="Q13" i="78"/>
  <c r="K14" i="76"/>
  <c r="S14" i="71"/>
  <c r="P72" i="69"/>
  <c r="P56" i="69"/>
  <c r="P40" i="69"/>
  <c r="P24" i="69"/>
  <c r="O16" i="64"/>
  <c r="N33" i="63"/>
  <c r="N16" i="63"/>
  <c r="U247" i="61"/>
  <c r="U231" i="61"/>
  <c r="U215" i="61"/>
  <c r="U199" i="61"/>
  <c r="U183" i="61"/>
  <c r="U167" i="61"/>
  <c r="U150" i="61"/>
  <c r="U134" i="61"/>
  <c r="U118" i="61"/>
  <c r="U102" i="61"/>
  <c r="U86" i="61"/>
  <c r="U70" i="61"/>
  <c r="U54" i="61"/>
  <c r="U38" i="61"/>
  <c r="U22" i="61"/>
  <c r="R41" i="59"/>
  <c r="R24" i="59"/>
  <c r="N40" i="63"/>
  <c r="N23" i="63"/>
  <c r="N35" i="63"/>
  <c r="N18" i="63"/>
  <c r="U245" i="61"/>
  <c r="U229" i="61"/>
  <c r="U213" i="61"/>
  <c r="U197" i="61"/>
  <c r="U181" i="61"/>
  <c r="U164" i="61"/>
  <c r="U148" i="61"/>
  <c r="U132" i="61"/>
  <c r="U116" i="61"/>
  <c r="Q76" i="78"/>
  <c r="Q63" i="78"/>
  <c r="Q47" i="78"/>
  <c r="Q24" i="78"/>
  <c r="K26" i="76"/>
  <c r="S26" i="71"/>
  <c r="P83" i="69"/>
  <c r="P67" i="69"/>
  <c r="P51" i="69"/>
  <c r="P35" i="69"/>
  <c r="P19" i="69"/>
  <c r="O11" i="64"/>
  <c r="P37" i="69"/>
  <c r="Q87" i="78"/>
  <c r="Q72" i="78"/>
  <c r="Q58" i="78"/>
  <c r="Q42" i="78"/>
  <c r="Q19" i="78"/>
  <c r="K25" i="76"/>
  <c r="S30" i="71"/>
  <c r="S12" i="71"/>
  <c r="P70" i="69"/>
  <c r="P54" i="69"/>
  <c r="P38" i="69"/>
  <c r="P22" i="69"/>
  <c r="P77" i="69"/>
  <c r="P33" i="69"/>
  <c r="Q86" i="78"/>
  <c r="Q71" i="78"/>
  <c r="Q57" i="78"/>
  <c r="Q41" i="78"/>
  <c r="Q18" i="78"/>
  <c r="K29" i="76"/>
  <c r="K11" i="76"/>
  <c r="S15" i="71"/>
  <c r="P69" i="69"/>
  <c r="P13" i="69"/>
  <c r="Q77" i="78"/>
  <c r="Q64" i="78"/>
  <c r="Q48" i="78"/>
  <c r="Q25" i="78"/>
  <c r="K27" i="76"/>
  <c r="S28" i="71"/>
  <c r="P84" i="69"/>
  <c r="P68" i="69"/>
  <c r="P52" i="69"/>
  <c r="P36" i="69"/>
  <c r="P20" i="69"/>
  <c r="O12" i="64"/>
  <c r="N28" i="63"/>
  <c r="N12" i="63"/>
  <c r="U243" i="61"/>
  <c r="U227" i="61"/>
  <c r="U211" i="61"/>
  <c r="U195" i="61"/>
  <c r="U179" i="61"/>
  <c r="U162" i="61"/>
  <c r="U146" i="61"/>
  <c r="U130" i="61"/>
  <c r="U114" i="61"/>
  <c r="U98" i="61"/>
  <c r="U82" i="61"/>
  <c r="U66" i="61"/>
  <c r="U50" i="61"/>
  <c r="U34" i="61"/>
  <c r="U18" i="61"/>
  <c r="R37" i="59"/>
  <c r="R20" i="59"/>
  <c r="N36" i="63"/>
  <c r="N19" i="63"/>
  <c r="N31" i="63"/>
  <c r="N14" i="63"/>
  <c r="U241" i="61"/>
  <c r="U225" i="61"/>
  <c r="U209" i="61"/>
  <c r="U193" i="61"/>
  <c r="U177" i="61"/>
  <c r="U160" i="61"/>
  <c r="U144" i="61"/>
  <c r="U128" i="61"/>
  <c r="U112" i="61"/>
  <c r="U96" i="61"/>
  <c r="D24" i="88"/>
  <c r="D17" i="88"/>
  <c r="D38" i="88"/>
  <c r="D23" i="88"/>
  <c r="D37" i="88"/>
  <c r="D31" i="88"/>
  <c r="D33" i="88"/>
  <c r="R23" i="59"/>
  <c r="U21" i="61"/>
  <c r="U53" i="61"/>
  <c r="U85" i="61"/>
  <c r="U117" i="61"/>
  <c r="U149" i="61"/>
  <c r="U182" i="61"/>
  <c r="U214" i="61"/>
  <c r="U246" i="61"/>
  <c r="R34" i="59"/>
  <c r="U31" i="61"/>
  <c r="U63" i="61"/>
  <c r="U95" i="61"/>
  <c r="U127" i="61"/>
  <c r="U159" i="61"/>
  <c r="U192" i="61"/>
  <c r="U224" i="61"/>
  <c r="U257" i="61"/>
  <c r="U17" i="61"/>
  <c r="U49" i="61"/>
  <c r="U81" i="61"/>
  <c r="U113" i="61"/>
  <c r="U145" i="61"/>
  <c r="U178" i="61"/>
  <c r="U210" i="61"/>
  <c r="U242" i="61"/>
  <c r="R30" i="59"/>
  <c r="U19" i="61"/>
  <c r="U51" i="61"/>
  <c r="U83" i="61"/>
  <c r="U115" i="61"/>
  <c r="U147" i="61"/>
  <c r="U180" i="61"/>
  <c r="U212" i="61"/>
  <c r="U244" i="61"/>
  <c r="N17" i="63"/>
  <c r="N34" i="63"/>
  <c r="R22" i="59"/>
  <c r="R39" i="59"/>
  <c r="U20" i="61"/>
  <c r="U36" i="61"/>
  <c r="U52" i="61"/>
  <c r="U76" i="61"/>
  <c r="U100" i="61"/>
  <c r="U156" i="61"/>
  <c r="U221" i="61"/>
  <c r="N15" i="63"/>
  <c r="U14" i="61"/>
  <c r="U78" i="61"/>
  <c r="U142" i="61"/>
  <c r="U207" i="61"/>
  <c r="N24" i="63"/>
  <c r="P48" i="69"/>
  <c r="K23" i="76"/>
  <c r="Q74" i="78"/>
  <c r="S29" i="71"/>
  <c r="Q53" i="78"/>
  <c r="P65" i="69"/>
  <c r="P66" i="69"/>
  <c r="Q15" i="78"/>
  <c r="Q83" i="78"/>
  <c r="P31" i="69"/>
  <c r="S22" i="71"/>
  <c r="Q59" i="78"/>
  <c r="P34" i="69"/>
  <c r="Q54" i="78"/>
  <c r="Q20" i="78"/>
  <c r="D12" i="88"/>
  <c r="D15" i="88"/>
  <c r="D42" i="88"/>
  <c r="R11" i="59"/>
  <c r="R32" i="59"/>
  <c r="U29" i="61"/>
  <c r="U61" i="61"/>
  <c r="U93" i="61"/>
  <c r="U125" i="61"/>
  <c r="U157" i="61"/>
  <c r="U190" i="61"/>
  <c r="U222" i="61"/>
  <c r="U255" i="61"/>
  <c r="R42" i="59"/>
  <c r="U39" i="61"/>
  <c r="U71" i="61"/>
  <c r="U103" i="61"/>
  <c r="U135" i="61"/>
  <c r="U168" i="61"/>
  <c r="U200" i="61"/>
  <c r="U232" i="61"/>
  <c r="R19" i="59"/>
  <c r="U25" i="61"/>
  <c r="U57" i="61"/>
  <c r="U89" i="61"/>
  <c r="U121" i="61"/>
  <c r="U153" i="61"/>
  <c r="U186" i="61"/>
  <c r="U218" i="61"/>
  <c r="U250" i="61"/>
  <c r="R38" i="59"/>
  <c r="U27" i="61"/>
  <c r="U59" i="61"/>
  <c r="U91" i="61"/>
  <c r="U123" i="61"/>
  <c r="U155" i="61"/>
  <c r="U188" i="61"/>
  <c r="U220" i="61"/>
  <c r="U253" i="61"/>
  <c r="N21" i="63"/>
  <c r="N38" i="63"/>
  <c r="R26" i="59"/>
  <c r="R43" i="59"/>
  <c r="U24" i="61"/>
  <c r="U40" i="61"/>
  <c r="U60" i="61"/>
  <c r="U80" i="61"/>
  <c r="U108" i="61"/>
  <c r="U173" i="61"/>
  <c r="U237" i="61"/>
  <c r="N32" i="63"/>
  <c r="U30" i="61"/>
  <c r="U94" i="61"/>
  <c r="U158" i="61"/>
  <c r="U223" i="61"/>
  <c r="N41" i="63"/>
  <c r="P64" i="69"/>
  <c r="Q21" i="78"/>
  <c r="Q93" i="78"/>
  <c r="K24" i="76"/>
  <c r="Q67" i="78"/>
  <c r="P18" i="69"/>
  <c r="P82" i="69"/>
  <c r="Q38" i="78"/>
  <c r="P25" i="69"/>
  <c r="P47" i="69"/>
  <c r="K22" i="76"/>
  <c r="Q73" i="78"/>
  <c r="Q96" i="78"/>
  <c r="Q27" i="78"/>
  <c r="Q29" i="78"/>
  <c r="Q31" i="78"/>
  <c r="Q26" i="78"/>
  <c r="Q28" i="78"/>
  <c r="Q30" i="7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9">
    <s v="Migdal Hashkaot Neches Boded"/>
    <s v="{[Time].[Hie Time].[Yom].&amp;[20190331]}"/>
    <s v="{[Medida].[Medida].&amp;[2]}"/>
    <s v="{[Keren].[Keren].[All]}"/>
    <s v="{[Cheshbon KM].[Hie Peilut].[Peilut 7].&amp;[Kod_Peilut_L7_625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8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3" si="28">
        <n x="1" s="1"/>
        <n x="26"/>
        <n x="27"/>
      </t>
    </mdx>
    <mdx n="0" f="v">
      <t c="3" si="28">
        <n x="1" s="1"/>
        <n x="29"/>
        <n x="27"/>
      </t>
    </mdx>
    <mdx n="0" f="v">
      <t c="3" si="28">
        <n x="1" s="1"/>
        <n x="30"/>
        <n x="27"/>
      </t>
    </mdx>
    <mdx n="0" f="v">
      <t c="3" si="28">
        <n x="1" s="1"/>
        <n x="31"/>
        <n x="27"/>
      </t>
    </mdx>
    <mdx n="0" f="v">
      <t c="3" si="28">
        <n x="1" s="1"/>
        <n x="32"/>
        <n x="27"/>
      </t>
    </mdx>
    <mdx n="0" f="v">
      <t c="3" si="28">
        <n x="1" s="1"/>
        <n x="33"/>
        <n x="27"/>
      </t>
    </mdx>
    <mdx n="0" f="v">
      <t c="3" si="28">
        <n x="1" s="1"/>
        <n x="34"/>
        <n x="27"/>
      </t>
    </mdx>
    <mdx n="0" f="v">
      <t c="3" si="28">
        <n x="1" s="1"/>
        <n x="35"/>
        <n x="27"/>
      </t>
    </mdx>
    <mdx n="0" f="v">
      <t c="3" si="28">
        <n x="1" s="1"/>
        <n x="36"/>
        <n x="27"/>
      </t>
    </mdx>
    <mdx n="0" f="v">
      <t c="3" si="28">
        <n x="1" s="1"/>
        <n x="37"/>
        <n x="27"/>
      </t>
    </mdx>
    <mdx n="0" f="v">
      <t c="3" si="28">
        <n x="1" s="1"/>
        <n x="38"/>
        <n x="27"/>
      </t>
    </mdx>
  </mdxMetadata>
  <valueMetadata count="4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</valueMetadata>
</metadata>
</file>

<file path=xl/sharedStrings.xml><?xml version="1.0" encoding="utf-8"?>
<sst xmlns="http://schemas.openxmlformats.org/spreadsheetml/2006/main" count="5199" uniqueCount="1261">
  <si>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</si>
  <si>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</si>
  <si>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</si>
  <si>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</si>
  <si>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</si>
  <si>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</si>
  <si>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</si>
  <si>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</si>
  <si>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</si>
  <si>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</si>
  <si>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</si>
  <si>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</si>
  <si>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</si>
  <si>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</si>
  <si>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</si>
  <si>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</si>
  <si>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</si>
  <si>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</si>
  <si>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</si>
  <si>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</si>
  <si>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</si>
  <si>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</si>
  <si>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</si>
  <si>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</si>
  <si>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</si>
  <si>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</si>
  <si>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</si>
  <si>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</si>
  <si>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</si>
  <si>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</si>
  <si>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</si>
  <si>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</si>
  <si>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</si>
  <si>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</si>
  <si>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</si>
  <si>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</si>
  <si>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</si>
  <si>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</si>
  <si>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</si>
  <si>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</si>
  <si>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</si>
  <si>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פקדונות במט"ח עד שלושה חודשים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</si>
  <si>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</si>
  <si>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</si>
  <si>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</si>
  <si>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</si>
  <si>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</si>
  <si>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</si>
  <si>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</si>
  <si>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</si>
  <si>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</si>
  <si>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</si>
  <si>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</si>
  <si>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</si>
  <si>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</si>
  <si>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</si>
  <si>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</si>
  <si>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</si>
  <si>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</si>
  <si>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</si>
  <si>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ענף מסחר</t>
  </si>
  <si>
    <t>שם מדרג</t>
  </si>
  <si>
    <t>סה"כ שמחקות מדדים אחרים בישראל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</si>
  <si>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</si>
  <si>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</si>
  <si>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</si>
  <si>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</si>
  <si>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</si>
  <si>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</si>
  <si>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</si>
  <si>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</si>
  <si>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</si>
  <si>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</si>
  <si>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</si>
  <si>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</si>
  <si>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</si>
  <si>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</si>
  <si>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</si>
  <si>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</si>
  <si>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</si>
  <si>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</si>
  <si>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</si>
  <si>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</si>
  <si>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</si>
  <si>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</si>
  <si>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</si>
  <si>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</si>
  <si>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</si>
  <si>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</si>
  <si>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</si>
  <si>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</si>
  <si>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</si>
  <si>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</si>
  <si>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</si>
  <si>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</si>
  <si>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</si>
  <si>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</si>
  <si>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</si>
  <si>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</si>
  <si>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</si>
  <si>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</si>
  <si>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</si>
  <si>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</si>
  <si>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</si>
  <si>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</si>
  <si>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</si>
  <si>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</si>
  <si>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</si>
  <si>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</si>
  <si>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</si>
  <si>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</si>
  <si>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</si>
  <si>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</si>
  <si>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</si>
  <si>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</si>
  <si>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</si>
  <si>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</si>
  <si>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</si>
  <si>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</si>
  <si>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</si>
  <si>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</si>
  <si>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</si>
  <si>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</si>
  <si>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</si>
  <si>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</si>
  <si>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</si>
  <si>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</si>
  <si>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</si>
  <si>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</si>
  <si>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</si>
  <si>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</si>
  <si>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</si>
  <si>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</si>
  <si>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</si>
  <si>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</si>
  <si>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</si>
  <si>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</si>
  <si>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</si>
  <si>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</si>
  <si>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</si>
  <si>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</si>
  <si>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</si>
  <si>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</si>
  <si>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</si>
  <si>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</si>
  <si>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</si>
  <si>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</si>
  <si>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</si>
  <si>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</si>
  <si>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</si>
  <si>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</si>
  <si>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</si>
  <si>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</si>
  <si>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</si>
  <si>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</si>
  <si>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</si>
  <si>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</si>
  <si>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</si>
  <si>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</si>
  <si>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</si>
  <si>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</si>
  <si>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</si>
  <si>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</si>
  <si>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</si>
  <si>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</si>
  <si>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</si>
  <si>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</si>
  <si>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</si>
  <si>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</si>
  <si>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</si>
  <si>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</si>
  <si>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</si>
  <si>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</si>
  <si>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</si>
  <si>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</si>
  <si>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</si>
  <si>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</si>
  <si>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</si>
  <si>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</si>
  <si>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</si>
  <si>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</si>
  <si>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</si>
  <si>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</si>
  <si>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</si>
  <si>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</si>
  <si>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</si>
  <si>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</si>
  <si>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</si>
  <si>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</si>
  <si>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</si>
  <si>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</si>
  <si>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</si>
  <si>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</si>
  <si>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</si>
  <si>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</si>
  <si>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</si>
  <si>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</si>
  <si>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</si>
  <si>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</si>
  <si>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</si>
  <si>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</si>
  <si>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</si>
  <si>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</si>
  <si>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</si>
  <si>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</si>
  <si>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</si>
  <si>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</si>
  <si>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</si>
  <si>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</si>
  <si>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</si>
  <si>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</si>
  <si>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</si>
  <si>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</si>
  <si>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</si>
  <si>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</si>
  <si>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</si>
  <si>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</si>
  <si>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</si>
  <si>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</si>
  <si>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</si>
  <si>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</si>
  <si>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</si>
  <si>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</si>
  <si>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</si>
  <si>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</si>
  <si>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</si>
  <si>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</si>
  <si>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</si>
  <si>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</si>
  <si>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</si>
  <si>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</si>
  <si>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</si>
  <si>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</si>
  <si>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</si>
  <si>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</si>
  <si>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</si>
  <si>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</si>
  <si>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</si>
  <si>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</si>
  <si>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</si>
  <si>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</si>
  <si>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</si>
  <si>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</si>
  <si>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</si>
  <si>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</si>
  <si>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</si>
  <si>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</si>
  <si>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</si>
  <si>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מקפת קרנות פנסיה וקופות גמל בע"מ</t>
  </si>
  <si>
    <t>מקפת אישית - מסלול אג"ח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</si>
  <si>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</si>
  <si>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</si>
  <si>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</si>
  <si>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</si>
  <si>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</si>
  <si>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</si>
  <si>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</si>
  <si>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</si>
  <si>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</si>
  <si>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</si>
  <si>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</si>
  <si>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</si>
  <si>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</si>
  <si>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</si>
  <si>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</si>
  <si>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</si>
  <si>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</si>
  <si>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</si>
  <si>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</si>
  <si>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529</t>
  </si>
  <si>
    <t>1157023</t>
  </si>
  <si>
    <t>ממשלתי צמוד 545</t>
  </si>
  <si>
    <t>1134865</t>
  </si>
  <si>
    <t>ממשלתי צמוד 922</t>
  </si>
  <si>
    <t>1124056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</si>
  <si>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</si>
  <si>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</si>
  <si>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</si>
  <si>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</si>
  <si>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</si>
  <si>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</si>
  <si>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</si>
  <si>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</si>
  <si>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1119</t>
  </si>
  <si>
    <t>1157098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</si>
  <si>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</si>
  <si>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</si>
  <si>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</si>
  <si>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</si>
  <si>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</si>
  <si>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</si>
  <si>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</si>
  <si>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</si>
  <si>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</si>
  <si>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</si>
  <si>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</si>
  <si>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</si>
  <si>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</si>
  <si>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</si>
  <si>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</si>
  <si>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</si>
  <si>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819</t>
  </si>
  <si>
    <t>1156371</t>
  </si>
  <si>
    <t>ממשלתי שקלי 825</t>
  </si>
  <si>
    <t>1135557</t>
  </si>
  <si>
    <t>ממשלתי שקלי 928</t>
  </si>
  <si>
    <t>1150879</t>
  </si>
  <si>
    <t>ממשק0120</t>
  </si>
  <si>
    <t>1115773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</si>
  <si>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</si>
  <si>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</si>
  <si>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</si>
  <si>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</si>
  <si>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</si>
  <si>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</si>
  <si>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</si>
  <si>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</si>
  <si>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</si>
  <si>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</si>
  <si>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</si>
  <si>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</si>
  <si>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</si>
  <si>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</si>
  <si>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</si>
  <si>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</si>
  <si>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</si>
  <si>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</si>
  <si>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</si>
  <si>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</si>
  <si>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</si>
  <si>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</si>
  <si>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</si>
  <si>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</si>
  <si>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</si>
  <si>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</si>
  <si>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</si>
  <si>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</si>
  <si>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</si>
  <si>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</si>
  <si>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</si>
  <si>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</si>
  <si>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</si>
  <si>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</si>
  <si>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</si>
  <si>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</si>
  <si>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</si>
  <si>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</si>
  <si>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</si>
  <si>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</si>
  <si>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</si>
  <si>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</si>
  <si>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</si>
  <si>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</si>
  <si>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</si>
  <si>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</si>
  <si>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</si>
  <si>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</si>
  <si>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</si>
  <si>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</si>
  <si>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</si>
  <si>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</si>
  <si>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</si>
  <si>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נתיבי גז אגח ד</t>
  </si>
  <si>
    <t>1147503</t>
  </si>
  <si>
    <t>513436394</t>
  </si>
  <si>
    <t>שרותים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</si>
  <si>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</si>
  <si>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</si>
  <si>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</si>
  <si>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</si>
  <si>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</si>
  <si>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</si>
  <si>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</si>
  <si>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</si>
  <si>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עזריאלי אגח ה</t>
  </si>
  <si>
    <t>1156603</t>
  </si>
  <si>
    <t>עזריאלי אגח ו</t>
  </si>
  <si>
    <t>1156611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</si>
  <si>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</si>
  <si>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</si>
  <si>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</si>
  <si>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</si>
  <si>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</si>
  <si>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</si>
  <si>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</si>
  <si>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</si>
  <si>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</si>
  <si>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</si>
  <si>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</si>
  <si>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</si>
  <si>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</si>
  <si>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</si>
  <si>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</si>
  <si>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</si>
  <si>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</si>
  <si>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</si>
  <si>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</si>
  <si>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</si>
  <si>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</si>
  <si>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</si>
  <si>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</si>
  <si>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</si>
  <si>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</si>
  <si>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</si>
  <si>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</si>
  <si>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</si>
  <si>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</si>
  <si>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</si>
  <si>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</si>
  <si>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</si>
  <si>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</si>
  <si>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</si>
  <si>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</si>
  <si>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</si>
  <si>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</si>
  <si>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</si>
  <si>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</si>
  <si>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</si>
  <si>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</si>
  <si>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</si>
  <si>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</si>
  <si>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</si>
  <si>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</si>
  <si>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</si>
  <si>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</si>
  <si>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</si>
  <si>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</si>
  <si>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</si>
  <si>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</si>
  <si>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</si>
  <si>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</si>
  <si>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</si>
  <si>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</si>
  <si>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</si>
  <si>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</si>
  <si>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</si>
  <si>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</si>
  <si>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</si>
  <si>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</si>
  <si>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</si>
  <si>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</si>
  <si>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</si>
  <si>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</si>
  <si>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</si>
  <si>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</si>
  <si>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</si>
  <si>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</si>
  <si>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</si>
  <si>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</si>
  <si>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</si>
  <si>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</si>
  <si>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</si>
  <si>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</si>
  <si>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</si>
  <si>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</si>
  <si>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לאומי COCO סדרה 403</t>
  </si>
  <si>
    <t>6040430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</si>
  <si>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</si>
  <si>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</si>
  <si>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</si>
  <si>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</si>
  <si>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</si>
  <si>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</si>
  <si>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</si>
  <si>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</si>
  <si>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</si>
  <si>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</si>
  <si>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</si>
  <si>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</si>
  <si>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</si>
  <si>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מנורה מב אג1</t>
  </si>
  <si>
    <t>5660048</t>
  </si>
  <si>
    <t>520007469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</si>
  <si>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</si>
  <si>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</si>
  <si>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</si>
  <si>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</si>
  <si>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</si>
  <si>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</si>
  <si>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</si>
  <si>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</si>
  <si>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</si>
  <si>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</si>
  <si>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</si>
  <si>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</si>
  <si>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</si>
  <si>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</si>
  <si>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</si>
  <si>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</si>
  <si>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</si>
  <si>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</si>
  <si>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</si>
  <si>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</si>
  <si>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</si>
  <si>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</si>
  <si>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</si>
  <si>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</si>
  <si>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</si>
  <si>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</si>
  <si>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</si>
  <si>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</si>
  <si>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</si>
  <si>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</si>
  <si>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בראק אן וי אגח א</t>
  </si>
  <si>
    <t>1122860</t>
  </si>
  <si>
    <t>34250659</t>
  </si>
  <si>
    <t>בראק אן וי אגח ב</t>
  </si>
  <si>
    <t>1128347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</si>
  <si>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</si>
  <si>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</si>
  <si>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</si>
  <si>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</si>
  <si>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</si>
  <si>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</si>
  <si>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</si>
  <si>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</si>
  <si>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</si>
  <si>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</si>
  <si>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</si>
  <si>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</si>
  <si>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</si>
  <si>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</si>
  <si>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</si>
  <si>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</si>
  <si>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</si>
  <si>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</si>
  <si>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</si>
  <si>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</si>
  <si>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</si>
  <si>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</si>
  <si>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</si>
  <si>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</si>
  <si>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</si>
  <si>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</si>
  <si>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</si>
  <si>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</si>
  <si>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</si>
  <si>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</si>
  <si>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</si>
  <si>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</si>
  <si>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</si>
  <si>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</si>
  <si>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</si>
  <si>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</si>
  <si>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</si>
  <si>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</si>
  <si>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</si>
  <si>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</si>
  <si>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</si>
  <si>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</si>
  <si>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</si>
  <si>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</si>
  <si>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</si>
  <si>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</si>
  <si>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</si>
  <si>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</si>
  <si>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</si>
  <si>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</si>
  <si>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</si>
  <si>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</si>
  <si>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</si>
  <si>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</si>
  <si>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</si>
  <si>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</si>
  <si>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</si>
  <si>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</si>
  <si>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</si>
  <si>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</si>
  <si>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</si>
  <si>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</si>
  <si>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</si>
  <si>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</si>
  <si>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</si>
  <si>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</si>
  <si>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</si>
  <si>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</si>
  <si>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</si>
  <si>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</si>
  <si>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</si>
  <si>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</si>
  <si>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</si>
  <si>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</si>
  <si>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</si>
  <si>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</si>
  <si>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</si>
  <si>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</si>
  <si>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</si>
  <si>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</si>
  <si>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</si>
  <si>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</si>
  <si>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</si>
  <si>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</si>
  <si>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</si>
  <si>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</si>
  <si>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</si>
  <si>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</si>
  <si>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</si>
  <si>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</si>
  <si>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</si>
  <si>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</si>
  <si>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</si>
  <si>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</si>
  <si>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</si>
  <si>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</si>
  <si>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</si>
  <si>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</si>
  <si>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</si>
  <si>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</si>
  <si>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</si>
  <si>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</si>
  <si>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</si>
  <si>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</si>
  <si>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</si>
  <si>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</si>
  <si>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</si>
  <si>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</si>
  <si>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</si>
  <si>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</si>
  <si>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</si>
  <si>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</si>
  <si>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</si>
  <si>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</si>
  <si>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</si>
  <si>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</si>
  <si>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</si>
  <si>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</si>
  <si>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</si>
  <si>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</si>
  <si>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</si>
  <si>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</si>
  <si>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</si>
  <si>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</si>
  <si>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</si>
  <si>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</si>
  <si>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</si>
  <si>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</si>
  <si>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</si>
  <si>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</si>
  <si>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</si>
  <si>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</si>
  <si>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</si>
  <si>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</si>
  <si>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</si>
  <si>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</si>
  <si>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</si>
  <si>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</si>
  <si>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</si>
  <si>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</si>
  <si>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מגה אור אגח ז</t>
  </si>
  <si>
    <t>1141696</t>
  </si>
  <si>
    <t>שיכון ובינוי 6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</si>
  <si>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</si>
  <si>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</si>
  <si>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</si>
  <si>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</si>
  <si>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</si>
  <si>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</si>
  <si>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</si>
  <si>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</si>
  <si>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</si>
  <si>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</si>
  <si>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</si>
  <si>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</si>
  <si>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</si>
  <si>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</si>
  <si>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</si>
  <si>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</si>
  <si>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</si>
  <si>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</si>
  <si>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</si>
  <si>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</si>
  <si>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</si>
  <si>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</si>
  <si>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</si>
  <si>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</si>
  <si>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</si>
  <si>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</si>
  <si>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הכשרת היישוב 17</t>
  </si>
  <si>
    <t>6120182</t>
  </si>
  <si>
    <t>514423474</t>
  </si>
  <si>
    <t>BBB+.IL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</si>
  <si>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</si>
  <si>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</si>
  <si>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</si>
  <si>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</si>
  <si>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</si>
  <si>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</si>
  <si>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</si>
  <si>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</si>
  <si>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</si>
  <si>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</si>
  <si>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</si>
  <si>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</si>
  <si>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</si>
  <si>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</si>
  <si>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</si>
  <si>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</si>
  <si>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</si>
  <si>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</si>
  <si>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</si>
  <si>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</si>
  <si>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</si>
  <si>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</si>
  <si>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</si>
  <si>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</si>
  <si>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</si>
  <si>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</si>
  <si>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</si>
  <si>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</si>
  <si>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</si>
  <si>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</si>
  <si>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</si>
  <si>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</si>
  <si>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</si>
  <si>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</si>
  <si>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</si>
  <si>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</si>
  <si>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</si>
  <si>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</si>
  <si>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</si>
  <si>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</si>
  <si>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</si>
  <si>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</si>
  <si>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</si>
  <si>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</si>
  <si>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</si>
  <si>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</si>
  <si>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</si>
  <si>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</si>
  <si>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</si>
  <si>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</si>
  <si>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</si>
  <si>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</si>
  <si>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</si>
  <si>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</si>
  <si>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</si>
  <si>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</si>
  <si>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</si>
  <si>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</si>
  <si>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</si>
  <si>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</si>
  <si>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</si>
  <si>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</si>
  <si>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</si>
  <si>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</si>
  <si>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</si>
  <si>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</si>
  <si>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</si>
  <si>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</si>
  <si>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</si>
  <si>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</si>
  <si>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</si>
  <si>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</si>
  <si>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</si>
  <si>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</si>
  <si>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</si>
  <si>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</si>
  <si>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</si>
  <si>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</si>
  <si>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</si>
  <si>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</si>
  <si>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</si>
  <si>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</si>
  <si>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</si>
  <si>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</si>
  <si>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</si>
  <si>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</si>
  <si>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</si>
  <si>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</si>
  <si>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</si>
  <si>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</si>
  <si>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</si>
  <si>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</si>
  <si>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</si>
  <si>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</si>
  <si>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</si>
  <si>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</si>
  <si>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</si>
  <si>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</si>
  <si>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</si>
  <si>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</si>
  <si>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</si>
  <si>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</si>
  <si>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</si>
  <si>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</si>
  <si>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</si>
  <si>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</si>
  <si>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</si>
  <si>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</si>
  <si>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</si>
  <si>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</si>
  <si>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</si>
  <si>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</si>
  <si>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</si>
  <si>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</si>
  <si>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</si>
  <si>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</si>
  <si>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</si>
  <si>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</si>
  <si>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</si>
  <si>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</si>
  <si>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</si>
  <si>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</si>
  <si>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</si>
  <si>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</si>
  <si>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</si>
  <si>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</si>
  <si>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</si>
  <si>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</si>
  <si>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</si>
  <si>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</si>
  <si>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</si>
  <si>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</si>
  <si>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</si>
  <si>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</si>
  <si>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</si>
  <si>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</si>
  <si>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</si>
  <si>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</si>
  <si>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</si>
  <si>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</si>
  <si>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</si>
  <si>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</si>
  <si>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</si>
  <si>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</si>
  <si>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</si>
  <si>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</si>
  <si>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</si>
  <si>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</si>
  <si>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</si>
  <si>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</si>
  <si>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</si>
  <si>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</si>
  <si>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</si>
  <si>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</si>
  <si>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</si>
  <si>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</si>
  <si>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</si>
  <si>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</si>
  <si>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</si>
  <si>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</si>
  <si>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</si>
  <si>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</si>
  <si>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</si>
  <si>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</si>
  <si>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</si>
  <si>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</si>
  <si>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</si>
  <si>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</si>
  <si>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</si>
  <si>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</si>
  <si>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</si>
  <si>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</si>
  <si>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</si>
  <si>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</si>
  <si>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</si>
  <si>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</si>
  <si>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</si>
  <si>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</si>
  <si>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</si>
  <si>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</si>
  <si>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</si>
  <si>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</si>
  <si>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</si>
  <si>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</si>
  <si>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</si>
  <si>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</si>
  <si>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</si>
  <si>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</si>
  <si>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</si>
  <si>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</si>
  <si>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</si>
  <si>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</si>
  <si>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</si>
  <si>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</si>
  <si>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</si>
  <si>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</si>
  <si>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</si>
  <si>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</si>
  <si>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</si>
  <si>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</si>
  <si>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</si>
  <si>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</si>
  <si>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</si>
  <si>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</si>
  <si>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</si>
  <si>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</si>
  <si>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</si>
  <si>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</si>
  <si>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</si>
  <si>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</si>
  <si>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</si>
  <si>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</si>
  <si>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</si>
  <si>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הראל סל תלבונד 20</t>
  </si>
  <si>
    <t>1150440</t>
  </si>
  <si>
    <t>514103811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</si>
  <si>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</si>
  <si>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</si>
  <si>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</si>
  <si>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</si>
  <si>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</si>
  <si>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</si>
  <si>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</si>
  <si>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</si>
  <si>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</si>
  <si>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513464289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</si>
  <si>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</si>
  <si>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</si>
  <si>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</si>
  <si>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</si>
  <si>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</si>
  <si>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</si>
  <si>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</si>
  <si>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</si>
  <si>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520041989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</si>
  <si>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</si>
  <si>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</si>
  <si>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</si>
  <si>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</si>
  <si>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</si>
  <si>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</si>
  <si>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</si>
  <si>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</si>
  <si>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513540310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</si>
  <si>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</si>
  <si>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</si>
  <si>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</si>
  <si>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</si>
  <si>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</si>
  <si>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</si>
  <si>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</si>
  <si>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</si>
  <si>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</si>
  <si>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</si>
  <si>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</si>
  <si>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</si>
  <si>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</si>
  <si>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</si>
  <si>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</si>
  <si>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</si>
  <si>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</si>
  <si>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</si>
  <si>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NYSE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</si>
  <si>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</si>
  <si>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</si>
  <si>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</si>
  <si>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</si>
  <si>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</si>
  <si>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</si>
  <si>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</si>
  <si>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</si>
  <si>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</si>
  <si>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</si>
  <si>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</si>
  <si>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</si>
  <si>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</t>
  </si>
  <si>
    <t>Pioneer Funds US HY</t>
  </si>
  <si>
    <t>LU0132199406</t>
  </si>
  <si>
    <t>ערד 2024 סדרה 8761</t>
  </si>
  <si>
    <t>8287617</t>
  </si>
  <si>
    <t>ערד 2025 סדרה 8771</t>
  </si>
  <si>
    <t>8287716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</si>
  <si>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</si>
  <si>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</si>
  <si>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</si>
  <si>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</si>
  <si>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</si>
  <si>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</si>
  <si>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</si>
  <si>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</si>
  <si>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</si>
  <si>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</si>
  <si>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</si>
  <si>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</si>
  <si>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</si>
  <si>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</si>
  <si>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</si>
  <si>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</si>
  <si>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8800</t>
  </si>
  <si>
    <t>98800000</t>
  </si>
  <si>
    <t>ערד 8802</t>
  </si>
  <si>
    <t>ערד 8803</t>
  </si>
  <si>
    <t>71121057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</si>
  <si>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</si>
  <si>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</si>
  <si>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</si>
  <si>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</si>
  <si>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</si>
  <si>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</si>
  <si>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</si>
  <si>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</si>
  <si>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</si>
  <si>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</si>
  <si>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</si>
  <si>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</si>
  <si>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</si>
  <si>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</si>
  <si>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</si>
  <si>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</si>
  <si>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</si>
  <si>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</si>
  <si>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</si>
  <si>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</si>
  <si>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</si>
  <si>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</si>
  <si>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</si>
  <si>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</si>
  <si>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</si>
  <si>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</si>
  <si>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</si>
  <si>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</si>
  <si>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</si>
  <si>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</si>
  <si>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</si>
  <si>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</si>
  <si>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</si>
  <si>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</si>
  <si>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</si>
  <si>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</si>
  <si>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</si>
  <si>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</si>
  <si>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</si>
  <si>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</si>
  <si>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</si>
  <si>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</si>
  <si>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</si>
  <si>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</si>
  <si>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</si>
  <si>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</si>
  <si>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</si>
  <si>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</si>
  <si>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</si>
  <si>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</si>
  <si>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</si>
  <si>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</si>
  <si>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</si>
  <si>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</si>
  <si>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</si>
  <si>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</si>
  <si>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</si>
  <si>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</si>
  <si>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</si>
  <si>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</si>
  <si>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</si>
  <si>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</si>
  <si>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</si>
  <si>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</si>
  <si>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</si>
  <si>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</si>
  <si>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</si>
  <si>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</si>
  <si>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</si>
  <si>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</si>
  <si>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</si>
  <si>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</si>
  <si>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</si>
  <si>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</si>
  <si>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</si>
  <si>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</si>
  <si>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</si>
  <si>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</si>
  <si>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</si>
  <si>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8855</t>
  </si>
  <si>
    <t>88550000</t>
  </si>
  <si>
    <t>ערד 8856</t>
  </si>
  <si>
    <t>88560000</t>
  </si>
  <si>
    <t>ערד 8857</t>
  </si>
  <si>
    <t>88570000</t>
  </si>
  <si>
    <t>ערד 8858</t>
  </si>
  <si>
    <t>88580000</t>
  </si>
  <si>
    <t>ערד 8860</t>
  </si>
  <si>
    <t>88600000</t>
  </si>
  <si>
    <t>ערד 8863</t>
  </si>
  <si>
    <t>88630000</t>
  </si>
  <si>
    <t>ערד 8865</t>
  </si>
  <si>
    <t>88650000</t>
  </si>
  <si>
    <t>ערד 8866</t>
  </si>
  <si>
    <t>88660000</t>
  </si>
  <si>
    <t>ערד 8871</t>
  </si>
  <si>
    <t>88710000</t>
  </si>
  <si>
    <t>ערד 8872</t>
  </si>
  <si>
    <t>88720000</t>
  </si>
  <si>
    <t>ערד סדרה 2024  8758  4.8%</t>
  </si>
  <si>
    <t>8287583</t>
  </si>
  <si>
    <t>ערד סדרה 8756 2024 4.8%</t>
  </si>
  <si>
    <t>8287567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</si>
  <si>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</si>
  <si>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</si>
  <si>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</si>
  <si>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</si>
  <si>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</si>
  <si>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</si>
  <si>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</si>
  <si>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</si>
  <si>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</si>
  <si>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</si>
  <si>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</si>
  <si>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</si>
  <si>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</si>
  <si>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</si>
  <si>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</si>
  <si>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</si>
  <si>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</si>
  <si>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</si>
  <si>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</si>
  <si>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</si>
  <si>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</si>
  <si>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</si>
  <si>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</si>
  <si>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</si>
  <si>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אגח ל.ס חשמל 2022</t>
  </si>
  <si>
    <t>6000129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</si>
  <si>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</si>
  <si>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</si>
  <si>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</si>
  <si>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</si>
  <si>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</si>
  <si>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</si>
  <si>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</si>
  <si>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</si>
  <si>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</si>
  <si>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</si>
  <si>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אמקור א</t>
  </si>
  <si>
    <t>1133545</t>
  </si>
  <si>
    <t>510064603</t>
  </si>
  <si>
    <t>אורמת אגח 2*</t>
  </si>
  <si>
    <t>1139161</t>
  </si>
  <si>
    <t>520036716</t>
  </si>
  <si>
    <t>אורמת אגח 3*</t>
  </si>
  <si>
    <t>1139179</t>
  </si>
  <si>
    <t>ל.ר.</t>
  </si>
  <si>
    <t>₪ / מט"ח</t>
  </si>
  <si>
    <t>פורוורד ש"ח-מט"ח</t>
  </si>
  <si>
    <t>10000164</t>
  </si>
  <si>
    <t>10000156</t>
  </si>
  <si>
    <t>10000171</t>
  </si>
  <si>
    <t>10000150</t>
  </si>
  <si>
    <t>10000146</t>
  </si>
  <si>
    <t>10000173</t>
  </si>
  <si>
    <t>10000174</t>
  </si>
  <si>
    <t>פורוורד מט"ח-מט"ח</t>
  </si>
  <si>
    <t>10000162</t>
  </si>
  <si>
    <t>10000160</t>
  </si>
  <si>
    <t>10000158</t>
  </si>
  <si>
    <t>10000168</t>
  </si>
  <si>
    <t>10000169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</si>
  <si>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</si>
  <si>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</si>
  <si>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</si>
  <si>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</si>
  <si>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</si>
  <si>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</si>
  <si>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</si>
  <si>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</si>
  <si>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</si>
  <si>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</si>
  <si>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30110000</t>
  </si>
  <si>
    <t>בנק מזרחי טפחות בע"מ</t>
  </si>
  <si>
    <t>30120000</t>
  </si>
  <si>
    <t>בנק דיסקונט לישראל בע"מ</t>
  </si>
  <si>
    <t>30011000</t>
  </si>
  <si>
    <t>יו בנק</t>
  </si>
  <si>
    <t>30026000</t>
  </si>
  <si>
    <t>34010000</t>
  </si>
  <si>
    <t>32010000</t>
  </si>
  <si>
    <t>30210000</t>
  </si>
  <si>
    <t>פק מרווח בטחון לאומי</t>
  </si>
  <si>
    <t>75001127</t>
  </si>
  <si>
    <t>דירוג פנימי</t>
  </si>
  <si>
    <t>NR</t>
  </si>
  <si>
    <t>לא</t>
  </si>
  <si>
    <t>507852</t>
  </si>
  <si>
    <t>AA</t>
  </si>
  <si>
    <t>כן</t>
  </si>
  <si>
    <t>11898601</t>
  </si>
  <si>
    <t>11898600</t>
  </si>
  <si>
    <t>11898602</t>
  </si>
  <si>
    <t>11898603</t>
  </si>
  <si>
    <t>11898550</t>
  </si>
  <si>
    <t>11898551</t>
  </si>
  <si>
    <t>458870</t>
  </si>
  <si>
    <t>AA-</t>
  </si>
  <si>
    <t>458869</t>
  </si>
  <si>
    <t>455954</t>
  </si>
  <si>
    <t>A+</t>
  </si>
  <si>
    <t>90840002</t>
  </si>
  <si>
    <t>90840004</t>
  </si>
  <si>
    <t>90840006</t>
  </si>
  <si>
    <t>90840008</t>
  </si>
  <si>
    <t>90840010</t>
  </si>
  <si>
    <t>90840012</t>
  </si>
  <si>
    <t>90840000</t>
  </si>
  <si>
    <t>90136004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</si>
  <si>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</si>
  <si>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</si>
  <si>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</si>
  <si>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</si>
  <si>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</si>
  <si>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</si>
  <si>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</si>
  <si>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</si>
  <si>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</si>
  <si>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</si>
  <si>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</si>
  <si>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</si>
  <si>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90310006</t>
  </si>
  <si>
    <t>90310007</t>
  </si>
  <si>
    <t>91102700</t>
  </si>
  <si>
    <t>A</t>
  </si>
  <si>
    <t>91102701</t>
  </si>
  <si>
    <t>84666730</t>
  </si>
  <si>
    <t>91040003</t>
  </si>
  <si>
    <t>91040006</t>
  </si>
  <si>
    <t>91040007</t>
  </si>
  <si>
    <t>66679</t>
  </si>
  <si>
    <t>91050027</t>
  </si>
  <si>
    <t>91050028</t>
  </si>
  <si>
    <t>91050029</t>
  </si>
  <si>
    <t>482154</t>
  </si>
  <si>
    <t>482153</t>
  </si>
  <si>
    <t>84666732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</si>
  <si>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</si>
  <si>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</si>
  <si>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</si>
  <si>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</si>
  <si>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</si>
  <si>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</si>
  <si>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</si>
  <si>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</si>
  <si>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90310005</t>
  </si>
  <si>
    <t>90145362</t>
  </si>
  <si>
    <t>508506</t>
  </si>
  <si>
    <t>קרדן אן.וי אגח ב חש 2/18</t>
  </si>
  <si>
    <t>1143270</t>
  </si>
  <si>
    <t>סה"כ יתרות התחייבות להשקעה</t>
  </si>
  <si>
    <t>סה"כ בישראל</t>
  </si>
  <si>
    <t>פורוורד ריבית</t>
  </si>
  <si>
    <t>מובטחות משכנתא - גורם 01</t>
  </si>
  <si>
    <t>בבטחונות אחרים - גורם 114</t>
  </si>
  <si>
    <t>בבטחונות אחרים - גורם 94</t>
  </si>
  <si>
    <t>בבטחונות אחרים - גורם 111</t>
  </si>
  <si>
    <t>בבטחונות אחרים - גורם 41</t>
  </si>
  <si>
    <t>בבטחונות אחרים - גורם 89</t>
  </si>
  <si>
    <t>בבטחונות אחרים-גורם 105</t>
  </si>
  <si>
    <t>בבטחונות אחרים - גורם 40</t>
  </si>
  <si>
    <t>בבטחונות אחרים - גורם 96</t>
  </si>
  <si>
    <t>בבטחונות אחרים - גורם 38</t>
  </si>
  <si>
    <t>בבטחונות אחרים - גורם 98*</t>
  </si>
  <si>
    <t>בבטחונות אחרים-גורם 103</t>
  </si>
  <si>
    <t>בבטחונות אחרים - גורם 104</t>
  </si>
  <si>
    <t>בבטחונות אחרים - גורם 90</t>
  </si>
  <si>
    <t>בבטחונות אחרים - גורם 115*</t>
  </si>
  <si>
    <t>בבטחונות אחרים - גורם 129</t>
  </si>
  <si>
    <t>בבטחונות אחרים - גורם 130</t>
  </si>
  <si>
    <t>בבטחונות אחרים - גורם 61</t>
  </si>
  <si>
    <t>גורם 111</t>
  </si>
  <si>
    <t>גורם 98</t>
  </si>
  <si>
    <t>גורם 105</t>
  </si>
  <si>
    <t>גורם 113</t>
  </si>
  <si>
    <t>גורם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</si>
</sst>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_ * #,##0_ ;_ * \-#,##0_ ;_ * &quot;-&quot;??_ ;_ @_ "/>
  </numFmts>
  <fonts count="34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theme="1"/>
      <name val="Times New Roman"/>
      <family val="2"/>
      <charset val="177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9">
    <xf numFmtId="0" fontId="0" fillId="0" borderId="0"/>
    <xf numFmtId="164" fontId="2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19" fillId="0" borderId="0"/>
    <xf numFmtId="0" fontId="27" fillId="0" borderId="0"/>
    <xf numFmtId="0" fontId="4" fillId="0" borderId="0"/>
    <xf numFmtId="9" fontId="27" fillId="0" borderId="0" applyFont="0" applyFill="0" applyBorder="0" applyAlignment="0" applyProtection="0"/>
    <xf numFmtId="166" fontId="15" fillId="0" borderId="0" applyFill="0" applyBorder="0" applyProtection="0">
      <alignment horizontal="right"/>
    </xf>
    <xf numFmtId="166" fontId="16" fillId="0" borderId="0" applyFill="0" applyBorder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164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4" fillId="0" borderId="0"/>
    <xf numFmtId="164" fontId="33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99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3" fillId="0" borderId="0" xfId="0" applyFont="1" applyAlignment="1">
      <alignment horizontal="right" readingOrder="2"/>
    </xf>
    <xf numFmtId="0" fontId="7" fillId="0" borderId="0" xfId="0" applyFont="1" applyAlignment="1">
      <alignment horizontal="center" readingOrder="2"/>
    </xf>
    <xf numFmtId="0" fontId="7" fillId="0" borderId="0" xfId="7" applyFont="1" applyAlignment="1">
      <alignment horizontal="right"/>
    </xf>
    <xf numFmtId="0" fontId="7" fillId="0" borderId="0" xfId="7" applyFont="1" applyAlignment="1">
      <alignment horizontal="center"/>
    </xf>
    <xf numFmtId="0" fontId="9" fillId="0" borderId="0" xfId="7" applyFont="1" applyAlignment="1">
      <alignment horizontal="center" vertical="center" wrapText="1"/>
    </xf>
    <xf numFmtId="0" fontId="11" fillId="0" borderId="0" xfId="7" applyFont="1" applyAlignment="1">
      <alignment horizontal="center" wrapText="1"/>
    </xf>
    <xf numFmtId="0" fontId="18" fillId="0" borderId="0" xfId="7" applyFont="1" applyAlignment="1">
      <alignment horizontal="justify" readingOrder="2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49" fontId="17" fillId="2" borderId="1" xfId="7" applyNumberFormat="1" applyFont="1" applyFill="1" applyBorder="1" applyAlignment="1">
      <alignment horizontal="center" vertical="center" wrapText="1" readingOrder="2"/>
    </xf>
    <xf numFmtId="0" fontId="8" fillId="2" borderId="2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0" fontId="12" fillId="2" borderId="2" xfId="7" applyFont="1" applyFill="1" applyBorder="1" applyAlignment="1">
      <alignment horizontal="center" vertical="center" wrapText="1"/>
    </xf>
    <xf numFmtId="0" fontId="12" fillId="2" borderId="3" xfId="7" applyFont="1" applyFill="1" applyBorder="1" applyAlignment="1">
      <alignment horizontal="center" vertical="center" wrapText="1"/>
    </xf>
    <xf numFmtId="49" fontId="8" fillId="2" borderId="3" xfId="7" applyNumberFormat="1" applyFont="1" applyFill="1" applyBorder="1" applyAlignment="1">
      <alignment horizontal="center" wrapText="1"/>
    </xf>
    <xf numFmtId="0" fontId="17" fillId="2" borderId="1" xfId="7" applyNumberFormat="1" applyFont="1" applyFill="1" applyBorder="1" applyAlignment="1">
      <alignment horizontal="right" vertical="center" wrapText="1" indent="1"/>
    </xf>
    <xf numFmtId="49" fontId="17" fillId="2" borderId="1" xfId="7" applyNumberFormat="1" applyFont="1" applyFill="1" applyBorder="1" applyAlignment="1">
      <alignment horizontal="right" vertical="center" wrapText="1" indent="3" readingOrder="2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12" fillId="2" borderId="2" xfId="0" applyNumberFormat="1" applyFont="1" applyFill="1" applyBorder="1" applyAlignment="1">
      <alignment horizontal="center" vertical="center" wrapText="1"/>
    </xf>
    <xf numFmtId="3" fontId="12" fillId="2" borderId="3" xfId="0" applyNumberFormat="1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wrapText="1"/>
    </xf>
    <xf numFmtId="0" fontId="8" fillId="2" borderId="4" xfId="7" applyFont="1" applyFill="1" applyBorder="1" applyAlignment="1">
      <alignment horizontal="center" vertical="center" wrapText="1"/>
    </xf>
    <xf numFmtId="49" fontId="17" fillId="2" borderId="5" xfId="7" applyNumberFormat="1" applyFont="1" applyFill="1" applyBorder="1" applyAlignment="1">
      <alignment horizontal="center" vertical="center" wrapText="1" readingOrder="2"/>
    </xf>
    <xf numFmtId="49" fontId="17" fillId="2" borderId="7" xfId="7" applyNumberFormat="1" applyFont="1" applyFill="1" applyBorder="1" applyAlignment="1">
      <alignment horizontal="center" vertical="center" wrapText="1" readingOrder="2"/>
    </xf>
    <xf numFmtId="0" fontId="8" fillId="2" borderId="8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49" fontId="8" fillId="2" borderId="7" xfId="0" applyNumberFormat="1" applyFont="1" applyFill="1" applyBorder="1" applyAlignment="1">
      <alignment horizontal="center" wrapText="1"/>
    </xf>
    <xf numFmtId="0" fontId="20" fillId="2" borderId="2" xfId="0" applyFont="1" applyFill="1" applyBorder="1" applyAlignment="1">
      <alignment horizontal="center" vertical="center" wrapText="1"/>
    </xf>
    <xf numFmtId="49" fontId="20" fillId="2" borderId="2" xfId="0" applyNumberFormat="1" applyFont="1" applyFill="1" applyBorder="1" applyAlignment="1">
      <alignment horizontal="center" wrapText="1"/>
    </xf>
    <xf numFmtId="0" fontId="21" fillId="0" borderId="0" xfId="0" applyFont="1" applyAlignment="1">
      <alignment horizontal="center"/>
    </xf>
    <xf numFmtId="0" fontId="22" fillId="0" borderId="0" xfId="11" applyFont="1" applyFill="1" applyBorder="1" applyAlignment="1" applyProtection="1">
      <alignment horizontal="center" readingOrder="2"/>
    </xf>
    <xf numFmtId="49" fontId="8" fillId="2" borderId="6" xfId="0" applyNumberFormat="1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right" vertical="center" wrapText="1" indent="2" readingOrder="2"/>
    </xf>
    <xf numFmtId="0" fontId="25" fillId="3" borderId="0" xfId="0" applyFont="1" applyFill="1" applyAlignment="1">
      <alignment horizontal="right" indent="2" readingOrder="2"/>
    </xf>
    <xf numFmtId="3" fontId="8" fillId="4" borderId="2" xfId="0" applyNumberFormat="1" applyFont="1" applyFill="1" applyBorder="1" applyAlignment="1">
      <alignment horizontal="center" vertical="center" wrapText="1"/>
    </xf>
    <xf numFmtId="3" fontId="8" fillId="4" borderId="0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5" borderId="0" xfId="0" applyFont="1" applyFill="1"/>
    <xf numFmtId="0" fontId="24" fillId="6" borderId="0" xfId="0" applyFont="1" applyFill="1" applyAlignment="1">
      <alignment horizontal="center"/>
    </xf>
    <xf numFmtId="0" fontId="5" fillId="0" borderId="0" xfId="11" applyFill="1" applyBorder="1" applyAlignment="1" applyProtection="1">
      <alignment horizontal="center" readingOrder="2"/>
    </xf>
    <xf numFmtId="0" fontId="17" fillId="2" borderId="5" xfId="7" applyNumberFormat="1" applyFont="1" applyFill="1" applyBorder="1" applyAlignment="1">
      <alignment horizontal="right" vertical="center" wrapText="1" indent="1"/>
    </xf>
    <xf numFmtId="0" fontId="26" fillId="0" borderId="0" xfId="7" applyFont="1" applyAlignment="1">
      <alignment horizontal="right"/>
    </xf>
    <xf numFmtId="0" fontId="12" fillId="2" borderId="10" xfId="0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wrapText="1"/>
    </xf>
    <xf numFmtId="49" fontId="17" fillId="2" borderId="13" xfId="7" applyNumberFormat="1" applyFont="1" applyFill="1" applyBorder="1" applyAlignment="1">
      <alignment horizontal="center" vertical="center" wrapText="1" readingOrder="2"/>
    </xf>
    <xf numFmtId="3" fontId="8" fillId="2" borderId="14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3" fontId="8" fillId="2" borderId="11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49" fontId="17" fillId="2" borderId="5" xfId="7" applyNumberFormat="1" applyFont="1" applyFill="1" applyBorder="1" applyAlignment="1">
      <alignment horizontal="right" vertical="center" wrapText="1" readingOrder="2"/>
    </xf>
    <xf numFmtId="0" fontId="17" fillId="2" borderId="1" xfId="7" applyNumberFormat="1" applyFont="1" applyFill="1" applyBorder="1" applyAlignment="1">
      <alignment horizontal="right" vertical="center" wrapText="1" readingOrder="2"/>
    </xf>
    <xf numFmtId="0" fontId="17" fillId="2" borderId="5" xfId="7" applyNumberFormat="1" applyFont="1" applyFill="1" applyBorder="1" applyAlignment="1">
      <alignment horizontal="right" vertical="center" wrapText="1" indent="1" readingOrder="2"/>
    </xf>
    <xf numFmtId="0" fontId="12" fillId="2" borderId="26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3" fontId="8" fillId="7" borderId="3" xfId="0" applyNumberFormat="1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 vertical="center" wrapText="1"/>
    </xf>
    <xf numFmtId="0" fontId="8" fillId="2" borderId="17" xfId="7" applyFont="1" applyFill="1" applyBorder="1" applyAlignment="1">
      <alignment horizontal="center" vertical="center" wrapText="1"/>
    </xf>
    <xf numFmtId="0" fontId="8" fillId="2" borderId="1" xfId="7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26" fillId="0" borderId="0" xfId="7" applyFont="1" applyFill="1" applyBorder="1" applyAlignment="1">
      <alignment horizontal="right"/>
    </xf>
    <xf numFmtId="0" fontId="30" fillId="0" borderId="28" xfId="0" applyFont="1" applyFill="1" applyBorder="1" applyAlignment="1">
      <alignment horizontal="right"/>
    </xf>
    <xf numFmtId="0" fontId="30" fillId="0" borderId="28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1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  <xf numFmtId="0" fontId="31" fillId="0" borderId="0" xfId="0" applyFont="1" applyFill="1" applyBorder="1" applyAlignment="1">
      <alignment horizontal="right" indent="4"/>
    </xf>
    <xf numFmtId="0" fontId="31" fillId="0" borderId="0" xfId="0" applyFont="1" applyFill="1" applyBorder="1" applyAlignment="1">
      <alignment horizontal="right" indent="3"/>
    </xf>
    <xf numFmtId="4" fontId="30" fillId="0" borderId="28" xfId="0" applyNumberFormat="1" applyFont="1" applyFill="1" applyBorder="1" applyAlignment="1">
      <alignment horizontal="right"/>
    </xf>
    <xf numFmtId="10" fontId="30" fillId="0" borderId="28" xfId="0" applyNumberFormat="1" applyFont="1" applyFill="1" applyBorder="1" applyAlignment="1">
      <alignment horizontal="right"/>
    </xf>
    <xf numFmtId="2" fontId="30" fillId="0" borderId="28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 readingOrder="2"/>
    </xf>
    <xf numFmtId="0" fontId="9" fillId="0" borderId="0" xfId="0" applyFont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167" fontId="30" fillId="0" borderId="28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14" fontId="31" fillId="0" borderId="0" xfId="0" applyNumberFormat="1" applyFont="1" applyFill="1" applyBorder="1" applyAlignment="1">
      <alignment horizontal="right"/>
    </xf>
    <xf numFmtId="168" fontId="31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 indent="2"/>
    </xf>
    <xf numFmtId="0" fontId="31" fillId="0" borderId="29" xfId="0" applyFont="1" applyFill="1" applyBorder="1" applyAlignment="1">
      <alignment horizontal="right" indent="3"/>
    </xf>
    <xf numFmtId="0" fontId="31" fillId="0" borderId="29" xfId="0" applyFont="1" applyFill="1" applyBorder="1" applyAlignment="1">
      <alignment horizontal="right" indent="2"/>
    </xf>
    <xf numFmtId="0" fontId="31" fillId="0" borderId="30" xfId="0" applyFont="1" applyFill="1" applyBorder="1" applyAlignment="1">
      <alignment horizontal="right" indent="2"/>
    </xf>
    <xf numFmtId="0" fontId="31" fillId="0" borderId="25" xfId="0" applyNumberFormat="1" applyFont="1" applyFill="1" applyBorder="1" applyAlignment="1">
      <alignment horizontal="right"/>
    </xf>
    <xf numFmtId="2" fontId="31" fillId="0" borderId="25" xfId="0" applyNumberFormat="1" applyFont="1" applyFill="1" applyBorder="1" applyAlignment="1">
      <alignment horizontal="right"/>
    </xf>
    <xf numFmtId="10" fontId="31" fillId="0" borderId="25" xfId="0" applyNumberFormat="1" applyFont="1" applyFill="1" applyBorder="1" applyAlignment="1">
      <alignment horizontal="right"/>
    </xf>
    <xf numFmtId="4" fontId="31" fillId="0" borderId="25" xfId="0" applyNumberFormat="1" applyFont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8" fillId="0" borderId="31" xfId="13" applyFont="1" applyBorder="1" applyAlignment="1">
      <alignment horizontal="right"/>
    </xf>
    <xf numFmtId="10" fontId="8" fillId="0" borderId="31" xfId="14" applyNumberFormat="1" applyFont="1" applyBorder="1" applyAlignment="1">
      <alignment horizontal="center"/>
    </xf>
    <xf numFmtId="2" fontId="8" fillId="0" borderId="31" xfId="7" applyNumberFormat="1" applyFont="1" applyBorder="1" applyAlignment="1">
      <alignment horizontal="right"/>
    </xf>
    <xf numFmtId="169" fontId="8" fillId="0" borderId="31" xfId="7" applyNumberFormat="1" applyFont="1" applyBorder="1" applyAlignment="1">
      <alignment horizontal="center"/>
    </xf>
    <xf numFmtId="0" fontId="32" fillId="0" borderId="0" xfId="0" applyFont="1" applyFill="1" applyBorder="1" applyAlignment="1">
      <alignment horizontal="right"/>
    </xf>
    <xf numFmtId="0" fontId="32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1"/>
    </xf>
    <xf numFmtId="0" fontId="32" fillId="0" borderId="0" xfId="0" applyFont="1" applyFill="1" applyBorder="1" applyAlignment="1">
      <alignment horizontal="right" indent="2"/>
    </xf>
    <xf numFmtId="2" fontId="32" fillId="0" borderId="0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 indent="1"/>
    </xf>
    <xf numFmtId="170" fontId="3" fillId="0" borderId="0" xfId="13" applyNumberFormat="1" applyFont="1"/>
    <xf numFmtId="14" fontId="3" fillId="0" borderId="0" xfId="15" applyNumberFormat="1"/>
    <xf numFmtId="164" fontId="32" fillId="0" borderId="0" xfId="0" applyNumberFormat="1" applyFont="1" applyFill="1" applyBorder="1" applyAlignment="1">
      <alignment horizontal="right"/>
    </xf>
    <xf numFmtId="164" fontId="8" fillId="0" borderId="31" xfId="13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horizontal="right" readingOrder="2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 readingOrder="2"/>
    </xf>
    <xf numFmtId="0" fontId="11" fillId="0" borderId="0" xfId="0" applyFont="1" applyFill="1" applyAlignment="1">
      <alignment horizontal="center" wrapText="1"/>
    </xf>
    <xf numFmtId="164" fontId="0" fillId="0" borderId="0" xfId="13" applyFont="1" applyFill="1"/>
    <xf numFmtId="0" fontId="31" fillId="0" borderId="0" xfId="16" applyFont="1" applyFill="1" applyBorder="1" applyAlignment="1">
      <alignment horizontal="right" indent="3"/>
    </xf>
    <xf numFmtId="0" fontId="31" fillId="0" borderId="0" xfId="20" applyFont="1" applyFill="1" applyBorder="1" applyAlignment="1">
      <alignment horizontal="right" indent="3"/>
    </xf>
    <xf numFmtId="0" fontId="4" fillId="0" borderId="0" xfId="0" applyFont="1" applyFill="1" applyBorder="1" applyAlignment="1">
      <alignment horizontal="right"/>
    </xf>
    <xf numFmtId="0" fontId="3" fillId="0" borderId="0" xfId="15" applyFill="1" applyAlignment="1">
      <alignment horizontal="right"/>
    </xf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26" fillId="0" borderId="0" xfId="7" applyFont="1" applyAlignment="1">
      <alignment horizontal="right"/>
    </xf>
    <xf numFmtId="0" fontId="26" fillId="0" borderId="0" xfId="7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3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 readingOrder="2"/>
    </xf>
    <xf numFmtId="0" fontId="9" fillId="0" borderId="0" xfId="0" applyFont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9" fillId="0" borderId="0" xfId="0" applyFont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32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1"/>
    </xf>
    <xf numFmtId="0" fontId="32" fillId="0" borderId="0" xfId="0" applyFont="1" applyFill="1" applyBorder="1" applyAlignment="1">
      <alignment horizontal="right" indent="2"/>
    </xf>
    <xf numFmtId="167" fontId="32" fillId="0" borderId="0" xfId="0" applyNumberFormat="1" applyFont="1" applyFill="1" applyBorder="1" applyAlignment="1">
      <alignment horizontal="right"/>
    </xf>
    <xf numFmtId="4" fontId="7" fillId="0" borderId="0" xfId="0" applyNumberFormat="1" applyFont="1" applyAlignment="1">
      <alignment horizontal="center"/>
    </xf>
    <xf numFmtId="0" fontId="10" fillId="2" borderId="17" xfId="7" applyFont="1" applyFill="1" applyBorder="1" applyAlignment="1">
      <alignment horizontal="center" vertical="center" wrapText="1"/>
    </xf>
    <xf numFmtId="0" fontId="10" fillId="2" borderId="18" xfId="7" applyFont="1" applyFill="1" applyBorder="1" applyAlignment="1">
      <alignment horizontal="center" vertical="center" wrapText="1"/>
    </xf>
    <xf numFmtId="0" fontId="10" fillId="2" borderId="4" xfId="7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 readingOrder="2"/>
    </xf>
    <xf numFmtId="0" fontId="10" fillId="2" borderId="25" xfId="0" applyFont="1" applyFill="1" applyBorder="1" applyAlignment="1">
      <alignment horizontal="center" vertical="center" wrapText="1" readingOrder="2"/>
    </xf>
    <xf numFmtId="0" fontId="23" fillId="2" borderId="19" xfId="0" applyFont="1" applyFill="1" applyBorder="1" applyAlignment="1">
      <alignment horizontal="center" vertical="center" wrapText="1" readingOrder="2"/>
    </xf>
    <xf numFmtId="0" fontId="19" fillId="0" borderId="20" xfId="0" applyFont="1" applyBorder="1" applyAlignment="1">
      <alignment horizontal="center" readingOrder="2"/>
    </xf>
    <xf numFmtId="0" fontId="19" fillId="0" borderId="16" xfId="0" applyFont="1" applyBorder="1" applyAlignment="1">
      <alignment horizontal="center" readingOrder="2"/>
    </xf>
    <xf numFmtId="0" fontId="23" fillId="2" borderId="21" xfId="0" applyFont="1" applyFill="1" applyBorder="1" applyAlignment="1">
      <alignment horizontal="center" vertical="center" wrapText="1" readingOrder="2"/>
    </xf>
    <xf numFmtId="0" fontId="19" fillId="0" borderId="22" xfId="0" applyFont="1" applyBorder="1" applyAlignment="1">
      <alignment horizontal="center" readingOrder="2"/>
    </xf>
    <xf numFmtId="0" fontId="19" fillId="0" borderId="23" xfId="0" applyFont="1" applyBorder="1" applyAlignment="1">
      <alignment horizontal="center" readingOrder="2"/>
    </xf>
    <xf numFmtId="0" fontId="8" fillId="0" borderId="0" xfId="0" applyFont="1" applyAlignment="1">
      <alignment horizontal="right" readingOrder="2"/>
    </xf>
    <xf numFmtId="0" fontId="23" fillId="2" borderId="22" xfId="0" applyFont="1" applyFill="1" applyBorder="1" applyAlignment="1">
      <alignment horizontal="center" vertical="center" wrapText="1" readingOrder="2"/>
    </xf>
    <xf numFmtId="0" fontId="23" fillId="2" borderId="23" xfId="0" applyFont="1" applyFill="1" applyBorder="1" applyAlignment="1">
      <alignment horizontal="center" vertical="center" wrapText="1" readingOrder="2"/>
    </xf>
    <xf numFmtId="0" fontId="10" fillId="2" borderId="21" xfId="0" applyFont="1" applyFill="1" applyBorder="1" applyAlignment="1">
      <alignment horizontal="center" vertical="center" wrapText="1" readingOrder="2"/>
    </xf>
    <xf numFmtId="0" fontId="10" fillId="2" borderId="22" xfId="0" applyFont="1" applyFill="1" applyBorder="1" applyAlignment="1">
      <alignment horizontal="center" vertical="center" wrapText="1" readingOrder="2"/>
    </xf>
    <xf numFmtId="0" fontId="10" fillId="2" borderId="23" xfId="0" applyFont="1" applyFill="1" applyBorder="1" applyAlignment="1">
      <alignment horizontal="center" vertical="center" wrapText="1" readingOrder="2"/>
    </xf>
    <xf numFmtId="0" fontId="8" fillId="0" borderId="0" xfId="0" applyFont="1" applyFill="1" applyAlignment="1">
      <alignment horizontal="right" readingOrder="2"/>
    </xf>
  </cellXfs>
  <cellStyles count="29">
    <cellStyle name="Comma" xfId="13" builtinId="3"/>
    <cellStyle name="Comma 2" xfId="1"/>
    <cellStyle name="Comma 2 2" xfId="23"/>
    <cellStyle name="Comma 3" xfId="17"/>
    <cellStyle name="Comma 4" xfId="28"/>
    <cellStyle name="Currency [0] _1" xfId="2"/>
    <cellStyle name="Hyperlink 2" xfId="3"/>
    <cellStyle name="Normal" xfId="0" builtinId="0"/>
    <cellStyle name="Normal 10 2" xfId="18"/>
    <cellStyle name="Normal 11" xfId="4"/>
    <cellStyle name="Normal 11 2" xfId="24"/>
    <cellStyle name="Normal 15" xfId="16"/>
    <cellStyle name="Normal 2" xfId="5"/>
    <cellStyle name="Normal 2 2" xfId="25"/>
    <cellStyle name="Normal 23" xfId="19"/>
    <cellStyle name="Normal 3" xfId="6"/>
    <cellStyle name="Normal 3 2" xfId="26"/>
    <cellStyle name="Normal 4" xfId="12"/>
    <cellStyle name="Normal_2007-16618" xfId="7"/>
    <cellStyle name="Normal_גיליון1" xfId="20"/>
    <cellStyle name="Normal_יתרת התחייבות להשקעה" xfId="15"/>
    <cellStyle name="Percent" xfId="14" builtinId="5"/>
    <cellStyle name="Percent 2" xfId="8"/>
    <cellStyle name="Percent 2 2" xfId="21"/>
    <cellStyle name="Percent 2 3" xfId="27"/>
    <cellStyle name="Percent 3" xfId="22"/>
    <cellStyle name="Text" xfId="9"/>
    <cellStyle name="Total" xfId="10"/>
    <cellStyle name="היפר-קישור" xfId="11" builtinId="8"/>
  </cellStyles>
  <dxfs count="1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W66"/>
  <sheetViews>
    <sheetView rightToLeft="1" tabSelected="1" workbookViewId="0">
      <selection activeCell="E11" sqref="E11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6" t="s">
        <v>177</v>
      </c>
      <c r="C1" s="77" t="s" vm="1">
        <v>247</v>
      </c>
    </row>
    <row r="2" spans="1:23">
      <c r="B2" s="56" t="s">
        <v>176</v>
      </c>
      <c r="C2" s="77" t="s">
        <v>248</v>
      </c>
    </row>
    <row r="3" spans="1:23">
      <c r="B3" s="56" t="s">
        <v>178</v>
      </c>
      <c r="C3" s="77" t="s">
        <v>249</v>
      </c>
    </row>
    <row r="4" spans="1:23">
      <c r="B4" s="56" t="s">
        <v>179</v>
      </c>
      <c r="C4" s="77">
        <v>2144</v>
      </c>
    </row>
    <row r="6" spans="1:23" ht="26.25" customHeight="1">
      <c r="B6" s="181" t="s">
        <v>193</v>
      </c>
      <c r="C6" s="182"/>
      <c r="D6" s="183"/>
    </row>
    <row r="7" spans="1:23" s="10" customFormat="1">
      <c r="B7" s="22"/>
      <c r="C7" s="23" t="s">
        <v>108</v>
      </c>
      <c r="D7" s="24" t="s">
        <v>106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2"/>
      <c r="C8" s="25" t="s">
        <v>234</v>
      </c>
      <c r="D8" s="26" t="s">
        <v>20</v>
      </c>
    </row>
    <row r="9" spans="1:23" s="11" customFormat="1" ht="18" customHeight="1">
      <c r="B9" s="36"/>
      <c r="C9" s="19" t="s">
        <v>1</v>
      </c>
      <c r="D9" s="27" t="s">
        <v>2</v>
      </c>
    </row>
    <row r="10" spans="1:23" s="11" customFormat="1" ht="18" customHeight="1">
      <c r="B10" s="66" t="s">
        <v>192</v>
      </c>
      <c r="C10" s="116">
        <f>C11+C12+C23+C33+C37</f>
        <v>225473.86181613398</v>
      </c>
      <c r="D10" s="117">
        <f>C10/$C$42</f>
        <v>1</v>
      </c>
    </row>
    <row r="11" spans="1:23">
      <c r="A11" s="44" t="s">
        <v>139</v>
      </c>
      <c r="B11" s="28" t="s">
        <v>194</v>
      </c>
      <c r="C11" s="116">
        <f>מזומנים!J10</f>
        <v>9772.8884383565455</v>
      </c>
      <c r="D11" s="117">
        <f t="shared" ref="D11:D13" si="0">C11/$C$42</f>
        <v>4.3343775458664885E-2</v>
      </c>
    </row>
    <row r="12" spans="1:23">
      <c r="B12" s="28" t="s">
        <v>195</v>
      </c>
      <c r="C12" s="116">
        <f>C13+C15+C17+C18</f>
        <v>144396.24511915998</v>
      </c>
      <c r="D12" s="117">
        <f t="shared" si="0"/>
        <v>0.64041234738290886</v>
      </c>
    </row>
    <row r="13" spans="1:23">
      <c r="A13" s="54" t="s">
        <v>139</v>
      </c>
      <c r="B13" s="29" t="s">
        <v>65</v>
      </c>
      <c r="C13" s="116">
        <f>'תעודות התחייבות ממשלתיות'!O11</f>
        <v>66956.687518799998</v>
      </c>
      <c r="D13" s="117">
        <f t="shared" si="0"/>
        <v>0.29695986479089459</v>
      </c>
    </row>
    <row r="14" spans="1:23">
      <c r="A14" s="54" t="s">
        <v>139</v>
      </c>
      <c r="B14" s="29" t="s">
        <v>66</v>
      </c>
      <c r="C14" s="116" t="s" vm="2">
        <v>1148</v>
      </c>
      <c r="D14" s="117" t="s" vm="3">
        <v>1148</v>
      </c>
    </row>
    <row r="15" spans="1:23">
      <c r="A15" s="54" t="s">
        <v>139</v>
      </c>
      <c r="B15" s="29" t="s">
        <v>67</v>
      </c>
      <c r="C15" s="116">
        <f>'אג"ח קונצרני'!R11</f>
        <v>55277.365049615961</v>
      </c>
      <c r="D15" s="117">
        <f>C15/$C$42</f>
        <v>0.24516085635989465</v>
      </c>
    </row>
    <row r="16" spans="1:23">
      <c r="A16" s="54" t="s">
        <v>139</v>
      </c>
      <c r="B16" s="29" t="s">
        <v>68</v>
      </c>
      <c r="C16" s="116" t="s" vm="4">
        <v>1148</v>
      </c>
      <c r="D16" s="117" t="s" vm="5">
        <v>1148</v>
      </c>
    </row>
    <row r="17" spans="1:4">
      <c r="A17" s="54" t="s">
        <v>139</v>
      </c>
      <c r="B17" s="29" t="s">
        <v>69</v>
      </c>
      <c r="C17" s="116">
        <f>'תעודות סל'!K11</f>
        <v>18345.261280744002</v>
      </c>
      <c r="D17" s="117">
        <f>C17/$C$42</f>
        <v>8.1363139536341986E-2</v>
      </c>
    </row>
    <row r="18" spans="1:4">
      <c r="A18" s="54" t="s">
        <v>139</v>
      </c>
      <c r="B18" s="29" t="s">
        <v>70</v>
      </c>
      <c r="C18" s="116">
        <f>'קרנות נאמנות'!L11</f>
        <v>3816.93127</v>
      </c>
      <c r="D18" s="117">
        <f>C18/$C$42</f>
        <v>1.6928486695777508E-2</v>
      </c>
    </row>
    <row r="19" spans="1:4">
      <c r="A19" s="54" t="s">
        <v>139</v>
      </c>
      <c r="B19" s="29" t="s">
        <v>71</v>
      </c>
      <c r="C19" s="116" t="s" vm="6">
        <v>1148</v>
      </c>
      <c r="D19" s="117" t="s" vm="7">
        <v>1148</v>
      </c>
    </row>
    <row r="20" spans="1:4">
      <c r="A20" s="54" t="s">
        <v>139</v>
      </c>
      <c r="B20" s="29" t="s">
        <v>72</v>
      </c>
      <c r="C20" s="116" t="s" vm="8">
        <v>1148</v>
      </c>
      <c r="D20" s="117" t="s" vm="9">
        <v>1148</v>
      </c>
    </row>
    <row r="21" spans="1:4">
      <c r="A21" s="54" t="s">
        <v>139</v>
      </c>
      <c r="B21" s="29" t="s">
        <v>73</v>
      </c>
      <c r="C21" s="116" t="s" vm="10">
        <v>1148</v>
      </c>
      <c r="D21" s="117" t="s" vm="11">
        <v>1148</v>
      </c>
    </row>
    <row r="22" spans="1:4">
      <c r="A22" s="54" t="s">
        <v>139</v>
      </c>
      <c r="B22" s="29" t="s">
        <v>74</v>
      </c>
      <c r="C22" s="116" t="s" vm="12">
        <v>1148</v>
      </c>
      <c r="D22" s="117" t="s" vm="13">
        <v>1148</v>
      </c>
    </row>
    <row r="23" spans="1:4">
      <c r="B23" s="28" t="s">
        <v>196</v>
      </c>
      <c r="C23" s="116">
        <f>C24+C26+C31</f>
        <v>64451.391830000008</v>
      </c>
      <c r="D23" s="117">
        <f>C23/$C$42</f>
        <v>0.28584861815405394</v>
      </c>
    </row>
    <row r="24" spans="1:4">
      <c r="A24" s="54" t="s">
        <v>139</v>
      </c>
      <c r="B24" s="29" t="s">
        <v>75</v>
      </c>
      <c r="C24" s="116">
        <f>'לא סחיר- תעודות התחייבות ממשלתי'!M11</f>
        <v>62378.403150000006</v>
      </c>
      <c r="D24" s="117">
        <f>C24/$C$42</f>
        <v>0.27665469801048337</v>
      </c>
    </row>
    <row r="25" spans="1:4">
      <c r="A25" s="54" t="s">
        <v>139</v>
      </c>
      <c r="B25" s="29" t="s">
        <v>76</v>
      </c>
      <c r="C25" s="116" t="s" vm="14">
        <v>1148</v>
      </c>
      <c r="D25" s="117" t="s" vm="15">
        <v>1148</v>
      </c>
    </row>
    <row r="26" spans="1:4">
      <c r="A26" s="54" t="s">
        <v>139</v>
      </c>
      <c r="B26" s="29" t="s">
        <v>67</v>
      </c>
      <c r="C26" s="116">
        <f>'לא סחיר - אג"ח קונצרני'!P11</f>
        <v>2628.1369999999997</v>
      </c>
      <c r="D26" s="117">
        <f>C26/$C$42</f>
        <v>1.1656060613106246E-2</v>
      </c>
    </row>
    <row r="27" spans="1:4">
      <c r="A27" s="54" t="s">
        <v>139</v>
      </c>
      <c r="B27" s="29" t="s">
        <v>77</v>
      </c>
      <c r="C27" s="116" t="s" vm="16">
        <v>1148</v>
      </c>
      <c r="D27" s="117" t="s" vm="17">
        <v>1148</v>
      </c>
    </row>
    <row r="28" spans="1:4">
      <c r="A28" s="54" t="s">
        <v>139</v>
      </c>
      <c r="B28" s="29" t="s">
        <v>78</v>
      </c>
      <c r="C28" s="116" t="s" vm="18">
        <v>1148</v>
      </c>
      <c r="D28" s="117" t="s" vm="19">
        <v>1148</v>
      </c>
    </row>
    <row r="29" spans="1:4">
      <c r="A29" s="54" t="s">
        <v>139</v>
      </c>
      <c r="B29" s="29" t="s">
        <v>79</v>
      </c>
      <c r="C29" s="116" t="s" vm="20">
        <v>1148</v>
      </c>
      <c r="D29" s="117" t="s" vm="21">
        <v>1148</v>
      </c>
    </row>
    <row r="30" spans="1:4">
      <c r="A30" s="54" t="s">
        <v>139</v>
      </c>
      <c r="B30" s="29" t="s">
        <v>219</v>
      </c>
      <c r="C30" s="116" t="s" vm="22">
        <v>1148</v>
      </c>
      <c r="D30" s="117" t="s" vm="23">
        <v>1148</v>
      </c>
    </row>
    <row r="31" spans="1:4">
      <c r="A31" s="54" t="s">
        <v>139</v>
      </c>
      <c r="B31" s="29" t="s">
        <v>102</v>
      </c>
      <c r="C31" s="116">
        <f>'לא סחיר - חוזים עתידיים'!I11</f>
        <v>-555.1483199999999</v>
      </c>
      <c r="D31" s="117">
        <f>C31/$C$42</f>
        <v>-2.4621404695356832E-3</v>
      </c>
    </row>
    <row r="32" spans="1:4">
      <c r="A32" s="54" t="s">
        <v>139</v>
      </c>
      <c r="B32" s="29" t="s">
        <v>80</v>
      </c>
      <c r="C32" s="116" t="s" vm="24">
        <v>1148</v>
      </c>
      <c r="D32" s="117" t="s" vm="25">
        <v>1148</v>
      </c>
    </row>
    <row r="33" spans="1:4">
      <c r="A33" s="54" t="s">
        <v>139</v>
      </c>
      <c r="B33" s="28" t="s">
        <v>197</v>
      </c>
      <c r="C33" s="116">
        <f>הלוואות!O10</f>
        <v>6841.2196458354538</v>
      </c>
      <c r="D33" s="117">
        <f>C33/$C$42</f>
        <v>3.034151981400943E-2</v>
      </c>
    </row>
    <row r="34" spans="1:4">
      <c r="A34" s="54" t="s">
        <v>139</v>
      </c>
      <c r="B34" s="28" t="s">
        <v>198</v>
      </c>
      <c r="C34" s="116" t="s" vm="26">
        <v>1148</v>
      </c>
      <c r="D34" s="117" t="s" vm="27">
        <v>1148</v>
      </c>
    </row>
    <row r="35" spans="1:4">
      <c r="A35" s="54" t="s">
        <v>139</v>
      </c>
      <c r="B35" s="28" t="s">
        <v>199</v>
      </c>
      <c r="C35" s="116" t="s" vm="28">
        <v>1148</v>
      </c>
      <c r="D35" s="117" t="s" vm="29">
        <v>1148</v>
      </c>
    </row>
    <row r="36" spans="1:4">
      <c r="A36" s="54" t="s">
        <v>139</v>
      </c>
      <c r="B36" s="55" t="s">
        <v>200</v>
      </c>
      <c r="C36" s="116" t="s" vm="30">
        <v>1148</v>
      </c>
      <c r="D36" s="117" t="s" vm="31">
        <v>1148</v>
      </c>
    </row>
    <row r="37" spans="1:4">
      <c r="A37" s="54" t="s">
        <v>139</v>
      </c>
      <c r="B37" s="28" t="s">
        <v>201</v>
      </c>
      <c r="C37" s="116">
        <f>'השקעות אחרות '!I10</f>
        <v>12.116782782</v>
      </c>
      <c r="D37" s="117">
        <f>C37/$C$42</f>
        <v>5.3739190362920253E-5</v>
      </c>
    </row>
    <row r="38" spans="1:4">
      <c r="A38" s="54"/>
      <c r="B38" s="67" t="s">
        <v>203</v>
      </c>
      <c r="C38" s="116">
        <v>0</v>
      </c>
      <c r="D38" s="117">
        <f>C38/$C$42</f>
        <v>0</v>
      </c>
    </row>
    <row r="39" spans="1:4">
      <c r="A39" s="54" t="s">
        <v>139</v>
      </c>
      <c r="B39" s="68" t="s">
        <v>204</v>
      </c>
      <c r="C39" s="116" t="s" vm="32">
        <v>1148</v>
      </c>
      <c r="D39" s="117" t="s" vm="33">
        <v>1148</v>
      </c>
    </row>
    <row r="40" spans="1:4">
      <c r="A40" s="54" t="s">
        <v>139</v>
      </c>
      <c r="B40" s="68" t="s">
        <v>232</v>
      </c>
      <c r="C40" s="116" t="s" vm="34">
        <v>1148</v>
      </c>
      <c r="D40" s="117" t="s" vm="35">
        <v>1148</v>
      </c>
    </row>
    <row r="41" spans="1:4">
      <c r="A41" s="54" t="s">
        <v>139</v>
      </c>
      <c r="B41" s="68" t="s">
        <v>205</v>
      </c>
      <c r="C41" s="116" t="s" vm="36">
        <v>1148</v>
      </c>
      <c r="D41" s="117" t="s" vm="37">
        <v>1148</v>
      </c>
    </row>
    <row r="42" spans="1:4">
      <c r="B42" s="68" t="s">
        <v>81</v>
      </c>
      <c r="C42" s="116">
        <f>C38+C10</f>
        <v>225473.86181613398</v>
      </c>
      <c r="D42" s="117">
        <f>C42/$C$42</f>
        <v>1</v>
      </c>
    </row>
    <row r="43" spans="1:4">
      <c r="A43" s="54" t="s">
        <v>139</v>
      </c>
      <c r="B43" s="68" t="s">
        <v>202</v>
      </c>
      <c r="C43" s="134">
        <f>'יתרת התחייבות להשקעה'!C10</f>
        <v>1026.0314800000001</v>
      </c>
      <c r="D43" s="117"/>
    </row>
    <row r="44" spans="1:4">
      <c r="B44" s="6" t="s">
        <v>107</v>
      </c>
    </row>
    <row r="45" spans="1:4">
      <c r="C45" s="74" t="s">
        <v>184</v>
      </c>
      <c r="D45" s="35" t="s">
        <v>101</v>
      </c>
    </row>
    <row r="46" spans="1:4">
      <c r="C46" s="75" t="s">
        <v>1</v>
      </c>
      <c r="D46" s="24" t="s">
        <v>2</v>
      </c>
    </row>
    <row r="47" spans="1:4">
      <c r="C47" s="118" t="s">
        <v>165</v>
      </c>
      <c r="D47" s="119" vm="38">
        <v>2.5729000000000002</v>
      </c>
    </row>
    <row r="48" spans="1:4">
      <c r="C48" s="118" t="s">
        <v>174</v>
      </c>
      <c r="D48" s="119">
        <v>0.92769022502618081</v>
      </c>
    </row>
    <row r="49" spans="2:4">
      <c r="C49" s="118" t="s">
        <v>170</v>
      </c>
      <c r="D49" s="119" vm="39">
        <v>2.7052</v>
      </c>
    </row>
    <row r="50" spans="2:4">
      <c r="B50" s="12"/>
      <c r="C50" s="118" t="s">
        <v>1149</v>
      </c>
      <c r="D50" s="119" vm="40">
        <v>3.6494</v>
      </c>
    </row>
    <row r="51" spans="2:4">
      <c r="C51" s="118" t="s">
        <v>163</v>
      </c>
      <c r="D51" s="119" vm="41">
        <v>4.0781999999999998</v>
      </c>
    </row>
    <row r="52" spans="2:4">
      <c r="C52" s="118" t="s">
        <v>164</v>
      </c>
      <c r="D52" s="119" vm="42">
        <v>4.7325999999999997</v>
      </c>
    </row>
    <row r="53" spans="2:4">
      <c r="C53" s="118" t="s">
        <v>166</v>
      </c>
      <c r="D53" s="119">
        <v>0.46267515923566882</v>
      </c>
    </row>
    <row r="54" spans="2:4">
      <c r="C54" s="118" t="s">
        <v>171</v>
      </c>
      <c r="D54" s="119" vm="43">
        <v>3.2778</v>
      </c>
    </row>
    <row r="55" spans="2:4">
      <c r="C55" s="118" t="s">
        <v>172</v>
      </c>
      <c r="D55" s="119">
        <v>0.18716729107296534</v>
      </c>
    </row>
    <row r="56" spans="2:4">
      <c r="C56" s="118" t="s">
        <v>169</v>
      </c>
      <c r="D56" s="119" vm="44">
        <v>0.54620000000000002</v>
      </c>
    </row>
    <row r="57" spans="2:4">
      <c r="C57" s="118" t="s">
        <v>1150</v>
      </c>
      <c r="D57" s="119">
        <v>2.4723023999999998</v>
      </c>
    </row>
    <row r="58" spans="2:4">
      <c r="C58" s="118" t="s">
        <v>168</v>
      </c>
      <c r="D58" s="119" vm="45">
        <v>0.39090000000000003</v>
      </c>
    </row>
    <row r="59" spans="2:4">
      <c r="C59" s="118" t="s">
        <v>161</v>
      </c>
      <c r="D59" s="119" vm="46">
        <v>3.6320000000000001</v>
      </c>
    </row>
    <row r="60" spans="2:4">
      <c r="C60" s="118" t="s">
        <v>175</v>
      </c>
      <c r="D60" s="119" vm="47">
        <v>0.24929999999999999</v>
      </c>
    </row>
    <row r="61" spans="2:4">
      <c r="C61" s="118" t="s">
        <v>1151</v>
      </c>
      <c r="D61" s="119" vm="48">
        <v>0.42030000000000001</v>
      </c>
    </row>
    <row r="62" spans="2:4">
      <c r="C62" s="118" t="s">
        <v>1152</v>
      </c>
      <c r="D62" s="119">
        <v>5.533464356993769E-2</v>
      </c>
    </row>
    <row r="63" spans="2:4">
      <c r="C63" s="118" t="s">
        <v>162</v>
      </c>
      <c r="D63" s="119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6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M30" sqref="M3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177</v>
      </c>
      <c r="C1" s="77" t="s" vm="1">
        <v>247</v>
      </c>
    </row>
    <row r="2" spans="2:60">
      <c r="B2" s="56" t="s">
        <v>176</v>
      </c>
      <c r="C2" s="77" t="s">
        <v>248</v>
      </c>
    </row>
    <row r="3" spans="2:60">
      <c r="B3" s="56" t="s">
        <v>178</v>
      </c>
      <c r="C3" s="77" t="s">
        <v>249</v>
      </c>
    </row>
    <row r="4" spans="2:60">
      <c r="B4" s="56" t="s">
        <v>179</v>
      </c>
      <c r="C4" s="77">
        <v>2144</v>
      </c>
    </row>
    <row r="6" spans="2:60" ht="26.25" customHeight="1">
      <c r="B6" s="195" t="s">
        <v>207</v>
      </c>
      <c r="C6" s="196"/>
      <c r="D6" s="196"/>
      <c r="E6" s="196"/>
      <c r="F6" s="196"/>
      <c r="G6" s="196"/>
      <c r="H6" s="196"/>
      <c r="I6" s="196"/>
      <c r="J6" s="196"/>
      <c r="K6" s="196"/>
      <c r="L6" s="197"/>
    </row>
    <row r="7" spans="2:60" ht="26.25" customHeight="1">
      <c r="B7" s="195" t="s">
        <v>90</v>
      </c>
      <c r="C7" s="196"/>
      <c r="D7" s="196"/>
      <c r="E7" s="196"/>
      <c r="F7" s="196"/>
      <c r="G7" s="196"/>
      <c r="H7" s="196"/>
      <c r="I7" s="196"/>
      <c r="J7" s="196"/>
      <c r="K7" s="196"/>
      <c r="L7" s="197"/>
      <c r="BH7" s="3"/>
    </row>
    <row r="8" spans="2:60" s="3" customFormat="1" ht="78.75">
      <c r="B8" s="22" t="s">
        <v>114</v>
      </c>
      <c r="C8" s="30" t="s">
        <v>43</v>
      </c>
      <c r="D8" s="30" t="s">
        <v>117</v>
      </c>
      <c r="E8" s="30" t="s">
        <v>60</v>
      </c>
      <c r="F8" s="30" t="s">
        <v>99</v>
      </c>
      <c r="G8" s="30" t="s">
        <v>231</v>
      </c>
      <c r="H8" s="30" t="s">
        <v>230</v>
      </c>
      <c r="I8" s="30" t="s">
        <v>59</v>
      </c>
      <c r="J8" s="30" t="s">
        <v>56</v>
      </c>
      <c r="K8" s="30" t="s">
        <v>180</v>
      </c>
      <c r="L8" s="30" t="s">
        <v>182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238</v>
      </c>
      <c r="H9" s="16"/>
      <c r="I9" s="16" t="s">
        <v>234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C11" s="1"/>
      <c r="BD11" s="3"/>
      <c r="BE11" s="1"/>
      <c r="BG11" s="1"/>
    </row>
    <row r="12" spans="2:60" s="4" customFormat="1" ht="18" customHeight="1">
      <c r="B12" s="98" t="s">
        <v>246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C12" s="1"/>
      <c r="BD12" s="3"/>
      <c r="BE12" s="1"/>
      <c r="BG12" s="1"/>
    </row>
    <row r="13" spans="2:60">
      <c r="B13" s="98" t="s">
        <v>110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D13" s="3"/>
    </row>
    <row r="14" spans="2:60" ht="20.25">
      <c r="B14" s="98" t="s">
        <v>229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BD14" s="4"/>
    </row>
    <row r="15" spans="2:60">
      <c r="B15" s="98" t="s">
        <v>237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177</v>
      </c>
      <c r="C1" s="77" t="s" vm="1">
        <v>247</v>
      </c>
    </row>
    <row r="2" spans="2:61">
      <c r="B2" s="56" t="s">
        <v>176</v>
      </c>
      <c r="C2" s="77" t="s">
        <v>248</v>
      </c>
    </row>
    <row r="3" spans="2:61">
      <c r="B3" s="56" t="s">
        <v>178</v>
      </c>
      <c r="C3" s="77" t="s">
        <v>249</v>
      </c>
    </row>
    <row r="4" spans="2:61">
      <c r="B4" s="56" t="s">
        <v>179</v>
      </c>
      <c r="C4" s="77">
        <v>2144</v>
      </c>
    </row>
    <row r="6" spans="2:61" ht="26.25" customHeight="1">
      <c r="B6" s="195" t="s">
        <v>207</v>
      </c>
      <c r="C6" s="196"/>
      <c r="D6" s="196"/>
      <c r="E6" s="196"/>
      <c r="F6" s="196"/>
      <c r="G6" s="196"/>
      <c r="H6" s="196"/>
      <c r="I6" s="196"/>
      <c r="J6" s="196"/>
      <c r="K6" s="196"/>
      <c r="L6" s="197"/>
    </row>
    <row r="7" spans="2:61" ht="26.25" customHeight="1">
      <c r="B7" s="195" t="s">
        <v>91</v>
      </c>
      <c r="C7" s="196"/>
      <c r="D7" s="196"/>
      <c r="E7" s="196"/>
      <c r="F7" s="196"/>
      <c r="G7" s="196"/>
      <c r="H7" s="196"/>
      <c r="I7" s="196"/>
      <c r="J7" s="196"/>
      <c r="K7" s="196"/>
      <c r="L7" s="197"/>
      <c r="BI7" s="3"/>
    </row>
    <row r="8" spans="2:61" s="3" customFormat="1" ht="78.75">
      <c r="B8" s="22" t="s">
        <v>114</v>
      </c>
      <c r="C8" s="30" t="s">
        <v>43</v>
      </c>
      <c r="D8" s="30" t="s">
        <v>117</v>
      </c>
      <c r="E8" s="30" t="s">
        <v>60</v>
      </c>
      <c r="F8" s="30" t="s">
        <v>99</v>
      </c>
      <c r="G8" s="30" t="s">
        <v>231</v>
      </c>
      <c r="H8" s="30" t="s">
        <v>230</v>
      </c>
      <c r="I8" s="30" t="s">
        <v>59</v>
      </c>
      <c r="J8" s="30" t="s">
        <v>56</v>
      </c>
      <c r="K8" s="30" t="s">
        <v>180</v>
      </c>
      <c r="L8" s="31" t="s">
        <v>182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238</v>
      </c>
      <c r="H9" s="16"/>
      <c r="I9" s="16" t="s">
        <v>234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8" t="s">
        <v>246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8" t="s">
        <v>110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8" t="s">
        <v>229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8" t="s">
        <v>237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177</v>
      </c>
      <c r="C1" s="77" t="s" vm="1">
        <v>247</v>
      </c>
    </row>
    <row r="2" spans="1:60">
      <c r="B2" s="56" t="s">
        <v>176</v>
      </c>
      <c r="C2" s="77" t="s">
        <v>248</v>
      </c>
    </row>
    <row r="3" spans="1:60">
      <c r="B3" s="56" t="s">
        <v>178</v>
      </c>
      <c r="C3" s="77" t="s">
        <v>249</v>
      </c>
    </row>
    <row r="4" spans="1:60">
      <c r="B4" s="56" t="s">
        <v>179</v>
      </c>
      <c r="C4" s="77">
        <v>2144</v>
      </c>
    </row>
    <row r="6" spans="1:60" ht="26.25" customHeight="1">
      <c r="B6" s="195" t="s">
        <v>207</v>
      </c>
      <c r="C6" s="196"/>
      <c r="D6" s="196"/>
      <c r="E6" s="196"/>
      <c r="F6" s="196"/>
      <c r="G6" s="196"/>
      <c r="H6" s="196"/>
      <c r="I6" s="196"/>
      <c r="J6" s="196"/>
      <c r="K6" s="197"/>
      <c r="BD6" s="1" t="s">
        <v>118</v>
      </c>
      <c r="BF6" s="1" t="s">
        <v>185</v>
      </c>
      <c r="BH6" s="3" t="s">
        <v>162</v>
      </c>
    </row>
    <row r="7" spans="1:60" ht="26.25" customHeight="1">
      <c r="B7" s="195" t="s">
        <v>92</v>
      </c>
      <c r="C7" s="196"/>
      <c r="D7" s="196"/>
      <c r="E7" s="196"/>
      <c r="F7" s="196"/>
      <c r="G7" s="196"/>
      <c r="H7" s="196"/>
      <c r="I7" s="196"/>
      <c r="J7" s="196"/>
      <c r="K7" s="197"/>
      <c r="BD7" s="3" t="s">
        <v>120</v>
      </c>
      <c r="BF7" s="1" t="s">
        <v>140</v>
      </c>
      <c r="BH7" s="3" t="s">
        <v>161</v>
      </c>
    </row>
    <row r="8" spans="1:60" s="3" customFormat="1" ht="78.75">
      <c r="A8" s="2"/>
      <c r="B8" s="22" t="s">
        <v>114</v>
      </c>
      <c r="C8" s="30" t="s">
        <v>43</v>
      </c>
      <c r="D8" s="30" t="s">
        <v>117</v>
      </c>
      <c r="E8" s="30" t="s">
        <v>60</v>
      </c>
      <c r="F8" s="30" t="s">
        <v>99</v>
      </c>
      <c r="G8" s="30" t="s">
        <v>231</v>
      </c>
      <c r="H8" s="30" t="s">
        <v>230</v>
      </c>
      <c r="I8" s="30" t="s">
        <v>59</v>
      </c>
      <c r="J8" s="30" t="s">
        <v>180</v>
      </c>
      <c r="K8" s="30" t="s">
        <v>182</v>
      </c>
      <c r="BC8" s="1" t="s">
        <v>133</v>
      </c>
      <c r="BD8" s="1" t="s">
        <v>134</v>
      </c>
      <c r="BE8" s="1" t="s">
        <v>141</v>
      </c>
      <c r="BG8" s="4" t="s">
        <v>163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238</v>
      </c>
      <c r="H9" s="16"/>
      <c r="I9" s="16" t="s">
        <v>234</v>
      </c>
      <c r="J9" s="32" t="s">
        <v>20</v>
      </c>
      <c r="K9" s="57" t="s">
        <v>20</v>
      </c>
      <c r="BC9" s="1" t="s">
        <v>130</v>
      </c>
      <c r="BE9" s="1" t="s">
        <v>142</v>
      </c>
      <c r="BG9" s="4" t="s">
        <v>164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126</v>
      </c>
      <c r="BD10" s="3"/>
      <c r="BE10" s="1" t="s">
        <v>186</v>
      </c>
      <c r="BG10" s="1" t="s">
        <v>170</v>
      </c>
    </row>
    <row r="11" spans="1:60" s="4" customFormat="1" ht="18" customHeight="1">
      <c r="A11" s="2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3"/>
      <c r="M11" s="3"/>
      <c r="N11" s="3"/>
      <c r="O11" s="3"/>
      <c r="BC11" s="1" t="s">
        <v>125</v>
      </c>
      <c r="BD11" s="3"/>
      <c r="BE11" s="1" t="s">
        <v>143</v>
      </c>
      <c r="BG11" s="1" t="s">
        <v>165</v>
      </c>
    </row>
    <row r="12" spans="1:60" ht="20.25">
      <c r="B12" s="98" t="s">
        <v>246</v>
      </c>
      <c r="C12" s="100"/>
      <c r="D12" s="100"/>
      <c r="E12" s="100"/>
      <c r="F12" s="100"/>
      <c r="G12" s="100"/>
      <c r="H12" s="100"/>
      <c r="I12" s="100"/>
      <c r="J12" s="100"/>
      <c r="K12" s="100"/>
      <c r="P12" s="1"/>
      <c r="BC12" s="1" t="s">
        <v>123</v>
      </c>
      <c r="BD12" s="4"/>
      <c r="BE12" s="1" t="s">
        <v>144</v>
      </c>
      <c r="BG12" s="1" t="s">
        <v>166</v>
      </c>
    </row>
    <row r="13" spans="1:60">
      <c r="B13" s="98" t="s">
        <v>110</v>
      </c>
      <c r="C13" s="100"/>
      <c r="D13" s="100"/>
      <c r="E13" s="100"/>
      <c r="F13" s="100"/>
      <c r="G13" s="100"/>
      <c r="H13" s="100"/>
      <c r="I13" s="100"/>
      <c r="J13" s="100"/>
      <c r="K13" s="100"/>
      <c r="P13" s="1"/>
      <c r="BC13" s="1" t="s">
        <v>127</v>
      </c>
      <c r="BE13" s="1" t="s">
        <v>145</v>
      </c>
      <c r="BG13" s="1" t="s">
        <v>167</v>
      </c>
    </row>
    <row r="14" spans="1:60">
      <c r="B14" s="98" t="s">
        <v>229</v>
      </c>
      <c r="C14" s="100"/>
      <c r="D14" s="100"/>
      <c r="E14" s="100"/>
      <c r="F14" s="100"/>
      <c r="G14" s="100"/>
      <c r="H14" s="100"/>
      <c r="I14" s="100"/>
      <c r="J14" s="100"/>
      <c r="K14" s="100"/>
      <c r="P14" s="1"/>
      <c r="BC14" s="1" t="s">
        <v>124</v>
      </c>
      <c r="BE14" s="1" t="s">
        <v>146</v>
      </c>
      <c r="BG14" s="1" t="s">
        <v>169</v>
      </c>
    </row>
    <row r="15" spans="1:60">
      <c r="B15" s="98" t="s">
        <v>237</v>
      </c>
      <c r="C15" s="100"/>
      <c r="D15" s="100"/>
      <c r="E15" s="100"/>
      <c r="F15" s="100"/>
      <c r="G15" s="100"/>
      <c r="H15" s="100"/>
      <c r="I15" s="100"/>
      <c r="J15" s="100"/>
      <c r="K15" s="100"/>
      <c r="P15" s="1"/>
      <c r="BC15" s="1" t="s">
        <v>135</v>
      </c>
      <c r="BE15" s="1" t="s">
        <v>187</v>
      </c>
      <c r="BG15" s="1" t="s">
        <v>171</v>
      </c>
    </row>
    <row r="16" spans="1:60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P16" s="1"/>
      <c r="BC16" s="4" t="s">
        <v>121</v>
      </c>
      <c r="BD16" s="1" t="s">
        <v>136</v>
      </c>
      <c r="BE16" s="1" t="s">
        <v>147</v>
      </c>
      <c r="BG16" s="1" t="s">
        <v>172</v>
      </c>
    </row>
    <row r="17" spans="2:6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P17" s="1"/>
      <c r="BC17" s="1" t="s">
        <v>131</v>
      </c>
      <c r="BE17" s="1" t="s">
        <v>148</v>
      </c>
      <c r="BG17" s="1" t="s">
        <v>173</v>
      </c>
    </row>
    <row r="18" spans="2:6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BD18" s="1" t="s">
        <v>119</v>
      </c>
      <c r="BF18" s="1" t="s">
        <v>149</v>
      </c>
      <c r="BH18" s="1" t="s">
        <v>27</v>
      </c>
    </row>
    <row r="19" spans="2:6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BD19" s="1" t="s">
        <v>132</v>
      </c>
      <c r="BF19" s="1" t="s">
        <v>150</v>
      </c>
    </row>
    <row r="20" spans="2:6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137</v>
      </c>
      <c r="BF20" s="1" t="s">
        <v>151</v>
      </c>
    </row>
    <row r="21" spans="2:6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122</v>
      </c>
      <c r="BE21" s="1" t="s">
        <v>138</v>
      </c>
      <c r="BF21" s="1" t="s">
        <v>152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128</v>
      </c>
      <c r="BF22" s="1" t="s">
        <v>153</v>
      </c>
    </row>
    <row r="23" spans="2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27</v>
      </c>
      <c r="BE23" s="1" t="s">
        <v>129</v>
      </c>
      <c r="BF23" s="1" t="s">
        <v>188</v>
      </c>
    </row>
    <row r="24" spans="2:6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191</v>
      </c>
    </row>
    <row r="25" spans="2:6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154</v>
      </c>
    </row>
    <row r="26" spans="2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155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190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156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157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189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27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177</v>
      </c>
      <c r="C1" s="77" t="s" vm="1">
        <v>247</v>
      </c>
    </row>
    <row r="2" spans="2:81">
      <c r="B2" s="56" t="s">
        <v>176</v>
      </c>
      <c r="C2" s="77" t="s">
        <v>248</v>
      </c>
    </row>
    <row r="3" spans="2:81">
      <c r="B3" s="56" t="s">
        <v>178</v>
      </c>
      <c r="C3" s="77" t="s">
        <v>249</v>
      </c>
      <c r="E3" s="2"/>
    </row>
    <row r="4" spans="2:81">
      <c r="B4" s="56" t="s">
        <v>179</v>
      </c>
      <c r="C4" s="77">
        <v>2144</v>
      </c>
    </row>
    <row r="6" spans="2:81" ht="26.25" customHeight="1">
      <c r="B6" s="195" t="s">
        <v>207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7"/>
    </row>
    <row r="7" spans="2:81" ht="26.25" customHeight="1">
      <c r="B7" s="195" t="s">
        <v>93</v>
      </c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7"/>
    </row>
    <row r="8" spans="2:81" s="3" customFormat="1" ht="47.25">
      <c r="B8" s="22" t="s">
        <v>114</v>
      </c>
      <c r="C8" s="30" t="s">
        <v>43</v>
      </c>
      <c r="D8" s="13" t="s">
        <v>47</v>
      </c>
      <c r="E8" s="30" t="s">
        <v>15</v>
      </c>
      <c r="F8" s="30" t="s">
        <v>61</v>
      </c>
      <c r="G8" s="30" t="s">
        <v>100</v>
      </c>
      <c r="H8" s="30" t="s">
        <v>18</v>
      </c>
      <c r="I8" s="30" t="s">
        <v>99</v>
      </c>
      <c r="J8" s="30" t="s">
        <v>17</v>
      </c>
      <c r="K8" s="30" t="s">
        <v>19</v>
      </c>
      <c r="L8" s="30" t="s">
        <v>231</v>
      </c>
      <c r="M8" s="30" t="s">
        <v>230</v>
      </c>
      <c r="N8" s="30" t="s">
        <v>59</v>
      </c>
      <c r="O8" s="30" t="s">
        <v>56</v>
      </c>
      <c r="P8" s="30" t="s">
        <v>180</v>
      </c>
      <c r="Q8" s="31" t="s">
        <v>182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238</v>
      </c>
      <c r="M9" s="32"/>
      <c r="N9" s="32" t="s">
        <v>234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 t="s">
        <v>246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8" t="s">
        <v>110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98" t="s">
        <v>229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98" t="s">
        <v>237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sheetProtection sheet="1" objects="1" scenarios="1"/>
  <mergeCells count="2">
    <mergeCell ref="B6:Q6"/>
    <mergeCell ref="B7:Q7"/>
  </mergeCells>
  <phoneticPr fontId="6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91"/>
  <sheetViews>
    <sheetView rightToLeft="1" workbookViewId="0">
      <selection activeCell="K94" sqref="K94"/>
    </sheetView>
  </sheetViews>
  <sheetFormatPr defaultColWidth="9.140625" defaultRowHeight="18"/>
  <cols>
    <col min="1" max="1" width="3" style="1" customWidth="1"/>
    <col min="2" max="2" width="32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177</v>
      </c>
      <c r="C1" s="77" t="s" vm="1">
        <v>247</v>
      </c>
    </row>
    <row r="2" spans="2:72">
      <c r="B2" s="56" t="s">
        <v>176</v>
      </c>
      <c r="C2" s="77" t="s">
        <v>248</v>
      </c>
    </row>
    <row r="3" spans="2:72">
      <c r="B3" s="56" t="s">
        <v>178</v>
      </c>
      <c r="C3" s="77" t="s">
        <v>249</v>
      </c>
    </row>
    <row r="4" spans="2:72">
      <c r="B4" s="56" t="s">
        <v>179</v>
      </c>
      <c r="C4" s="77">
        <v>2144</v>
      </c>
    </row>
    <row r="6" spans="2:72" ht="26.25" customHeight="1">
      <c r="B6" s="195" t="s">
        <v>208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7"/>
    </row>
    <row r="7" spans="2:72" ht="26.25" customHeight="1">
      <c r="B7" s="195" t="s">
        <v>84</v>
      </c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7"/>
    </row>
    <row r="8" spans="2:72" s="3" customFormat="1" ht="78.75">
      <c r="B8" s="22" t="s">
        <v>114</v>
      </c>
      <c r="C8" s="30" t="s">
        <v>43</v>
      </c>
      <c r="D8" s="30" t="s">
        <v>15</v>
      </c>
      <c r="E8" s="30" t="s">
        <v>61</v>
      </c>
      <c r="F8" s="30" t="s">
        <v>100</v>
      </c>
      <c r="G8" s="30" t="s">
        <v>18</v>
      </c>
      <c r="H8" s="30" t="s">
        <v>99</v>
      </c>
      <c r="I8" s="30" t="s">
        <v>17</v>
      </c>
      <c r="J8" s="30" t="s">
        <v>19</v>
      </c>
      <c r="K8" s="30" t="s">
        <v>231</v>
      </c>
      <c r="L8" s="30" t="s">
        <v>230</v>
      </c>
      <c r="M8" s="30" t="s">
        <v>108</v>
      </c>
      <c r="N8" s="30" t="s">
        <v>56</v>
      </c>
      <c r="O8" s="30" t="s">
        <v>180</v>
      </c>
      <c r="P8" s="31" t="s">
        <v>182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238</v>
      </c>
      <c r="L9" s="32"/>
      <c r="M9" s="32" t="s">
        <v>234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8" t="s">
        <v>26</v>
      </c>
      <c r="C11" s="79"/>
      <c r="D11" s="79"/>
      <c r="E11" s="79"/>
      <c r="F11" s="79"/>
      <c r="G11" s="87">
        <v>8.1027287275307565</v>
      </c>
      <c r="H11" s="79"/>
      <c r="I11" s="79"/>
      <c r="J11" s="102">
        <v>4.8512689097380324E-2</v>
      </c>
      <c r="K11" s="87"/>
      <c r="L11" s="79"/>
      <c r="M11" s="87">
        <v>62378.403150000006</v>
      </c>
      <c r="N11" s="79"/>
      <c r="O11" s="88">
        <f>M11/$M$11</f>
        <v>1</v>
      </c>
      <c r="P11" s="88">
        <f>M11/'סכום נכסי הקרן'!$C$42</f>
        <v>0.27665469801048337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0" t="s">
        <v>228</v>
      </c>
      <c r="C12" s="81"/>
      <c r="D12" s="81"/>
      <c r="E12" s="81"/>
      <c r="F12" s="81"/>
      <c r="G12" s="90">
        <v>8.1027287275307547</v>
      </c>
      <c r="H12" s="81"/>
      <c r="I12" s="81"/>
      <c r="J12" s="103">
        <v>4.8512689097380317E-2</v>
      </c>
      <c r="K12" s="90"/>
      <c r="L12" s="81"/>
      <c r="M12" s="90">
        <v>62378.403150000006</v>
      </c>
      <c r="N12" s="81"/>
      <c r="O12" s="91">
        <f t="shared" ref="O12:O75" si="0">M12/$M$11</f>
        <v>1</v>
      </c>
      <c r="P12" s="91">
        <f>M12/'סכום נכסי הקרן'!$C$42</f>
        <v>0.27665469801048337</v>
      </c>
    </row>
    <row r="13" spans="2:72">
      <c r="B13" s="101" t="s">
        <v>64</v>
      </c>
      <c r="C13" s="81"/>
      <c r="D13" s="81"/>
      <c r="E13" s="81"/>
      <c r="F13" s="81"/>
      <c r="G13" s="90">
        <v>8.1027287275307547</v>
      </c>
      <c r="H13" s="81"/>
      <c r="I13" s="81"/>
      <c r="J13" s="103">
        <v>4.8512689097380317E-2</v>
      </c>
      <c r="K13" s="90"/>
      <c r="L13" s="81"/>
      <c r="M13" s="90">
        <v>62378.403150000006</v>
      </c>
      <c r="N13" s="81"/>
      <c r="O13" s="91">
        <f t="shared" si="0"/>
        <v>1</v>
      </c>
      <c r="P13" s="91">
        <f>M13/'סכום נכסי הקרן'!$C$42</f>
        <v>0.27665469801048337</v>
      </c>
    </row>
    <row r="14" spans="2:72">
      <c r="B14" s="86" t="s">
        <v>959</v>
      </c>
      <c r="C14" s="83" t="s">
        <v>960</v>
      </c>
      <c r="D14" s="83" t="s">
        <v>252</v>
      </c>
      <c r="E14" s="83"/>
      <c r="F14" s="105">
        <v>40148</v>
      </c>
      <c r="G14" s="93">
        <v>4.9600000000000009</v>
      </c>
      <c r="H14" s="96" t="s">
        <v>162</v>
      </c>
      <c r="I14" s="97">
        <v>4.8000000000000001E-2</v>
      </c>
      <c r="J14" s="97">
        <v>4.8500000000000008E-2</v>
      </c>
      <c r="K14" s="93">
        <v>672000</v>
      </c>
      <c r="L14" s="106">
        <v>110.3515</v>
      </c>
      <c r="M14" s="93">
        <v>741.47351000000003</v>
      </c>
      <c r="N14" s="83"/>
      <c r="O14" s="94">
        <f t="shared" si="0"/>
        <v>1.188670232896143E-2</v>
      </c>
      <c r="P14" s="94">
        <f>M14/'סכום נכסי הקרן'!$C$42</f>
        <v>3.2885120431593337E-3</v>
      </c>
    </row>
    <row r="15" spans="2:72">
      <c r="B15" s="86" t="s">
        <v>961</v>
      </c>
      <c r="C15" s="83" t="s">
        <v>962</v>
      </c>
      <c r="D15" s="83" t="s">
        <v>252</v>
      </c>
      <c r="E15" s="83"/>
      <c r="F15" s="105">
        <v>40452</v>
      </c>
      <c r="G15" s="93">
        <v>5.54</v>
      </c>
      <c r="H15" s="96" t="s">
        <v>162</v>
      </c>
      <c r="I15" s="97">
        <v>4.8000000000000001E-2</v>
      </c>
      <c r="J15" s="97">
        <v>4.8600000000000004E-2</v>
      </c>
      <c r="K15" s="93">
        <v>731000</v>
      </c>
      <c r="L15" s="106">
        <v>109.1125</v>
      </c>
      <c r="M15" s="93">
        <v>797.50046999999995</v>
      </c>
      <c r="N15" s="83"/>
      <c r="O15" s="94">
        <f t="shared" si="0"/>
        <v>1.2784881140388728E-2</v>
      </c>
      <c r="P15" s="94">
        <f>M15/'סכום נכסי הקרן'!$C$42</f>
        <v>3.5369974309941679E-3</v>
      </c>
    </row>
    <row r="16" spans="2:72">
      <c r="B16" s="86" t="s">
        <v>963</v>
      </c>
      <c r="C16" s="83" t="s">
        <v>964</v>
      </c>
      <c r="D16" s="83" t="s">
        <v>252</v>
      </c>
      <c r="E16" s="83"/>
      <c r="F16" s="105">
        <v>40909</v>
      </c>
      <c r="G16" s="93">
        <v>6.4899999999999993</v>
      </c>
      <c r="H16" s="96" t="s">
        <v>162</v>
      </c>
      <c r="I16" s="97">
        <v>4.8000000000000001E-2</v>
      </c>
      <c r="J16" s="97">
        <v>4.8500000000000008E-2</v>
      </c>
      <c r="K16" s="93">
        <v>593000</v>
      </c>
      <c r="L16" s="106">
        <v>104.4988</v>
      </c>
      <c r="M16" s="93">
        <v>619.70343000000003</v>
      </c>
      <c r="N16" s="83"/>
      <c r="O16" s="94">
        <f t="shared" si="0"/>
        <v>9.934583104184512E-3</v>
      </c>
      <c r="P16" s="94">
        <f>M16/'סכום נכסי הקרן'!$C$42</f>
        <v>2.748449088548217E-3</v>
      </c>
    </row>
    <row r="17" spans="2:16">
      <c r="B17" s="86" t="s">
        <v>965</v>
      </c>
      <c r="C17" s="83">
        <v>8790</v>
      </c>
      <c r="D17" s="83" t="s">
        <v>252</v>
      </c>
      <c r="E17" s="83"/>
      <c r="F17" s="105">
        <v>41030</v>
      </c>
      <c r="G17" s="93">
        <v>6.67</v>
      </c>
      <c r="H17" s="96" t="s">
        <v>162</v>
      </c>
      <c r="I17" s="97">
        <v>4.8000000000000001E-2</v>
      </c>
      <c r="J17" s="97">
        <v>4.8599999999999997E-2</v>
      </c>
      <c r="K17" s="93">
        <v>3484000</v>
      </c>
      <c r="L17" s="106">
        <v>104.8777</v>
      </c>
      <c r="M17" s="93">
        <v>3654.11771</v>
      </c>
      <c r="N17" s="83"/>
      <c r="O17" s="94">
        <f t="shared" si="0"/>
        <v>5.8579853370292624E-2</v>
      </c>
      <c r="P17" s="94">
        <f>M17/'סכום נכסי הקרן'!$C$42</f>
        <v>1.6206391643656705E-2</v>
      </c>
    </row>
    <row r="18" spans="2:16">
      <c r="B18" s="86" t="s">
        <v>966</v>
      </c>
      <c r="C18" s="83" t="s">
        <v>967</v>
      </c>
      <c r="D18" s="83" t="s">
        <v>252</v>
      </c>
      <c r="E18" s="83"/>
      <c r="F18" s="105">
        <v>41091</v>
      </c>
      <c r="G18" s="93">
        <v>6.83</v>
      </c>
      <c r="H18" s="96" t="s">
        <v>162</v>
      </c>
      <c r="I18" s="97">
        <v>4.8000000000000001E-2</v>
      </c>
      <c r="J18" s="97">
        <v>4.8499999999999988E-2</v>
      </c>
      <c r="K18" s="93">
        <v>743000</v>
      </c>
      <c r="L18" s="106">
        <v>103.15860000000001</v>
      </c>
      <c r="M18" s="93">
        <v>766.77691000000004</v>
      </c>
      <c r="N18" s="83"/>
      <c r="O18" s="94">
        <f t="shared" si="0"/>
        <v>1.2292345928704653E-2</v>
      </c>
      <c r="P18" s="94">
        <f>M18/'סכום נכסי הקרן'!$C$42</f>
        <v>3.4007352507461805E-3</v>
      </c>
    </row>
    <row r="19" spans="2:16">
      <c r="B19" s="86" t="s">
        <v>968</v>
      </c>
      <c r="C19" s="83">
        <v>8793</v>
      </c>
      <c r="D19" s="83" t="s">
        <v>252</v>
      </c>
      <c r="E19" s="83"/>
      <c r="F19" s="105">
        <v>41122</v>
      </c>
      <c r="G19" s="93">
        <v>6.92</v>
      </c>
      <c r="H19" s="96" t="s">
        <v>162</v>
      </c>
      <c r="I19" s="97">
        <v>4.8000000000000001E-2</v>
      </c>
      <c r="J19" s="97">
        <v>4.8499999999999995E-2</v>
      </c>
      <c r="K19" s="93">
        <v>2280000</v>
      </c>
      <c r="L19" s="106">
        <v>103.08669999999999</v>
      </c>
      <c r="M19" s="93">
        <v>2350.3759700000001</v>
      </c>
      <c r="N19" s="83"/>
      <c r="O19" s="94">
        <f t="shared" si="0"/>
        <v>3.7679322510839233E-2</v>
      </c>
      <c r="P19" s="94">
        <f>M19/'סכום נכסי הקרן'!$C$42</f>
        <v>1.0424161590475836E-2</v>
      </c>
    </row>
    <row r="20" spans="2:16">
      <c r="B20" s="86" t="s">
        <v>969</v>
      </c>
      <c r="C20" s="83" t="s">
        <v>970</v>
      </c>
      <c r="D20" s="83" t="s">
        <v>252</v>
      </c>
      <c r="E20" s="83"/>
      <c r="F20" s="105">
        <v>41154</v>
      </c>
      <c r="G20" s="93">
        <v>7</v>
      </c>
      <c r="H20" s="96" t="s">
        <v>162</v>
      </c>
      <c r="I20" s="97">
        <v>4.8000000000000001E-2</v>
      </c>
      <c r="J20" s="97">
        <v>4.8499999999999995E-2</v>
      </c>
      <c r="K20" s="93">
        <v>1823000</v>
      </c>
      <c r="L20" s="106">
        <v>102.5735</v>
      </c>
      <c r="M20" s="93">
        <v>1869.9159199999999</v>
      </c>
      <c r="N20" s="83"/>
      <c r="O20" s="94">
        <f t="shared" si="0"/>
        <v>2.9976976414472382E-2</v>
      </c>
      <c r="P20" s="94">
        <f>M20/'סכום נכסי הקרן'!$C$42</f>
        <v>8.2932713572132395E-3</v>
      </c>
    </row>
    <row r="21" spans="2:16">
      <c r="B21" s="86" t="s">
        <v>971</v>
      </c>
      <c r="C21" s="83" t="s">
        <v>972</v>
      </c>
      <c r="D21" s="83" t="s">
        <v>252</v>
      </c>
      <c r="E21" s="83"/>
      <c r="F21" s="105">
        <v>41184</v>
      </c>
      <c r="G21" s="93">
        <v>6.9200000000000008</v>
      </c>
      <c r="H21" s="96" t="s">
        <v>162</v>
      </c>
      <c r="I21" s="97">
        <v>4.8000000000000001E-2</v>
      </c>
      <c r="J21" s="97">
        <v>4.8600000000000004E-2</v>
      </c>
      <c r="K21" s="93">
        <v>1919000</v>
      </c>
      <c r="L21" s="106">
        <v>103.5291</v>
      </c>
      <c r="M21" s="93">
        <v>1986.7204400000001</v>
      </c>
      <c r="N21" s="83"/>
      <c r="O21" s="94">
        <f t="shared" si="0"/>
        <v>3.1849491806043448E-2</v>
      </c>
      <c r="P21" s="94">
        <f>M21/'סכום נכסי הקרן'!$C$42</f>
        <v>8.8113115373883149E-3</v>
      </c>
    </row>
    <row r="22" spans="2:16">
      <c r="B22" s="86" t="s">
        <v>973</v>
      </c>
      <c r="C22" s="83" t="s">
        <v>974</v>
      </c>
      <c r="D22" s="83" t="s">
        <v>252</v>
      </c>
      <c r="E22" s="83"/>
      <c r="F22" s="105">
        <v>41214</v>
      </c>
      <c r="G22" s="93">
        <v>7.01</v>
      </c>
      <c r="H22" s="96" t="s">
        <v>162</v>
      </c>
      <c r="I22" s="97">
        <v>4.8000000000000001E-2</v>
      </c>
      <c r="J22" s="97">
        <v>4.8500000000000008E-2</v>
      </c>
      <c r="K22" s="93">
        <v>1336000</v>
      </c>
      <c r="L22" s="106">
        <v>103.1387</v>
      </c>
      <c r="M22" s="93">
        <v>1377.9329499999999</v>
      </c>
      <c r="N22" s="83"/>
      <c r="O22" s="94">
        <f t="shared" si="0"/>
        <v>2.2089904204288687E-2</v>
      </c>
      <c r="P22" s="94">
        <f>M22/'סכום נכסי הקרן'!$C$42</f>
        <v>6.111275776717994E-3</v>
      </c>
    </row>
    <row r="23" spans="2:16">
      <c r="B23" s="86" t="s">
        <v>975</v>
      </c>
      <c r="C23" s="83" t="s">
        <v>976</v>
      </c>
      <c r="D23" s="83" t="s">
        <v>252</v>
      </c>
      <c r="E23" s="83"/>
      <c r="F23" s="105">
        <v>41245</v>
      </c>
      <c r="G23" s="93">
        <v>7.0900000000000007</v>
      </c>
      <c r="H23" s="96" t="s">
        <v>162</v>
      </c>
      <c r="I23" s="97">
        <v>4.8000000000000001E-2</v>
      </c>
      <c r="J23" s="97">
        <v>4.8499999999999995E-2</v>
      </c>
      <c r="K23" s="93">
        <v>1910000</v>
      </c>
      <c r="L23" s="106">
        <v>102.91240000000001</v>
      </c>
      <c r="M23" s="93">
        <v>1965.6266499999999</v>
      </c>
      <c r="N23" s="83"/>
      <c r="O23" s="94">
        <f t="shared" si="0"/>
        <v>3.1511333261823003E-2</v>
      </c>
      <c r="P23" s="94">
        <f>M23/'סכום נכסי הקרן'!$C$42</f>
        <v>8.7177583874573431E-3</v>
      </c>
    </row>
    <row r="24" spans="2:16">
      <c r="B24" s="86" t="s">
        <v>977</v>
      </c>
      <c r="C24" s="83" t="s">
        <v>978</v>
      </c>
      <c r="D24" s="83" t="s">
        <v>252</v>
      </c>
      <c r="E24" s="83"/>
      <c r="F24" s="105">
        <v>41275</v>
      </c>
      <c r="G24" s="93">
        <v>7.1700000000000008</v>
      </c>
      <c r="H24" s="96" t="s">
        <v>162</v>
      </c>
      <c r="I24" s="97">
        <v>4.8000000000000001E-2</v>
      </c>
      <c r="J24" s="97">
        <v>4.8499999999999995E-2</v>
      </c>
      <c r="K24" s="93">
        <v>1307000</v>
      </c>
      <c r="L24" s="106">
        <v>103.0005</v>
      </c>
      <c r="M24" s="93">
        <v>1346.22399</v>
      </c>
      <c r="N24" s="83"/>
      <c r="O24" s="94">
        <f t="shared" si="0"/>
        <v>2.1581571858496667E-2</v>
      </c>
      <c r="P24" s="94">
        <f>M24/'סכום נכסי הקרן'!$C$42</f>
        <v>5.9706432451039418E-3</v>
      </c>
    </row>
    <row r="25" spans="2:16">
      <c r="B25" s="86" t="s">
        <v>979</v>
      </c>
      <c r="C25" s="83" t="s">
        <v>980</v>
      </c>
      <c r="D25" s="83" t="s">
        <v>252</v>
      </c>
      <c r="E25" s="83"/>
      <c r="F25" s="105">
        <v>41334</v>
      </c>
      <c r="G25" s="93">
        <v>7.34</v>
      </c>
      <c r="H25" s="96" t="s">
        <v>162</v>
      </c>
      <c r="I25" s="97">
        <v>4.8000000000000001E-2</v>
      </c>
      <c r="J25" s="97">
        <v>4.8500000000000015E-2</v>
      </c>
      <c r="K25" s="93">
        <v>1280000</v>
      </c>
      <c r="L25" s="106">
        <v>102.175</v>
      </c>
      <c r="M25" s="93">
        <v>1307.8399899999999</v>
      </c>
      <c r="N25" s="83"/>
      <c r="O25" s="94">
        <f t="shared" si="0"/>
        <v>2.0966230681716318E-2</v>
      </c>
      <c r="P25" s="94">
        <f>M25/'סכום נכסי הקרן'!$C$42</f>
        <v>5.8004062176683592E-3</v>
      </c>
    </row>
    <row r="26" spans="2:16">
      <c r="B26" s="86" t="s">
        <v>981</v>
      </c>
      <c r="C26" s="83">
        <v>2704</v>
      </c>
      <c r="D26" s="83" t="s">
        <v>252</v>
      </c>
      <c r="E26" s="83"/>
      <c r="F26" s="105">
        <v>41395</v>
      </c>
      <c r="G26" s="93">
        <v>7.33</v>
      </c>
      <c r="H26" s="96" t="s">
        <v>162</v>
      </c>
      <c r="I26" s="97">
        <v>4.8000000000000001E-2</v>
      </c>
      <c r="J26" s="97">
        <v>4.8500000000000008E-2</v>
      </c>
      <c r="K26" s="93">
        <v>961000</v>
      </c>
      <c r="L26" s="106">
        <v>103.5962</v>
      </c>
      <c r="M26" s="93">
        <v>995.55928000000006</v>
      </c>
      <c r="N26" s="83"/>
      <c r="O26" s="94">
        <f t="shared" si="0"/>
        <v>1.5959999450547012E-2</v>
      </c>
      <c r="P26" s="94">
        <f>M26/'סכום נכסי הקרן'!$C$42</f>
        <v>4.4154088282385637E-3</v>
      </c>
    </row>
    <row r="27" spans="2:16">
      <c r="B27" s="86" t="s">
        <v>982</v>
      </c>
      <c r="C27" s="83" t="s">
        <v>983</v>
      </c>
      <c r="D27" s="83" t="s">
        <v>252</v>
      </c>
      <c r="E27" s="83"/>
      <c r="F27" s="105">
        <v>41427</v>
      </c>
      <c r="G27" s="93">
        <v>7.42</v>
      </c>
      <c r="H27" s="96" t="s">
        <v>162</v>
      </c>
      <c r="I27" s="97">
        <v>4.8000000000000001E-2</v>
      </c>
      <c r="J27" s="97">
        <v>4.8499999999999995E-2</v>
      </c>
      <c r="K27" s="93">
        <v>856000</v>
      </c>
      <c r="L27" s="106">
        <v>102.76900000000001</v>
      </c>
      <c r="M27" s="93">
        <v>879.70461999999998</v>
      </c>
      <c r="N27" s="83"/>
      <c r="O27" s="94">
        <f t="shared" si="0"/>
        <v>1.4102711444609974E-2</v>
      </c>
      <c r="P27" s="94">
        <f>M27/'סכום נכסי הקרן'!$C$42</f>
        <v>3.9015813758375602E-3</v>
      </c>
    </row>
    <row r="28" spans="2:16">
      <c r="B28" s="86" t="s">
        <v>984</v>
      </c>
      <c r="C28" s="83">
        <v>8806</v>
      </c>
      <c r="D28" s="83" t="s">
        <v>252</v>
      </c>
      <c r="E28" s="83"/>
      <c r="F28" s="105">
        <v>41518</v>
      </c>
      <c r="G28" s="93">
        <v>7.6700000000000008</v>
      </c>
      <c r="H28" s="96" t="s">
        <v>162</v>
      </c>
      <c r="I28" s="97">
        <v>4.8000000000000001E-2</v>
      </c>
      <c r="J28" s="97">
        <v>4.8500000000000008E-2</v>
      </c>
      <c r="K28" s="93">
        <v>206000</v>
      </c>
      <c r="L28" s="106">
        <v>100.3903</v>
      </c>
      <c r="M28" s="93">
        <v>206.78859</v>
      </c>
      <c r="N28" s="83"/>
      <c r="O28" s="94">
        <f t="shared" si="0"/>
        <v>3.3150670674069664E-3</v>
      </c>
      <c r="P28" s="94">
        <f>M28/'סכום נכסי הקרן'!$C$42</f>
        <v>9.1712887841797304E-4</v>
      </c>
    </row>
    <row r="29" spans="2:16">
      <c r="B29" s="86" t="s">
        <v>985</v>
      </c>
      <c r="C29" s="83" t="s">
        <v>986</v>
      </c>
      <c r="D29" s="83" t="s">
        <v>252</v>
      </c>
      <c r="E29" s="83"/>
      <c r="F29" s="105">
        <v>41548</v>
      </c>
      <c r="G29" s="93">
        <v>7.57</v>
      </c>
      <c r="H29" s="96" t="s">
        <v>162</v>
      </c>
      <c r="I29" s="97">
        <v>4.8000000000000001E-2</v>
      </c>
      <c r="J29" s="97">
        <v>4.8499999999999995E-2</v>
      </c>
      <c r="K29" s="93">
        <v>840000</v>
      </c>
      <c r="L29" s="106">
        <v>102.3835</v>
      </c>
      <c r="M29" s="93">
        <v>860.07369999999992</v>
      </c>
      <c r="N29" s="83"/>
      <c r="O29" s="94">
        <f t="shared" si="0"/>
        <v>1.3788004446535754E-2</v>
      </c>
      <c r="P29" s="94">
        <f>M29/'סכום נכסי הקרן'!$C$42</f>
        <v>3.8145162063235507E-3</v>
      </c>
    </row>
    <row r="30" spans="2:16">
      <c r="B30" s="86" t="s">
        <v>987</v>
      </c>
      <c r="C30" s="83" t="s">
        <v>988</v>
      </c>
      <c r="D30" s="83" t="s">
        <v>252</v>
      </c>
      <c r="E30" s="83"/>
      <c r="F30" s="105">
        <v>41579</v>
      </c>
      <c r="G30" s="93">
        <v>7.65</v>
      </c>
      <c r="H30" s="96" t="s">
        <v>162</v>
      </c>
      <c r="I30" s="97">
        <v>4.8000000000000001E-2</v>
      </c>
      <c r="J30" s="97">
        <v>4.8499999999999995E-2</v>
      </c>
      <c r="K30" s="93">
        <v>315000</v>
      </c>
      <c r="L30" s="106">
        <v>101.98480000000001</v>
      </c>
      <c r="M30" s="93">
        <v>321.25511</v>
      </c>
      <c r="N30" s="83"/>
      <c r="O30" s="94">
        <f t="shared" si="0"/>
        <v>5.1501015379871902E-3</v>
      </c>
      <c r="P30" s="94">
        <f>M30/'סכום נכסי הקרן'!$C$42</f>
        <v>1.424799785715172E-3</v>
      </c>
    </row>
    <row r="31" spans="2:16">
      <c r="B31" s="86" t="s">
        <v>989</v>
      </c>
      <c r="C31" s="83" t="s">
        <v>990</v>
      </c>
      <c r="D31" s="83" t="s">
        <v>252</v>
      </c>
      <c r="E31" s="83"/>
      <c r="F31" s="105">
        <v>41609</v>
      </c>
      <c r="G31" s="93">
        <v>7.74</v>
      </c>
      <c r="H31" s="96" t="s">
        <v>162</v>
      </c>
      <c r="I31" s="97">
        <v>4.8000000000000001E-2</v>
      </c>
      <c r="J31" s="97">
        <v>4.8499999999999995E-2</v>
      </c>
      <c r="K31" s="93">
        <v>653000</v>
      </c>
      <c r="L31" s="106">
        <v>101.5825</v>
      </c>
      <c r="M31" s="93">
        <v>663.33815000000004</v>
      </c>
      <c r="N31" s="83"/>
      <c r="O31" s="94">
        <f t="shared" si="0"/>
        <v>1.0634099568161196E-2</v>
      </c>
      <c r="P31" s="94">
        <f>M31/'סכום נכסי הקרן'!$C$42</f>
        <v>2.9419736046430475E-3</v>
      </c>
    </row>
    <row r="32" spans="2:16">
      <c r="B32" s="86" t="s">
        <v>991</v>
      </c>
      <c r="C32" s="83" t="s">
        <v>992</v>
      </c>
      <c r="D32" s="83" t="s">
        <v>252</v>
      </c>
      <c r="E32" s="83"/>
      <c r="F32" s="105">
        <v>41672</v>
      </c>
      <c r="G32" s="93">
        <v>7.91</v>
      </c>
      <c r="H32" s="96" t="s">
        <v>162</v>
      </c>
      <c r="I32" s="97">
        <v>4.8000000000000001E-2</v>
      </c>
      <c r="J32" s="97">
        <v>4.8500000000000008E-2</v>
      </c>
      <c r="K32" s="93">
        <v>454000</v>
      </c>
      <c r="L32" s="106">
        <v>100.7745</v>
      </c>
      <c r="M32" s="93">
        <v>457.51060999999999</v>
      </c>
      <c r="N32" s="83"/>
      <c r="O32" s="94">
        <f t="shared" si="0"/>
        <v>7.3344392753984747E-3</v>
      </c>
      <c r="P32" s="94">
        <f>M32/'סכום נכסי הקרן'!$C$42</f>
        <v>2.0291070828115936E-3</v>
      </c>
    </row>
    <row r="33" spans="2:16">
      <c r="B33" s="86" t="s">
        <v>993</v>
      </c>
      <c r="C33" s="83" t="s">
        <v>994</v>
      </c>
      <c r="D33" s="83" t="s">
        <v>252</v>
      </c>
      <c r="E33" s="83"/>
      <c r="F33" s="105">
        <v>41700</v>
      </c>
      <c r="G33" s="93">
        <v>7.9799999999999986</v>
      </c>
      <c r="H33" s="96" t="s">
        <v>162</v>
      </c>
      <c r="I33" s="97">
        <v>4.8000000000000001E-2</v>
      </c>
      <c r="J33" s="97">
        <v>4.8500000000000008E-2</v>
      </c>
      <c r="K33" s="93">
        <v>91000</v>
      </c>
      <c r="L33" s="106">
        <v>100.7612</v>
      </c>
      <c r="M33" s="93">
        <v>91.692899999999995</v>
      </c>
      <c r="N33" s="83"/>
      <c r="O33" s="94">
        <f t="shared" si="0"/>
        <v>1.4699462533452172E-3</v>
      </c>
      <c r="P33" s="94">
        <f>M33/'סכום נכסי הקרן'!$C$42</f>
        <v>4.0666753681086251E-4</v>
      </c>
    </row>
    <row r="34" spans="2:16">
      <c r="B34" s="86" t="s">
        <v>995</v>
      </c>
      <c r="C34" s="83" t="s">
        <v>996</v>
      </c>
      <c r="D34" s="83" t="s">
        <v>252</v>
      </c>
      <c r="E34" s="83"/>
      <c r="F34" s="105">
        <v>41730</v>
      </c>
      <c r="G34" s="93">
        <v>7.88</v>
      </c>
      <c r="H34" s="96" t="s">
        <v>162</v>
      </c>
      <c r="I34" s="97">
        <v>4.8000000000000001E-2</v>
      </c>
      <c r="J34" s="97">
        <v>4.8500000000000008E-2</v>
      </c>
      <c r="K34" s="93">
        <v>314000</v>
      </c>
      <c r="L34" s="106">
        <v>102.98520000000001</v>
      </c>
      <c r="M34" s="93">
        <v>323.37398999999999</v>
      </c>
      <c r="N34" s="83"/>
      <c r="O34" s="94">
        <f t="shared" si="0"/>
        <v>5.1840697047404296E-3</v>
      </c>
      <c r="P34" s="94">
        <f>M34/'סכום נכסי הקרן'!$C$42</f>
        <v>1.4341972386302591E-3</v>
      </c>
    </row>
    <row r="35" spans="2:16">
      <c r="B35" s="86" t="s">
        <v>997</v>
      </c>
      <c r="C35" s="83" t="s">
        <v>998</v>
      </c>
      <c r="D35" s="83" t="s">
        <v>252</v>
      </c>
      <c r="E35" s="83"/>
      <c r="F35" s="105">
        <v>41760</v>
      </c>
      <c r="G35" s="93">
        <v>7.96</v>
      </c>
      <c r="H35" s="96" t="s">
        <v>162</v>
      </c>
      <c r="I35" s="97">
        <v>4.8000000000000001E-2</v>
      </c>
      <c r="J35" s="97">
        <v>4.8499999999999995E-2</v>
      </c>
      <c r="K35" s="93">
        <v>434000</v>
      </c>
      <c r="L35" s="106">
        <v>102.27679999999999</v>
      </c>
      <c r="M35" s="93">
        <v>443.88119</v>
      </c>
      <c r="N35" s="83"/>
      <c r="O35" s="94">
        <f t="shared" si="0"/>
        <v>7.1159434609540809E-3</v>
      </c>
      <c r="P35" s="94">
        <f>M35/'סכום נכסי הקרן'!$C$42</f>
        <v>1.9686591892499254E-3</v>
      </c>
    </row>
    <row r="36" spans="2:16">
      <c r="B36" s="86" t="s">
        <v>999</v>
      </c>
      <c r="C36" s="83" t="s">
        <v>1000</v>
      </c>
      <c r="D36" s="83" t="s">
        <v>252</v>
      </c>
      <c r="E36" s="83"/>
      <c r="F36" s="105">
        <v>41791</v>
      </c>
      <c r="G36" s="93">
        <v>8.0400000000000009</v>
      </c>
      <c r="H36" s="96" t="s">
        <v>162</v>
      </c>
      <c r="I36" s="97">
        <v>4.8000000000000001E-2</v>
      </c>
      <c r="J36" s="97">
        <v>4.8500000000000008E-2</v>
      </c>
      <c r="K36" s="93">
        <v>417000</v>
      </c>
      <c r="L36" s="106">
        <v>101.76649999999999</v>
      </c>
      <c r="M36" s="93">
        <v>424.39355</v>
      </c>
      <c r="N36" s="83"/>
      <c r="O36" s="94">
        <f t="shared" si="0"/>
        <v>6.8035334117077344E-3</v>
      </c>
      <c r="P36" s="94">
        <f>M36/'סכום נכסי הקרן'!$C$42</f>
        <v>1.8822294814202368E-3</v>
      </c>
    </row>
    <row r="37" spans="2:16">
      <c r="B37" s="86" t="s">
        <v>1001</v>
      </c>
      <c r="C37" s="83" t="s">
        <v>1002</v>
      </c>
      <c r="D37" s="83" t="s">
        <v>252</v>
      </c>
      <c r="E37" s="83"/>
      <c r="F37" s="105">
        <v>41821</v>
      </c>
      <c r="G37" s="93">
        <v>8.1300000000000008</v>
      </c>
      <c r="H37" s="96" t="s">
        <v>162</v>
      </c>
      <c r="I37" s="97">
        <v>4.8000000000000001E-2</v>
      </c>
      <c r="J37" s="97">
        <v>4.8499999999999988E-2</v>
      </c>
      <c r="K37" s="93">
        <v>601000</v>
      </c>
      <c r="L37" s="106">
        <v>101.27200000000001</v>
      </c>
      <c r="M37" s="93">
        <v>608.64562999999998</v>
      </c>
      <c r="N37" s="83"/>
      <c r="O37" s="94">
        <f t="shared" si="0"/>
        <v>9.7573134172159372E-3</v>
      </c>
      <c r="P37" s="94">
        <f>M37/'סכום נכסי הקרן'!$C$42</f>
        <v>2.6994065968335128E-3</v>
      </c>
    </row>
    <row r="38" spans="2:16">
      <c r="B38" s="86" t="s">
        <v>1003</v>
      </c>
      <c r="C38" s="83" t="s">
        <v>1004</v>
      </c>
      <c r="D38" s="83" t="s">
        <v>252</v>
      </c>
      <c r="E38" s="83"/>
      <c r="F38" s="105">
        <v>41852</v>
      </c>
      <c r="G38" s="93">
        <v>8.2100000000000009</v>
      </c>
      <c r="H38" s="96" t="s">
        <v>162</v>
      </c>
      <c r="I38" s="97">
        <v>4.8000000000000001E-2</v>
      </c>
      <c r="J38" s="97">
        <v>4.8499999999999995E-2</v>
      </c>
      <c r="K38" s="93">
        <v>3175000</v>
      </c>
      <c r="L38" s="106">
        <v>100.78270000000001</v>
      </c>
      <c r="M38" s="93">
        <v>3199.2757099999999</v>
      </c>
      <c r="N38" s="83"/>
      <c r="O38" s="94">
        <f t="shared" si="0"/>
        <v>5.128819508743708E-2</v>
      </c>
      <c r="P38" s="94">
        <f>M38/'סכום נכסי הקרן'!$C$42</f>
        <v>1.4189120123417663E-2</v>
      </c>
    </row>
    <row r="39" spans="2:16">
      <c r="B39" s="86" t="s">
        <v>1005</v>
      </c>
      <c r="C39" s="83" t="s">
        <v>1006</v>
      </c>
      <c r="D39" s="83" t="s">
        <v>252</v>
      </c>
      <c r="E39" s="83"/>
      <c r="F39" s="105">
        <v>41883</v>
      </c>
      <c r="G39" s="93">
        <v>8.3000000000000007</v>
      </c>
      <c r="H39" s="96" t="s">
        <v>162</v>
      </c>
      <c r="I39" s="97">
        <v>4.8000000000000001E-2</v>
      </c>
      <c r="J39" s="97">
        <v>4.8500000000000008E-2</v>
      </c>
      <c r="K39" s="93">
        <v>392000</v>
      </c>
      <c r="L39" s="106">
        <v>100.3776</v>
      </c>
      <c r="M39" s="93">
        <v>393.51107000000002</v>
      </c>
      <c r="N39" s="83"/>
      <c r="O39" s="94">
        <f t="shared" si="0"/>
        <v>6.308450523392406E-3</v>
      </c>
      <c r="P39" s="94">
        <f>M39/'סכום נכסי הקרן'!$C$42</f>
        <v>1.7452624744632018E-3</v>
      </c>
    </row>
    <row r="40" spans="2:16">
      <c r="B40" s="86" t="s">
        <v>1007</v>
      </c>
      <c r="C40" s="83" t="s">
        <v>1008</v>
      </c>
      <c r="D40" s="83" t="s">
        <v>252</v>
      </c>
      <c r="E40" s="83"/>
      <c r="F40" s="105">
        <v>41913</v>
      </c>
      <c r="G40" s="93">
        <v>8.18</v>
      </c>
      <c r="H40" s="96" t="s">
        <v>162</v>
      </c>
      <c r="I40" s="97">
        <v>4.8000000000000001E-2</v>
      </c>
      <c r="J40" s="97">
        <v>4.8499999999999995E-2</v>
      </c>
      <c r="K40" s="93">
        <v>783000</v>
      </c>
      <c r="L40" s="106">
        <v>102.3896</v>
      </c>
      <c r="M40" s="93">
        <v>801.70927000000006</v>
      </c>
      <c r="N40" s="83"/>
      <c r="O40" s="94">
        <f t="shared" si="0"/>
        <v>1.2852353210648034E-2</v>
      </c>
      <c r="P40" s="94">
        <f>M40/'סכום נכסי הקרן'!$C$42</f>
        <v>3.5556638962158985E-3</v>
      </c>
    </row>
    <row r="41" spans="2:16">
      <c r="B41" s="86" t="s">
        <v>1009</v>
      </c>
      <c r="C41" s="83" t="s">
        <v>1010</v>
      </c>
      <c r="D41" s="83" t="s">
        <v>252</v>
      </c>
      <c r="E41" s="83"/>
      <c r="F41" s="105">
        <v>41945</v>
      </c>
      <c r="G41" s="93">
        <v>8.27</v>
      </c>
      <c r="H41" s="96" t="s">
        <v>162</v>
      </c>
      <c r="I41" s="97">
        <v>4.8000000000000001E-2</v>
      </c>
      <c r="J41" s="97">
        <v>4.8499999999999995E-2</v>
      </c>
      <c r="K41" s="93">
        <v>1216000</v>
      </c>
      <c r="L41" s="106">
        <v>102.0622</v>
      </c>
      <c r="M41" s="93">
        <v>1241.08159</v>
      </c>
      <c r="N41" s="83"/>
      <c r="O41" s="94">
        <f t="shared" si="0"/>
        <v>1.9896014122317267E-2</v>
      </c>
      <c r="P41" s="94">
        <f>M41/'סכום נכסי הקרן'!$C$42</f>
        <v>5.5043257786219959E-3</v>
      </c>
    </row>
    <row r="42" spans="2:16">
      <c r="B42" s="86" t="s">
        <v>1011</v>
      </c>
      <c r="C42" s="83" t="s">
        <v>1012</v>
      </c>
      <c r="D42" s="83" t="s">
        <v>252</v>
      </c>
      <c r="E42" s="83"/>
      <c r="F42" s="105">
        <v>41974</v>
      </c>
      <c r="G42" s="93">
        <v>8.35</v>
      </c>
      <c r="H42" s="96" t="s">
        <v>162</v>
      </c>
      <c r="I42" s="97">
        <v>4.8000000000000001E-2</v>
      </c>
      <c r="J42" s="97">
        <v>4.8499999999999995E-2</v>
      </c>
      <c r="K42" s="93">
        <v>711000</v>
      </c>
      <c r="L42" s="106">
        <v>101.5796</v>
      </c>
      <c r="M42" s="93">
        <v>722.25427000000002</v>
      </c>
      <c r="N42" s="83"/>
      <c r="O42" s="94">
        <f t="shared" si="0"/>
        <v>1.1578595050969975E-2</v>
      </c>
      <c r="P42" s="94">
        <f>M42/'סכום נכסי הקרן'!$C$42</f>
        <v>3.2032727172117761E-3</v>
      </c>
    </row>
    <row r="43" spans="2:16">
      <c r="B43" s="86" t="s">
        <v>1013</v>
      </c>
      <c r="C43" s="83" t="s">
        <v>1014</v>
      </c>
      <c r="D43" s="83" t="s">
        <v>252</v>
      </c>
      <c r="E43" s="83"/>
      <c r="F43" s="105">
        <v>42005</v>
      </c>
      <c r="G43" s="93">
        <v>8.4300000000000015</v>
      </c>
      <c r="H43" s="96" t="s">
        <v>162</v>
      </c>
      <c r="I43" s="97">
        <v>4.8000000000000001E-2</v>
      </c>
      <c r="J43" s="97">
        <v>4.8499999999999995E-2</v>
      </c>
      <c r="K43" s="93">
        <v>924000</v>
      </c>
      <c r="L43" s="106">
        <v>101.18210000000001</v>
      </c>
      <c r="M43" s="93">
        <v>934.92293999999993</v>
      </c>
      <c r="N43" s="83"/>
      <c r="O43" s="94">
        <f t="shared" si="0"/>
        <v>1.4987926794980802E-2</v>
      </c>
      <c r="P43" s="94">
        <f>M43/'סכום נכסי הקרן'!$C$42</f>
        <v>4.1464803612686453E-3</v>
      </c>
    </row>
    <row r="44" spans="2:16">
      <c r="B44" s="86" t="s">
        <v>1015</v>
      </c>
      <c r="C44" s="83" t="s">
        <v>1016</v>
      </c>
      <c r="D44" s="83" t="s">
        <v>252</v>
      </c>
      <c r="E44" s="83"/>
      <c r="F44" s="105">
        <v>42036</v>
      </c>
      <c r="G44" s="93">
        <v>8.5199999999999978</v>
      </c>
      <c r="H44" s="96" t="s">
        <v>162</v>
      </c>
      <c r="I44" s="97">
        <v>4.8000000000000001E-2</v>
      </c>
      <c r="J44" s="97">
        <v>4.8499999999999995E-2</v>
      </c>
      <c r="K44" s="93">
        <v>1140000</v>
      </c>
      <c r="L44" s="106">
        <v>100.783</v>
      </c>
      <c r="M44" s="93">
        <v>1148.9255900000001</v>
      </c>
      <c r="N44" s="83"/>
      <c r="O44" s="94">
        <f t="shared" si="0"/>
        <v>1.8418643825126518E-2</v>
      </c>
      <c r="P44" s="94">
        <f>M44/'סכום נכסי הקרן'!$C$42</f>
        <v>5.0956043452030312E-3</v>
      </c>
    </row>
    <row r="45" spans="2:16">
      <c r="B45" s="86" t="s">
        <v>1017</v>
      </c>
      <c r="C45" s="83" t="s">
        <v>1018</v>
      </c>
      <c r="D45" s="83" t="s">
        <v>252</v>
      </c>
      <c r="E45" s="83"/>
      <c r="F45" s="105">
        <v>42064</v>
      </c>
      <c r="G45" s="93">
        <v>8.6</v>
      </c>
      <c r="H45" s="96" t="s">
        <v>162</v>
      </c>
      <c r="I45" s="97">
        <v>4.8000000000000001E-2</v>
      </c>
      <c r="J45" s="97">
        <v>4.8499999999999995E-2</v>
      </c>
      <c r="K45" s="93">
        <v>1970000</v>
      </c>
      <c r="L45" s="106">
        <v>101.27930000000001</v>
      </c>
      <c r="M45" s="93">
        <v>1995.20135</v>
      </c>
      <c r="N45" s="83"/>
      <c r="O45" s="94">
        <f t="shared" si="0"/>
        <v>3.1985450881167672E-2</v>
      </c>
      <c r="P45" s="94">
        <f>M45/'סכום נכסי הקרן'!$C$42</f>
        <v>8.8489252542585922E-3</v>
      </c>
    </row>
    <row r="46" spans="2:16">
      <c r="B46" s="86" t="s">
        <v>1019</v>
      </c>
      <c r="C46" s="83" t="s">
        <v>1020</v>
      </c>
      <c r="D46" s="83" t="s">
        <v>252</v>
      </c>
      <c r="E46" s="83"/>
      <c r="F46" s="105">
        <v>42095</v>
      </c>
      <c r="G46" s="93">
        <v>8.48</v>
      </c>
      <c r="H46" s="96" t="s">
        <v>162</v>
      </c>
      <c r="I46" s="97">
        <v>4.8000000000000001E-2</v>
      </c>
      <c r="J46" s="97">
        <v>4.8499999999999995E-2</v>
      </c>
      <c r="K46" s="93">
        <v>402000</v>
      </c>
      <c r="L46" s="106">
        <v>104.04089999999999</v>
      </c>
      <c r="M46" s="93">
        <v>418.24435999999997</v>
      </c>
      <c r="N46" s="83"/>
      <c r="O46" s="94">
        <f t="shared" si="0"/>
        <v>6.7049545817044519E-3</v>
      </c>
      <c r="P46" s="94">
        <f>M46/'סכום נכסי הקרן'!$C$42</f>
        <v>1.854957184975452E-3</v>
      </c>
    </row>
    <row r="47" spans="2:16">
      <c r="B47" s="86" t="s">
        <v>1021</v>
      </c>
      <c r="C47" s="83" t="s">
        <v>1022</v>
      </c>
      <c r="D47" s="83" t="s">
        <v>252</v>
      </c>
      <c r="E47" s="83"/>
      <c r="F47" s="105">
        <v>42156</v>
      </c>
      <c r="G47" s="93">
        <v>8.6399999999999988</v>
      </c>
      <c r="H47" s="96" t="s">
        <v>162</v>
      </c>
      <c r="I47" s="97">
        <v>4.8000000000000001E-2</v>
      </c>
      <c r="J47" s="97">
        <v>4.8499999999999995E-2</v>
      </c>
      <c r="K47" s="93">
        <v>365000</v>
      </c>
      <c r="L47" s="106">
        <v>102.28749999999999</v>
      </c>
      <c r="M47" s="93">
        <v>373.34751</v>
      </c>
      <c r="N47" s="83"/>
      <c r="O47" s="94">
        <f t="shared" si="0"/>
        <v>5.9852046725566103E-3</v>
      </c>
      <c r="P47" s="94">
        <f>M47/'סכום נכסי הקרן'!$C$42</f>
        <v>1.6558349912170829E-3</v>
      </c>
    </row>
    <row r="48" spans="2:16">
      <c r="B48" s="86" t="s">
        <v>1023</v>
      </c>
      <c r="C48" s="83" t="s">
        <v>1024</v>
      </c>
      <c r="D48" s="83" t="s">
        <v>252</v>
      </c>
      <c r="E48" s="83"/>
      <c r="F48" s="105">
        <v>42218</v>
      </c>
      <c r="G48" s="93">
        <v>8.82</v>
      </c>
      <c r="H48" s="96" t="s">
        <v>162</v>
      </c>
      <c r="I48" s="97">
        <v>4.8000000000000001E-2</v>
      </c>
      <c r="J48" s="97">
        <v>4.8499999999999995E-2</v>
      </c>
      <c r="K48" s="93">
        <v>461000</v>
      </c>
      <c r="L48" s="106">
        <v>100.9601</v>
      </c>
      <c r="M48" s="93">
        <v>465.42606000000001</v>
      </c>
      <c r="N48" s="83"/>
      <c r="O48" s="94">
        <f t="shared" si="0"/>
        <v>7.461333354122579E-3</v>
      </c>
      <c r="P48" s="94">
        <f>M48/'סכום נכסי הקרן'!$C$42</f>
        <v>2.064212925840329E-3</v>
      </c>
    </row>
    <row r="49" spans="2:16">
      <c r="B49" s="86" t="s">
        <v>1025</v>
      </c>
      <c r="C49" s="83" t="s">
        <v>1026</v>
      </c>
      <c r="D49" s="83" t="s">
        <v>252</v>
      </c>
      <c r="E49" s="83"/>
      <c r="F49" s="105">
        <v>42309</v>
      </c>
      <c r="G49" s="93">
        <v>8.8499999999999979</v>
      </c>
      <c r="H49" s="96" t="s">
        <v>162</v>
      </c>
      <c r="I49" s="97">
        <v>4.8000000000000001E-2</v>
      </c>
      <c r="J49" s="97">
        <v>4.8499999999999988E-2</v>
      </c>
      <c r="K49" s="93">
        <v>1143000</v>
      </c>
      <c r="L49" s="106">
        <v>102.5886</v>
      </c>
      <c r="M49" s="93">
        <v>1172.5878700000001</v>
      </c>
      <c r="N49" s="83"/>
      <c r="O49" s="94">
        <f t="shared" si="0"/>
        <v>1.8797978319199726E-2</v>
      </c>
      <c r="P49" s="94">
        <f>M49/'סכום נכסי הקרן'!$C$42</f>
        <v>5.2005490151058147E-3</v>
      </c>
    </row>
    <row r="50" spans="2:16">
      <c r="B50" s="86" t="s">
        <v>1027</v>
      </c>
      <c r="C50" s="83" t="s">
        <v>1028</v>
      </c>
      <c r="D50" s="83" t="s">
        <v>252</v>
      </c>
      <c r="E50" s="83"/>
      <c r="F50" s="105">
        <v>42339</v>
      </c>
      <c r="G50" s="93">
        <v>8.94</v>
      </c>
      <c r="H50" s="96" t="s">
        <v>162</v>
      </c>
      <c r="I50" s="97">
        <v>4.8000000000000001E-2</v>
      </c>
      <c r="J50" s="97">
        <v>4.8499999999999995E-2</v>
      </c>
      <c r="K50" s="93">
        <v>745000</v>
      </c>
      <c r="L50" s="106">
        <v>102.0812</v>
      </c>
      <c r="M50" s="93">
        <v>760.50506999999993</v>
      </c>
      <c r="N50" s="83"/>
      <c r="O50" s="94">
        <f t="shared" si="0"/>
        <v>1.219180087331235E-2</v>
      </c>
      <c r="P50" s="94">
        <f>M50/'סכום נכסי הקרן'!$C$42</f>
        <v>3.3729189888101756E-3</v>
      </c>
    </row>
    <row r="51" spans="2:16">
      <c r="B51" s="86" t="s">
        <v>1029</v>
      </c>
      <c r="C51" s="83" t="s">
        <v>1030</v>
      </c>
      <c r="D51" s="83" t="s">
        <v>252</v>
      </c>
      <c r="E51" s="83"/>
      <c r="F51" s="105">
        <v>42370</v>
      </c>
      <c r="G51" s="93">
        <v>9.02</v>
      </c>
      <c r="H51" s="96" t="s">
        <v>162</v>
      </c>
      <c r="I51" s="97">
        <v>4.8000000000000001E-2</v>
      </c>
      <c r="J51" s="97">
        <v>4.8499999999999995E-2</v>
      </c>
      <c r="K51" s="93">
        <v>199000</v>
      </c>
      <c r="L51" s="106">
        <v>102.08839999999999</v>
      </c>
      <c r="M51" s="93">
        <v>203.15588</v>
      </c>
      <c r="N51" s="83"/>
      <c r="O51" s="94">
        <f t="shared" si="0"/>
        <v>3.2568304050918941E-3</v>
      </c>
      <c r="P51" s="94">
        <f>M51/'סכום נכסי הקרן'!$C$42</f>
        <v>9.0101743219205813E-4</v>
      </c>
    </row>
    <row r="52" spans="2:16">
      <c r="B52" s="86" t="s">
        <v>1031</v>
      </c>
      <c r="C52" s="83" t="s">
        <v>1032</v>
      </c>
      <c r="D52" s="83" t="s">
        <v>252</v>
      </c>
      <c r="E52" s="83"/>
      <c r="F52" s="105">
        <v>42461</v>
      </c>
      <c r="G52" s="93">
        <v>9.0499999999999989</v>
      </c>
      <c r="H52" s="96" t="s">
        <v>162</v>
      </c>
      <c r="I52" s="97">
        <v>4.8000000000000001E-2</v>
      </c>
      <c r="J52" s="97">
        <v>4.8499999999999995E-2</v>
      </c>
      <c r="K52" s="93">
        <v>508000</v>
      </c>
      <c r="L52" s="106">
        <v>104.252</v>
      </c>
      <c r="M52" s="93">
        <v>529.60017000000005</v>
      </c>
      <c r="N52" s="83"/>
      <c r="O52" s="94">
        <f t="shared" si="0"/>
        <v>8.4901206708751734E-3</v>
      </c>
      <c r="P52" s="94">
        <f>M52/'סכום נכסי הקרן'!$C$42</f>
        <v>2.3488317702735333E-3</v>
      </c>
    </row>
    <row r="53" spans="2:16">
      <c r="B53" s="86" t="s">
        <v>1033</v>
      </c>
      <c r="C53" s="83" t="s">
        <v>1034</v>
      </c>
      <c r="D53" s="83" t="s">
        <v>252</v>
      </c>
      <c r="E53" s="83"/>
      <c r="F53" s="105">
        <v>42491</v>
      </c>
      <c r="G53" s="93">
        <v>9.1300000000000008</v>
      </c>
      <c r="H53" s="96" t="s">
        <v>162</v>
      </c>
      <c r="I53" s="97">
        <v>4.8000000000000001E-2</v>
      </c>
      <c r="J53" s="97">
        <v>4.8500000000000015E-2</v>
      </c>
      <c r="K53" s="93">
        <v>622000</v>
      </c>
      <c r="L53" s="106">
        <v>104.0523</v>
      </c>
      <c r="M53" s="93">
        <v>647.20543999999995</v>
      </c>
      <c r="N53" s="83"/>
      <c r="O53" s="94">
        <f t="shared" si="0"/>
        <v>1.0375473037417758E-2</v>
      </c>
      <c r="P53" s="94">
        <f>M53/'סכום נכסי הקרן'!$C$42</f>
        <v>2.8704233598827221E-3</v>
      </c>
    </row>
    <row r="54" spans="2:16">
      <c r="B54" s="86" t="s">
        <v>1035</v>
      </c>
      <c r="C54" s="83" t="s">
        <v>1036</v>
      </c>
      <c r="D54" s="83" t="s">
        <v>252</v>
      </c>
      <c r="E54" s="83"/>
      <c r="F54" s="105">
        <v>42522</v>
      </c>
      <c r="G54" s="93">
        <v>9.2200000000000024</v>
      </c>
      <c r="H54" s="96" t="s">
        <v>162</v>
      </c>
      <c r="I54" s="97">
        <v>4.8000000000000001E-2</v>
      </c>
      <c r="J54" s="97">
        <v>4.8499999999999995E-2</v>
      </c>
      <c r="K54" s="93">
        <v>1499000</v>
      </c>
      <c r="L54" s="106">
        <v>103.2209</v>
      </c>
      <c r="M54" s="93">
        <v>1547.2806399999999</v>
      </c>
      <c r="N54" s="83"/>
      <c r="O54" s="94">
        <f t="shared" si="0"/>
        <v>2.480474910970849E-2</v>
      </c>
      <c r="P54" s="94">
        <f>M54/'סכום נכסי הקרן'!$C$42</f>
        <v>6.8623503741722085E-3</v>
      </c>
    </row>
    <row r="55" spans="2:16">
      <c r="B55" s="86" t="s">
        <v>1037</v>
      </c>
      <c r="C55" s="83" t="s">
        <v>1038</v>
      </c>
      <c r="D55" s="83" t="s">
        <v>252</v>
      </c>
      <c r="E55" s="83"/>
      <c r="F55" s="105">
        <v>42552</v>
      </c>
      <c r="G55" s="93">
        <v>9.3000000000000007</v>
      </c>
      <c r="H55" s="96" t="s">
        <v>162</v>
      </c>
      <c r="I55" s="97">
        <v>4.8000000000000001E-2</v>
      </c>
      <c r="J55" s="97">
        <v>4.8500000000000008E-2</v>
      </c>
      <c r="K55" s="93">
        <v>1015000</v>
      </c>
      <c r="L55" s="106">
        <v>102.5008</v>
      </c>
      <c r="M55" s="93">
        <v>1040.38887</v>
      </c>
      <c r="N55" s="83"/>
      <c r="O55" s="94">
        <f t="shared" si="0"/>
        <v>1.6678671101890814E-2</v>
      </c>
      <c r="P55" s="94">
        <f>M55/'סכום נכסי הקרן'!$C$42</f>
        <v>4.6142327169097792E-3</v>
      </c>
    </row>
    <row r="56" spans="2:16">
      <c r="B56" s="86" t="s">
        <v>1039</v>
      </c>
      <c r="C56" s="83" t="s">
        <v>1040</v>
      </c>
      <c r="D56" s="83" t="s">
        <v>252</v>
      </c>
      <c r="E56" s="83"/>
      <c r="F56" s="105">
        <v>42583</v>
      </c>
      <c r="G56" s="93">
        <v>9.39</v>
      </c>
      <c r="H56" s="96" t="s">
        <v>162</v>
      </c>
      <c r="I56" s="97">
        <v>4.8000000000000001E-2</v>
      </c>
      <c r="J56" s="97">
        <v>4.8500000000000008E-2</v>
      </c>
      <c r="K56" s="93">
        <v>1044000</v>
      </c>
      <c r="L56" s="106">
        <v>101.7996</v>
      </c>
      <c r="M56" s="93">
        <v>1062.78719</v>
      </c>
      <c r="N56" s="83"/>
      <c r="O56" s="94">
        <f t="shared" si="0"/>
        <v>1.7037742813716127E-2</v>
      </c>
      <c r="P56" s="94">
        <f>M56/'סכום נכסי הקרן'!$C$42</f>
        <v>4.7135715929089187E-3</v>
      </c>
    </row>
    <row r="57" spans="2:16">
      <c r="B57" s="86" t="s">
        <v>1041</v>
      </c>
      <c r="C57" s="83" t="s">
        <v>1042</v>
      </c>
      <c r="D57" s="83" t="s">
        <v>252</v>
      </c>
      <c r="E57" s="83"/>
      <c r="F57" s="105">
        <v>42614</v>
      </c>
      <c r="G57" s="93">
        <v>9.4700000000000006</v>
      </c>
      <c r="H57" s="96" t="s">
        <v>162</v>
      </c>
      <c r="I57" s="97">
        <v>4.8000000000000001E-2</v>
      </c>
      <c r="J57" s="97">
        <v>4.8500000000000008E-2</v>
      </c>
      <c r="K57" s="93">
        <v>919000</v>
      </c>
      <c r="L57" s="106">
        <v>100.9794</v>
      </c>
      <c r="M57" s="93">
        <v>927.99320999999998</v>
      </c>
      <c r="N57" s="83"/>
      <c r="O57" s="94">
        <f t="shared" si="0"/>
        <v>1.4876834980345276E-2</v>
      </c>
      <c r="P57" s="94">
        <f>M57/'סכום נכסי הקרן'!$C$42</f>
        <v>4.1157462888392173E-3</v>
      </c>
    </row>
    <row r="58" spans="2:16">
      <c r="B58" s="86" t="s">
        <v>1043</v>
      </c>
      <c r="C58" s="83" t="s">
        <v>1044</v>
      </c>
      <c r="D58" s="83" t="s">
        <v>252</v>
      </c>
      <c r="E58" s="83"/>
      <c r="F58" s="105">
        <v>42644</v>
      </c>
      <c r="G58" s="93">
        <v>9.33</v>
      </c>
      <c r="H58" s="96" t="s">
        <v>162</v>
      </c>
      <c r="I58" s="97">
        <v>4.8000000000000001E-2</v>
      </c>
      <c r="J58" s="97">
        <v>4.8500000000000008E-2</v>
      </c>
      <c r="K58" s="93">
        <v>1283000</v>
      </c>
      <c r="L58" s="106">
        <v>103.3064</v>
      </c>
      <c r="M58" s="93">
        <v>1325.41353</v>
      </c>
      <c r="N58" s="83"/>
      <c r="O58" s="94">
        <f t="shared" si="0"/>
        <v>2.1247955431189968E-2</v>
      </c>
      <c r="P58" s="94">
        <f>M58/'סכום נכסי הקרן'!$C$42</f>
        <v>5.8783466931560703E-3</v>
      </c>
    </row>
    <row r="59" spans="2:16">
      <c r="B59" s="86" t="s">
        <v>1045</v>
      </c>
      <c r="C59" s="83" t="s">
        <v>1046</v>
      </c>
      <c r="D59" s="83" t="s">
        <v>252</v>
      </c>
      <c r="E59" s="83"/>
      <c r="F59" s="105">
        <v>42675</v>
      </c>
      <c r="G59" s="93">
        <v>9.41</v>
      </c>
      <c r="H59" s="96" t="s">
        <v>162</v>
      </c>
      <c r="I59" s="97">
        <v>4.8000000000000001E-2</v>
      </c>
      <c r="J59" s="97">
        <v>4.8499999999999995E-2</v>
      </c>
      <c r="K59" s="93">
        <v>556000</v>
      </c>
      <c r="L59" s="106">
        <v>103.0017</v>
      </c>
      <c r="M59" s="93">
        <v>572.69114999999999</v>
      </c>
      <c r="N59" s="83"/>
      <c r="O59" s="94">
        <f t="shared" si="0"/>
        <v>9.1809203358871154E-3</v>
      </c>
      <c r="P59" s="94">
        <f>M59/'סכום נכסי הקרן'!$C$42</f>
        <v>2.5399447429831556E-3</v>
      </c>
    </row>
    <row r="60" spans="2:16">
      <c r="B60" s="86" t="s">
        <v>1047</v>
      </c>
      <c r="C60" s="83" t="s">
        <v>1048</v>
      </c>
      <c r="D60" s="83" t="s">
        <v>252</v>
      </c>
      <c r="E60" s="83"/>
      <c r="F60" s="105">
        <v>42705</v>
      </c>
      <c r="G60" s="93">
        <v>9.49</v>
      </c>
      <c r="H60" s="96" t="s">
        <v>162</v>
      </c>
      <c r="I60" s="97">
        <v>4.8000000000000001E-2</v>
      </c>
      <c r="J60" s="97">
        <v>4.8499999999999995E-2</v>
      </c>
      <c r="K60" s="93">
        <v>422000</v>
      </c>
      <c r="L60" s="106">
        <v>102.3888</v>
      </c>
      <c r="M60" s="93">
        <v>432.08134000000001</v>
      </c>
      <c r="N60" s="83"/>
      <c r="O60" s="94">
        <f t="shared" si="0"/>
        <v>6.9267778298361263E-3</v>
      </c>
      <c r="P60" s="94">
        <f>M60/'סכום נכסי הקרן'!$C$42</f>
        <v>1.9163256286990249E-3</v>
      </c>
    </row>
    <row r="61" spans="2:16">
      <c r="B61" s="86" t="s">
        <v>1049</v>
      </c>
      <c r="C61" s="83" t="s">
        <v>1050</v>
      </c>
      <c r="D61" s="83" t="s">
        <v>252</v>
      </c>
      <c r="E61" s="83"/>
      <c r="F61" s="105">
        <v>42736</v>
      </c>
      <c r="G61" s="93">
        <v>9.5799999999999983</v>
      </c>
      <c r="H61" s="96" t="s">
        <v>162</v>
      </c>
      <c r="I61" s="97">
        <v>4.8000000000000001E-2</v>
      </c>
      <c r="J61" s="97">
        <v>4.8499999999999995E-2</v>
      </c>
      <c r="K61" s="93">
        <v>515000</v>
      </c>
      <c r="L61" s="106">
        <v>102.3974</v>
      </c>
      <c r="M61" s="93">
        <v>527.34653000000003</v>
      </c>
      <c r="N61" s="83"/>
      <c r="O61" s="94">
        <f t="shared" si="0"/>
        <v>8.4539921410283804E-3</v>
      </c>
      <c r="P61" s="94">
        <f>M61/'סכום נכסי הקרן'!$C$42</f>
        <v>2.3388366427592065E-3</v>
      </c>
    </row>
    <row r="62" spans="2:16">
      <c r="B62" s="86" t="s">
        <v>1051</v>
      </c>
      <c r="C62" s="83" t="s">
        <v>1052</v>
      </c>
      <c r="D62" s="83" t="s">
        <v>252</v>
      </c>
      <c r="E62" s="83"/>
      <c r="F62" s="105">
        <v>42767</v>
      </c>
      <c r="G62" s="93">
        <v>9.67</v>
      </c>
      <c r="H62" s="96" t="s">
        <v>162</v>
      </c>
      <c r="I62" s="97">
        <v>4.8000000000000001E-2</v>
      </c>
      <c r="J62" s="97">
        <v>4.8499999999999995E-2</v>
      </c>
      <c r="K62" s="93">
        <v>23000</v>
      </c>
      <c r="L62" s="106">
        <v>101.9933</v>
      </c>
      <c r="M62" s="93">
        <v>23.458479999999998</v>
      </c>
      <c r="N62" s="83"/>
      <c r="O62" s="94">
        <f t="shared" si="0"/>
        <v>3.7606733765835419E-4</v>
      </c>
      <c r="P62" s="94">
        <f>M62/'סכום נכסי הקרן'!$C$42</f>
        <v>1.0404079573147847E-4</v>
      </c>
    </row>
    <row r="63" spans="2:16">
      <c r="B63" s="86" t="s">
        <v>1053</v>
      </c>
      <c r="C63" s="83" t="s">
        <v>1054</v>
      </c>
      <c r="D63" s="83" t="s">
        <v>252</v>
      </c>
      <c r="E63" s="83"/>
      <c r="F63" s="105">
        <v>42795</v>
      </c>
      <c r="G63" s="93">
        <v>9.7500000000000018</v>
      </c>
      <c r="H63" s="96" t="s">
        <v>162</v>
      </c>
      <c r="I63" s="97">
        <v>4.8000000000000001E-2</v>
      </c>
      <c r="J63" s="97">
        <v>4.8499999999999995E-2</v>
      </c>
      <c r="K63" s="93">
        <v>305000</v>
      </c>
      <c r="L63" s="106">
        <v>101.7945</v>
      </c>
      <c r="M63" s="93">
        <v>310.47315999999995</v>
      </c>
      <c r="N63" s="83"/>
      <c r="O63" s="94">
        <f t="shared" si="0"/>
        <v>4.9772540546350929E-3</v>
      </c>
      <c r="P63" s="94">
        <f>M63/'סכום נכסי הקרן'!$C$42</f>
        <v>1.3769807174065253E-3</v>
      </c>
    </row>
    <row r="64" spans="2:16">
      <c r="B64" s="86" t="s">
        <v>1055</v>
      </c>
      <c r="C64" s="83" t="s">
        <v>1056</v>
      </c>
      <c r="D64" s="83" t="s">
        <v>252</v>
      </c>
      <c r="E64" s="83"/>
      <c r="F64" s="105">
        <v>42856</v>
      </c>
      <c r="G64" s="93">
        <v>9.68</v>
      </c>
      <c r="H64" s="96" t="s">
        <v>162</v>
      </c>
      <c r="I64" s="97">
        <v>4.8000000000000001E-2</v>
      </c>
      <c r="J64" s="97">
        <v>4.8499999999999995E-2</v>
      </c>
      <c r="K64" s="93">
        <v>186000</v>
      </c>
      <c r="L64" s="106">
        <v>103.1031</v>
      </c>
      <c r="M64" s="93">
        <v>191.77876999999998</v>
      </c>
      <c r="N64" s="83"/>
      <c r="O64" s="94">
        <f t="shared" si="0"/>
        <v>3.074441799012291E-3</v>
      </c>
      <c r="P64" s="94">
        <f>M64/'סכום נכסי הקרן'!$C$42</f>
        <v>8.5055876745655258E-4</v>
      </c>
    </row>
    <row r="65" spans="2:16">
      <c r="B65" s="86" t="s">
        <v>1057</v>
      </c>
      <c r="C65" s="83" t="s">
        <v>1058</v>
      </c>
      <c r="D65" s="83" t="s">
        <v>252</v>
      </c>
      <c r="E65" s="83"/>
      <c r="F65" s="105">
        <v>42887</v>
      </c>
      <c r="G65" s="93">
        <v>9.77</v>
      </c>
      <c r="H65" s="96" t="s">
        <v>162</v>
      </c>
      <c r="I65" s="97">
        <v>4.8000000000000001E-2</v>
      </c>
      <c r="J65" s="97">
        <v>4.8499999999999995E-2</v>
      </c>
      <c r="K65" s="93">
        <v>1350000</v>
      </c>
      <c r="L65" s="106">
        <v>102.49460000000001</v>
      </c>
      <c r="M65" s="93">
        <v>1383.6858099999999</v>
      </c>
      <c r="N65" s="83"/>
      <c r="O65" s="94">
        <f t="shared" si="0"/>
        <v>2.2182129392967632E-2</v>
      </c>
      <c r="P65" s="94">
        <f>M65/'סכום נכסי הקרן'!$C$42</f>
        <v>6.1367903084409278E-3</v>
      </c>
    </row>
    <row r="66" spans="2:16">
      <c r="B66" s="86" t="s">
        <v>1059</v>
      </c>
      <c r="C66" s="83" t="s">
        <v>1060</v>
      </c>
      <c r="D66" s="83" t="s">
        <v>252</v>
      </c>
      <c r="E66" s="83"/>
      <c r="F66" s="105">
        <v>42949</v>
      </c>
      <c r="G66" s="93">
        <v>9.94</v>
      </c>
      <c r="H66" s="96" t="s">
        <v>162</v>
      </c>
      <c r="I66" s="97">
        <v>4.8000000000000001E-2</v>
      </c>
      <c r="J66" s="97">
        <v>4.8499999999999995E-2</v>
      </c>
      <c r="K66" s="93">
        <v>915000</v>
      </c>
      <c r="L66" s="106">
        <v>101.992</v>
      </c>
      <c r="M66" s="93">
        <v>933.22656000000006</v>
      </c>
      <c r="N66" s="83"/>
      <c r="O66" s="94">
        <f t="shared" si="0"/>
        <v>1.4960731805780444E-2</v>
      </c>
      <c r="P66" s="94">
        <f>M66/'סכום נכסי הקרן'!$C$42</f>
        <v>4.1389567397440222E-3</v>
      </c>
    </row>
    <row r="67" spans="2:16">
      <c r="B67" s="86" t="s">
        <v>1061</v>
      </c>
      <c r="C67" s="83" t="s">
        <v>1062</v>
      </c>
      <c r="D67" s="83" t="s">
        <v>252</v>
      </c>
      <c r="E67" s="83"/>
      <c r="F67" s="105">
        <v>42979</v>
      </c>
      <c r="G67" s="93">
        <v>10.02</v>
      </c>
      <c r="H67" s="96" t="s">
        <v>162</v>
      </c>
      <c r="I67" s="97">
        <v>4.8000000000000001E-2</v>
      </c>
      <c r="J67" s="97">
        <v>4.8499999999999995E-2</v>
      </c>
      <c r="K67" s="93">
        <v>631000</v>
      </c>
      <c r="L67" s="106">
        <v>101.7047</v>
      </c>
      <c r="M67" s="93">
        <v>641.75692000000004</v>
      </c>
      <c r="N67" s="83"/>
      <c r="O67" s="94">
        <f t="shared" si="0"/>
        <v>1.0288126780943414E-2</v>
      </c>
      <c r="P67" s="94">
        <f>M67/'סכום נכסי הקרן'!$C$42</f>
        <v>2.8462586076754663E-3</v>
      </c>
    </row>
    <row r="68" spans="2:16">
      <c r="B68" s="86" t="s">
        <v>1063</v>
      </c>
      <c r="C68" s="83" t="s">
        <v>1064</v>
      </c>
      <c r="D68" s="83" t="s">
        <v>252</v>
      </c>
      <c r="E68" s="83"/>
      <c r="F68" s="105">
        <v>43009</v>
      </c>
      <c r="G68" s="93">
        <v>9.86</v>
      </c>
      <c r="H68" s="96" t="s">
        <v>162</v>
      </c>
      <c r="I68" s="97">
        <v>4.8000000000000001E-2</v>
      </c>
      <c r="J68" s="97">
        <v>4.8500000000000008E-2</v>
      </c>
      <c r="K68" s="93">
        <v>913000</v>
      </c>
      <c r="L68" s="106">
        <v>103.4241</v>
      </c>
      <c r="M68" s="93">
        <v>944.26247000000001</v>
      </c>
      <c r="N68" s="83"/>
      <c r="O68" s="94">
        <f t="shared" si="0"/>
        <v>1.5137650570011424E-2</v>
      </c>
      <c r="P68" s="94">
        <f>M68/'סכום נכסי הקרן'!$C$42</f>
        <v>4.1879021470347319E-3</v>
      </c>
    </row>
    <row r="69" spans="2:16">
      <c r="B69" s="86" t="s">
        <v>1065</v>
      </c>
      <c r="C69" s="83" t="s">
        <v>1066</v>
      </c>
      <c r="D69" s="83" t="s">
        <v>252</v>
      </c>
      <c r="E69" s="83"/>
      <c r="F69" s="105">
        <v>43040</v>
      </c>
      <c r="G69" s="93">
        <v>9.9500000000000011</v>
      </c>
      <c r="H69" s="96" t="s">
        <v>162</v>
      </c>
      <c r="I69" s="97">
        <v>4.8000000000000001E-2</v>
      </c>
      <c r="J69" s="97">
        <v>4.8500000000000008E-2</v>
      </c>
      <c r="K69" s="93">
        <v>313000</v>
      </c>
      <c r="L69" s="106">
        <v>102.9134</v>
      </c>
      <c r="M69" s="93">
        <v>322.11928999999998</v>
      </c>
      <c r="N69" s="83"/>
      <c r="O69" s="94">
        <f t="shared" si="0"/>
        <v>5.1639553713070637E-3</v>
      </c>
      <c r="P69" s="94">
        <f>M69/'סכום נכסי הקרן'!$C$42</f>
        <v>1.4286325137885692E-3</v>
      </c>
    </row>
    <row r="70" spans="2:16">
      <c r="B70" s="86" t="s">
        <v>1067</v>
      </c>
      <c r="C70" s="83" t="s">
        <v>1068</v>
      </c>
      <c r="D70" s="83" t="s">
        <v>252</v>
      </c>
      <c r="E70" s="83"/>
      <c r="F70" s="105">
        <v>43070</v>
      </c>
      <c r="G70" s="93">
        <v>10.029999999999999</v>
      </c>
      <c r="H70" s="96" t="s">
        <v>162</v>
      </c>
      <c r="I70" s="97">
        <v>4.8000000000000001E-2</v>
      </c>
      <c r="J70" s="97">
        <v>4.8499999999999995E-2</v>
      </c>
      <c r="K70" s="93">
        <v>743000</v>
      </c>
      <c r="L70" s="106">
        <v>102.20180000000001</v>
      </c>
      <c r="M70" s="93">
        <v>759.35917000000006</v>
      </c>
      <c r="N70" s="83"/>
      <c r="O70" s="94">
        <f t="shared" si="0"/>
        <v>1.2173430733293788E-2</v>
      </c>
      <c r="P70" s="94">
        <f>M70/'סכום נכסי הקרן'!$C$42</f>
        <v>3.3678368032709297E-3</v>
      </c>
    </row>
    <row r="71" spans="2:16">
      <c r="B71" s="86" t="s">
        <v>1069</v>
      </c>
      <c r="C71" s="83" t="s">
        <v>1070</v>
      </c>
      <c r="D71" s="83" t="s">
        <v>252</v>
      </c>
      <c r="E71" s="83"/>
      <c r="F71" s="105">
        <v>43101</v>
      </c>
      <c r="G71" s="93">
        <v>10.11</v>
      </c>
      <c r="H71" s="96" t="s">
        <v>162</v>
      </c>
      <c r="I71" s="97">
        <v>4.8000000000000001E-2</v>
      </c>
      <c r="J71" s="97">
        <v>4.8499999999999995E-2</v>
      </c>
      <c r="K71" s="93">
        <v>199000</v>
      </c>
      <c r="L71" s="106">
        <v>102.1031</v>
      </c>
      <c r="M71" s="93">
        <v>203.18526</v>
      </c>
      <c r="N71" s="83"/>
      <c r="O71" s="94">
        <f t="shared" si="0"/>
        <v>3.2573014014386482E-3</v>
      </c>
      <c r="P71" s="94">
        <f>M71/'סכום נכסי הקרן'!$C$42</f>
        <v>9.0114773554413345E-4</v>
      </c>
    </row>
    <row r="72" spans="2:16">
      <c r="B72" s="86" t="s">
        <v>1071</v>
      </c>
      <c r="C72" s="83" t="s">
        <v>1072</v>
      </c>
      <c r="D72" s="83" t="s">
        <v>252</v>
      </c>
      <c r="E72" s="83"/>
      <c r="F72" s="105">
        <v>43161</v>
      </c>
      <c r="G72" s="93">
        <v>10.28</v>
      </c>
      <c r="H72" s="96" t="s">
        <v>162</v>
      </c>
      <c r="I72" s="97">
        <v>4.8000000000000001E-2</v>
      </c>
      <c r="J72" s="97">
        <v>4.8499999999999995E-2</v>
      </c>
      <c r="K72" s="93">
        <v>603000</v>
      </c>
      <c r="L72" s="106">
        <v>101.6913</v>
      </c>
      <c r="M72" s="93">
        <v>613.19875999999999</v>
      </c>
      <c r="N72" s="83"/>
      <c r="O72" s="94">
        <f t="shared" si="0"/>
        <v>9.8303055069469177E-3</v>
      </c>
      <c r="P72" s="94">
        <f>M72/'סכום נכסי הקרן'!$C$42</f>
        <v>2.7196002013751912E-3</v>
      </c>
    </row>
    <row r="73" spans="2:16">
      <c r="B73" s="86" t="s">
        <v>1073</v>
      </c>
      <c r="C73" s="83" t="s">
        <v>1074</v>
      </c>
      <c r="D73" s="83" t="s">
        <v>252</v>
      </c>
      <c r="E73" s="83"/>
      <c r="F73" s="105">
        <v>43252</v>
      </c>
      <c r="G73" s="93">
        <v>10.29</v>
      </c>
      <c r="H73" s="96" t="s">
        <v>162</v>
      </c>
      <c r="I73" s="97">
        <v>4.8000000000000001E-2</v>
      </c>
      <c r="J73" s="97">
        <v>4.8499999999999995E-2</v>
      </c>
      <c r="K73" s="93">
        <v>85000</v>
      </c>
      <c r="L73" s="106">
        <v>102.0992</v>
      </c>
      <c r="M73" s="93">
        <v>86.78528</v>
      </c>
      <c r="N73" s="83"/>
      <c r="O73" s="94">
        <f t="shared" si="0"/>
        <v>1.3912712672575042E-3</v>
      </c>
      <c r="P73" s="94">
        <f>M73/'סכום נכסי הקרן'!$C$42</f>
        <v>3.8490173229378734E-4</v>
      </c>
    </row>
    <row r="74" spans="2:16">
      <c r="B74" s="86" t="s">
        <v>1075</v>
      </c>
      <c r="C74" s="83" t="s">
        <v>1076</v>
      </c>
      <c r="D74" s="83" t="s">
        <v>252</v>
      </c>
      <c r="E74" s="83"/>
      <c r="F74" s="105">
        <v>43313</v>
      </c>
      <c r="G74" s="93">
        <v>10.459999999999999</v>
      </c>
      <c r="H74" s="96" t="s">
        <v>162</v>
      </c>
      <c r="I74" s="97">
        <v>4.8000000000000001E-2</v>
      </c>
      <c r="J74" s="97">
        <v>4.8499999999999995E-2</v>
      </c>
      <c r="K74" s="93">
        <v>375000</v>
      </c>
      <c r="L74" s="106">
        <v>100.77330000000001</v>
      </c>
      <c r="M74" s="93">
        <v>377.97684000000004</v>
      </c>
      <c r="N74" s="83"/>
      <c r="O74" s="94">
        <f t="shared" si="0"/>
        <v>6.0594183389255296E-3</v>
      </c>
      <c r="P74" s="94">
        <f>M74/'סכום נכסי הקרן'!$C$42</f>
        <v>1.6763665506746271E-3</v>
      </c>
    </row>
    <row r="75" spans="2:16">
      <c r="B75" s="86" t="s">
        <v>1077</v>
      </c>
      <c r="C75" s="83" t="s">
        <v>1078</v>
      </c>
      <c r="D75" s="83" t="s">
        <v>252</v>
      </c>
      <c r="E75" s="83"/>
      <c r="F75" s="105">
        <v>43345</v>
      </c>
      <c r="G75" s="93">
        <v>10.54</v>
      </c>
      <c r="H75" s="96" t="s">
        <v>162</v>
      </c>
      <c r="I75" s="97">
        <v>4.8000000000000001E-2</v>
      </c>
      <c r="J75" s="97">
        <v>4.8499999999999995E-2</v>
      </c>
      <c r="K75" s="93">
        <v>508000</v>
      </c>
      <c r="L75" s="106">
        <v>100.38290000000001</v>
      </c>
      <c r="M75" s="93">
        <v>509.94557000000003</v>
      </c>
      <c r="N75" s="83"/>
      <c r="O75" s="94">
        <f t="shared" si="0"/>
        <v>8.1750340542342016E-3</v>
      </c>
      <c r="P75" s="94">
        <f>M75/'סכום נכסי הקרן'!$C$42</f>
        <v>2.2616615774995806E-3</v>
      </c>
    </row>
    <row r="76" spans="2:16">
      <c r="B76" s="86" t="s">
        <v>1079</v>
      </c>
      <c r="C76" s="83" t="s">
        <v>1080</v>
      </c>
      <c r="D76" s="83" t="s">
        <v>252</v>
      </c>
      <c r="E76" s="83"/>
      <c r="F76" s="105">
        <v>43497</v>
      </c>
      <c r="G76" s="93">
        <v>10.71</v>
      </c>
      <c r="H76" s="96" t="s">
        <v>162</v>
      </c>
      <c r="I76" s="97">
        <v>4.8000000000000001E-2</v>
      </c>
      <c r="J76" s="97">
        <v>4.8500000000000008E-2</v>
      </c>
      <c r="K76" s="93">
        <v>799000</v>
      </c>
      <c r="L76" s="106">
        <v>100.7957</v>
      </c>
      <c r="M76" s="93">
        <v>805.35931999999991</v>
      </c>
      <c r="N76" s="83"/>
      <c r="O76" s="94">
        <f t="shared" ref="O76:O85" si="1">M76/$M$11</f>
        <v>1.2910867853788588E-2</v>
      </c>
      <c r="P76" s="94">
        <f>M76/'סכום נכסי הקרן'!$C$42</f>
        <v>3.5718522471431396E-3</v>
      </c>
    </row>
    <row r="77" spans="2:16">
      <c r="B77" s="86" t="s">
        <v>1081</v>
      </c>
      <c r="C77" s="83" t="s">
        <v>1082</v>
      </c>
      <c r="D77" s="83" t="s">
        <v>252</v>
      </c>
      <c r="E77" s="83"/>
      <c r="F77" s="105">
        <v>43525</v>
      </c>
      <c r="G77" s="93">
        <v>10.790000000000001</v>
      </c>
      <c r="H77" s="96" t="s">
        <v>162</v>
      </c>
      <c r="I77" s="97">
        <v>4.8000000000000001E-2</v>
      </c>
      <c r="J77" s="97">
        <v>4.8500000000000008E-2</v>
      </c>
      <c r="K77" s="93">
        <v>1140000</v>
      </c>
      <c r="L77" s="106">
        <v>100.4965</v>
      </c>
      <c r="M77" s="93">
        <v>1145.6603799999998</v>
      </c>
      <c r="N77" s="83"/>
      <c r="O77" s="94">
        <f t="shared" si="1"/>
        <v>1.8366298624943236E-2</v>
      </c>
      <c r="P77" s="94">
        <f>M77/'סכום נכסי הקרן'!$C$42</f>
        <v>5.0811227996540266E-3</v>
      </c>
    </row>
    <row r="78" spans="2:16">
      <c r="B78" s="86" t="s">
        <v>1083</v>
      </c>
      <c r="C78" s="83" t="s">
        <v>1084</v>
      </c>
      <c r="D78" s="83" t="s">
        <v>252</v>
      </c>
      <c r="E78" s="83"/>
      <c r="F78" s="105">
        <v>40057</v>
      </c>
      <c r="G78" s="93">
        <v>4.83</v>
      </c>
      <c r="H78" s="96" t="s">
        <v>162</v>
      </c>
      <c r="I78" s="97">
        <v>4.8000000000000001E-2</v>
      </c>
      <c r="J78" s="97">
        <v>4.8500000000000008E-2</v>
      </c>
      <c r="K78" s="93">
        <v>117000</v>
      </c>
      <c r="L78" s="106">
        <v>109.4699</v>
      </c>
      <c r="M78" s="93">
        <v>128.08684</v>
      </c>
      <c r="N78" s="83"/>
      <c r="O78" s="94">
        <f t="shared" si="1"/>
        <v>2.0533844012004016E-3</v>
      </c>
      <c r="P78" s="94">
        <f>M78/'סכום נכסי הקרן'!$C$42</f>
        <v>5.6807844141353427E-4</v>
      </c>
    </row>
    <row r="79" spans="2:16">
      <c r="B79" s="86" t="s">
        <v>1085</v>
      </c>
      <c r="C79" s="83" t="s">
        <v>1086</v>
      </c>
      <c r="D79" s="83" t="s">
        <v>252</v>
      </c>
      <c r="E79" s="83"/>
      <c r="F79" s="105">
        <v>39995</v>
      </c>
      <c r="G79" s="93">
        <v>4.6500000000000004</v>
      </c>
      <c r="H79" s="96" t="s">
        <v>162</v>
      </c>
      <c r="I79" s="97">
        <v>4.8000000000000001E-2</v>
      </c>
      <c r="J79" s="97">
        <v>4.8500000000000008E-2</v>
      </c>
      <c r="K79" s="93">
        <v>50000</v>
      </c>
      <c r="L79" s="106">
        <v>112.48560000000001</v>
      </c>
      <c r="M79" s="93">
        <v>56.24653</v>
      </c>
      <c r="N79" s="83"/>
      <c r="O79" s="94">
        <f t="shared" si="1"/>
        <v>9.0169877970016602E-4</v>
      </c>
      <c r="P79" s="94">
        <f>M79/'סכום נכסי הקרן'!$C$42</f>
        <v>2.494592035943708E-4</v>
      </c>
    </row>
    <row r="80" spans="2:16">
      <c r="B80" s="86" t="s">
        <v>1087</v>
      </c>
      <c r="C80" s="83" t="s">
        <v>1088</v>
      </c>
      <c r="D80" s="83" t="s">
        <v>252</v>
      </c>
      <c r="E80" s="83"/>
      <c r="F80" s="105">
        <v>40756</v>
      </c>
      <c r="G80" s="93">
        <v>6.23</v>
      </c>
      <c r="H80" s="96" t="s">
        <v>162</v>
      </c>
      <c r="I80" s="97">
        <v>4.8000000000000001E-2</v>
      </c>
      <c r="J80" s="97">
        <v>4.8500000000000008E-2</v>
      </c>
      <c r="K80" s="93">
        <v>230000</v>
      </c>
      <c r="L80" s="106">
        <v>104.08</v>
      </c>
      <c r="M80" s="93">
        <v>239.40457999999998</v>
      </c>
      <c r="N80" s="83"/>
      <c r="O80" s="94">
        <f t="shared" si="1"/>
        <v>3.8379401829878351E-3</v>
      </c>
      <c r="P80" s="94">
        <f>M80/'סכום נכסי הקרן'!$C$42</f>
        <v>1.0617841823067989E-3</v>
      </c>
    </row>
    <row r="81" spans="2:16">
      <c r="B81" s="86" t="s">
        <v>1089</v>
      </c>
      <c r="C81" s="83" t="s">
        <v>1090</v>
      </c>
      <c r="D81" s="83" t="s">
        <v>252</v>
      </c>
      <c r="E81" s="83"/>
      <c r="F81" s="105">
        <v>40848</v>
      </c>
      <c r="G81" s="93">
        <v>6.33</v>
      </c>
      <c r="H81" s="96" t="s">
        <v>162</v>
      </c>
      <c r="I81" s="97">
        <v>4.8000000000000001E-2</v>
      </c>
      <c r="J81" s="97">
        <v>4.8500000000000008E-2</v>
      </c>
      <c r="K81" s="93">
        <v>41000</v>
      </c>
      <c r="L81" s="106">
        <v>105.3237</v>
      </c>
      <c r="M81" s="93">
        <v>43.181309999999996</v>
      </c>
      <c r="N81" s="83"/>
      <c r="O81" s="94">
        <f t="shared" si="1"/>
        <v>6.9224776235715473E-4</v>
      </c>
      <c r="P81" s="94">
        <f>M81/'סכום נכסי הקרן'!$C$42</f>
        <v>1.9151359564335152E-4</v>
      </c>
    </row>
    <row r="82" spans="2:16">
      <c r="B82" s="86" t="s">
        <v>1091</v>
      </c>
      <c r="C82" s="83" t="s">
        <v>1092</v>
      </c>
      <c r="D82" s="83" t="s">
        <v>252</v>
      </c>
      <c r="E82" s="83"/>
      <c r="F82" s="105">
        <v>40940</v>
      </c>
      <c r="G82" s="93">
        <v>6.5799999999999992</v>
      </c>
      <c r="H82" s="96" t="s">
        <v>162</v>
      </c>
      <c r="I82" s="97">
        <v>4.8000000000000001E-2</v>
      </c>
      <c r="J82" s="97">
        <v>4.8499999999999995E-2</v>
      </c>
      <c r="K82" s="93">
        <v>1294000</v>
      </c>
      <c r="L82" s="106">
        <v>104.0915</v>
      </c>
      <c r="M82" s="93">
        <v>1346.95136</v>
      </c>
      <c r="N82" s="83"/>
      <c r="O82" s="94">
        <f t="shared" si="1"/>
        <v>2.1593232464784565E-2</v>
      </c>
      <c r="P82" s="94">
        <f>M82/'סכום נכסי הקרן'!$C$42</f>
        <v>5.9738692066151396E-3</v>
      </c>
    </row>
    <row r="83" spans="2:16">
      <c r="B83" s="86" t="s">
        <v>1093</v>
      </c>
      <c r="C83" s="83" t="s">
        <v>1094</v>
      </c>
      <c r="D83" s="83" t="s">
        <v>252</v>
      </c>
      <c r="E83" s="83"/>
      <c r="F83" s="105">
        <v>40969</v>
      </c>
      <c r="G83" s="93">
        <v>6.66</v>
      </c>
      <c r="H83" s="96" t="s">
        <v>162</v>
      </c>
      <c r="I83" s="97">
        <v>4.8000000000000001E-2</v>
      </c>
      <c r="J83" s="97">
        <v>4.8600000000000004E-2</v>
      </c>
      <c r="K83" s="93">
        <v>1425000</v>
      </c>
      <c r="L83" s="106">
        <v>103.6598</v>
      </c>
      <c r="M83" s="93">
        <v>1476.9177</v>
      </c>
      <c r="N83" s="83"/>
      <c r="O83" s="94">
        <f t="shared" si="1"/>
        <v>2.3676747486601857E-2</v>
      </c>
      <c r="P83" s="94">
        <f>M83/'סכום נכסי הקרן'!$C$42</f>
        <v>6.5502834257763079E-3</v>
      </c>
    </row>
    <row r="84" spans="2:16">
      <c r="B84" s="86" t="s">
        <v>1095</v>
      </c>
      <c r="C84" s="83">
        <v>8789</v>
      </c>
      <c r="D84" s="83" t="s">
        <v>252</v>
      </c>
      <c r="E84" s="83"/>
      <c r="F84" s="105">
        <v>41000</v>
      </c>
      <c r="G84" s="93">
        <v>6.59</v>
      </c>
      <c r="H84" s="96" t="s">
        <v>162</v>
      </c>
      <c r="I84" s="97">
        <v>4.8000000000000001E-2</v>
      </c>
      <c r="J84" s="97">
        <v>4.8499999999999995E-2</v>
      </c>
      <c r="K84" s="93">
        <v>1216000</v>
      </c>
      <c r="L84" s="106">
        <v>105.74169999999999</v>
      </c>
      <c r="M84" s="93">
        <v>1285.7910400000001</v>
      </c>
      <c r="N84" s="83"/>
      <c r="O84" s="94">
        <f t="shared" si="1"/>
        <v>2.0612759786557633E-2</v>
      </c>
      <c r="P84" s="94">
        <f>M84/'סכום נכסי הקרן'!$C$42</f>
        <v>5.7026168339127372E-3</v>
      </c>
    </row>
    <row r="85" spans="2:16">
      <c r="B85" s="86" t="s">
        <v>1096</v>
      </c>
      <c r="C85" s="83" t="s">
        <v>1097</v>
      </c>
      <c r="D85" s="83" t="s">
        <v>252</v>
      </c>
      <c r="E85" s="83"/>
      <c r="F85" s="105">
        <v>41640</v>
      </c>
      <c r="G85" s="93">
        <v>7.8199999999999994</v>
      </c>
      <c r="H85" s="96" t="s">
        <v>162</v>
      </c>
      <c r="I85" s="97">
        <v>4.8000000000000001E-2</v>
      </c>
      <c r="J85" s="97">
        <v>4.8499999999999995E-2</v>
      </c>
      <c r="K85" s="93">
        <v>1034000</v>
      </c>
      <c r="L85" s="106">
        <v>101.1828</v>
      </c>
      <c r="M85" s="93">
        <v>1046.2298800000001</v>
      </c>
      <c r="N85" s="83"/>
      <c r="O85" s="94">
        <f t="shared" si="1"/>
        <v>1.6772309439921917E-2</v>
      </c>
      <c r="P85" s="94">
        <f>M85/'סכום נכסי הקרן'!$C$42</f>
        <v>4.6401382030399774E-3</v>
      </c>
    </row>
    <row r="89" spans="2:16">
      <c r="B89" s="98" t="s">
        <v>110</v>
      </c>
    </row>
    <row r="90" spans="2:16">
      <c r="B90" s="98" t="s">
        <v>229</v>
      </c>
    </row>
    <row r="91" spans="2:16">
      <c r="B91" s="98" t="s">
        <v>237</v>
      </c>
    </row>
  </sheetData>
  <sheetProtection sheet="1" objects="1" scenarios="1"/>
  <mergeCells count="2">
    <mergeCell ref="B6:P6"/>
    <mergeCell ref="B7:P7"/>
  </mergeCells>
  <phoneticPr fontId="6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177</v>
      </c>
      <c r="C1" s="77" t="s" vm="1">
        <v>247</v>
      </c>
    </row>
    <row r="2" spans="2:65">
      <c r="B2" s="56" t="s">
        <v>176</v>
      </c>
      <c r="C2" s="77" t="s">
        <v>248</v>
      </c>
    </row>
    <row r="3" spans="2:65">
      <c r="B3" s="56" t="s">
        <v>178</v>
      </c>
      <c r="C3" s="77" t="s">
        <v>249</v>
      </c>
    </row>
    <row r="4" spans="2:65">
      <c r="B4" s="56" t="s">
        <v>179</v>
      </c>
      <c r="C4" s="77">
        <v>2144</v>
      </c>
    </row>
    <row r="6" spans="2:65" ht="26.25" customHeight="1">
      <c r="B6" s="195" t="s">
        <v>208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7"/>
    </row>
    <row r="7" spans="2:65" ht="26.25" customHeight="1">
      <c r="B7" s="195" t="s">
        <v>85</v>
      </c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7"/>
    </row>
    <row r="8" spans="2:65" s="3" customFormat="1" ht="78.75">
      <c r="B8" s="22" t="s">
        <v>114</v>
      </c>
      <c r="C8" s="30" t="s">
        <v>43</v>
      </c>
      <c r="D8" s="30" t="s">
        <v>116</v>
      </c>
      <c r="E8" s="30" t="s">
        <v>115</v>
      </c>
      <c r="F8" s="30" t="s">
        <v>60</v>
      </c>
      <c r="G8" s="30" t="s">
        <v>15</v>
      </c>
      <c r="H8" s="30" t="s">
        <v>61</v>
      </c>
      <c r="I8" s="30" t="s">
        <v>100</v>
      </c>
      <c r="J8" s="30" t="s">
        <v>18</v>
      </c>
      <c r="K8" s="30" t="s">
        <v>99</v>
      </c>
      <c r="L8" s="30" t="s">
        <v>17</v>
      </c>
      <c r="M8" s="70" t="s">
        <v>19</v>
      </c>
      <c r="N8" s="30" t="s">
        <v>231</v>
      </c>
      <c r="O8" s="30" t="s">
        <v>230</v>
      </c>
      <c r="P8" s="30" t="s">
        <v>108</v>
      </c>
      <c r="Q8" s="30" t="s">
        <v>56</v>
      </c>
      <c r="R8" s="30" t="s">
        <v>180</v>
      </c>
      <c r="S8" s="31" t="s">
        <v>182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238</v>
      </c>
      <c r="O9" s="32"/>
      <c r="P9" s="32" t="s">
        <v>234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111</v>
      </c>
      <c r="R10" s="20" t="s">
        <v>112</v>
      </c>
      <c r="S10" s="20" t="s">
        <v>183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246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110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229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237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6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selection activeCell="H28" sqref="H28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177</v>
      </c>
      <c r="C1" s="77" t="s" vm="1">
        <v>247</v>
      </c>
    </row>
    <row r="2" spans="2:81">
      <c r="B2" s="56" t="s">
        <v>176</v>
      </c>
      <c r="C2" s="77" t="s">
        <v>248</v>
      </c>
    </row>
    <row r="3" spans="2:81">
      <c r="B3" s="56" t="s">
        <v>178</v>
      </c>
      <c r="C3" s="77" t="s">
        <v>249</v>
      </c>
    </row>
    <row r="4" spans="2:81">
      <c r="B4" s="56" t="s">
        <v>179</v>
      </c>
      <c r="C4" s="77">
        <v>2144</v>
      </c>
    </row>
    <row r="6" spans="2:81" ht="26.25" customHeight="1">
      <c r="B6" s="195" t="s">
        <v>208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7"/>
    </row>
    <row r="7" spans="2:81" ht="26.25" customHeight="1">
      <c r="B7" s="195" t="s">
        <v>86</v>
      </c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7"/>
    </row>
    <row r="8" spans="2:81" s="3" customFormat="1" ht="78.75">
      <c r="B8" s="22" t="s">
        <v>114</v>
      </c>
      <c r="C8" s="30" t="s">
        <v>43</v>
      </c>
      <c r="D8" s="30" t="s">
        <v>116</v>
      </c>
      <c r="E8" s="30" t="s">
        <v>115</v>
      </c>
      <c r="F8" s="30" t="s">
        <v>60</v>
      </c>
      <c r="G8" s="30" t="s">
        <v>15</v>
      </c>
      <c r="H8" s="30" t="s">
        <v>61</v>
      </c>
      <c r="I8" s="30" t="s">
        <v>100</v>
      </c>
      <c r="J8" s="30" t="s">
        <v>18</v>
      </c>
      <c r="K8" s="30" t="s">
        <v>99</v>
      </c>
      <c r="L8" s="30" t="s">
        <v>17</v>
      </c>
      <c r="M8" s="70" t="s">
        <v>19</v>
      </c>
      <c r="N8" s="70" t="s">
        <v>231</v>
      </c>
      <c r="O8" s="30" t="s">
        <v>230</v>
      </c>
      <c r="P8" s="30" t="s">
        <v>108</v>
      </c>
      <c r="Q8" s="30" t="s">
        <v>56</v>
      </c>
      <c r="R8" s="30" t="s">
        <v>180</v>
      </c>
      <c r="S8" s="31" t="s">
        <v>182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238</v>
      </c>
      <c r="O9" s="32"/>
      <c r="P9" s="32" t="s">
        <v>234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111</v>
      </c>
      <c r="R10" s="20" t="s">
        <v>112</v>
      </c>
      <c r="S10" s="20" t="s">
        <v>183</v>
      </c>
      <c r="T10" s="5"/>
      <c r="BZ10" s="1"/>
    </row>
    <row r="11" spans="2:81" s="4" customFormat="1" ht="18" customHeight="1">
      <c r="B11" s="129" t="s">
        <v>48</v>
      </c>
      <c r="C11" s="81"/>
      <c r="D11" s="81"/>
      <c r="E11" s="81"/>
      <c r="F11" s="81"/>
      <c r="G11" s="81"/>
      <c r="H11" s="81"/>
      <c r="I11" s="81"/>
      <c r="J11" s="92">
        <v>7.2397447078672093</v>
      </c>
      <c r="K11" s="81"/>
      <c r="L11" s="81"/>
      <c r="M11" s="91">
        <v>2.0751674149026483E-2</v>
      </c>
      <c r="N11" s="90"/>
      <c r="O11" s="92"/>
      <c r="P11" s="90">
        <v>2628.1369999999997</v>
      </c>
      <c r="Q11" s="81"/>
      <c r="R11" s="91">
        <f>P11/$P$11</f>
        <v>1</v>
      </c>
      <c r="S11" s="91">
        <f>P11/'סכום נכסי הקרן'!$C$42</f>
        <v>1.1656060613106246E-2</v>
      </c>
      <c r="T11" s="5"/>
      <c r="BZ11" s="99"/>
      <c r="CC11" s="99"/>
    </row>
    <row r="12" spans="2:81" s="99" customFormat="1" ht="17.25" customHeight="1">
      <c r="B12" s="130" t="s">
        <v>228</v>
      </c>
      <c r="C12" s="81"/>
      <c r="D12" s="81"/>
      <c r="E12" s="81"/>
      <c r="F12" s="81"/>
      <c r="G12" s="81"/>
      <c r="H12" s="81"/>
      <c r="I12" s="81"/>
      <c r="J12" s="92">
        <v>7.2397447078672084</v>
      </c>
      <c r="K12" s="81"/>
      <c r="L12" s="81"/>
      <c r="M12" s="91">
        <v>2.0751674149026476E-2</v>
      </c>
      <c r="N12" s="90"/>
      <c r="O12" s="92"/>
      <c r="P12" s="90">
        <v>2628.1370000000002</v>
      </c>
      <c r="Q12" s="81"/>
      <c r="R12" s="91">
        <f t="shared" ref="R12:R19" si="0">P12/$P$11</f>
        <v>1.0000000000000002</v>
      </c>
      <c r="S12" s="91">
        <f>P12/'סכום נכסי הקרן'!$C$42</f>
        <v>1.1656060613106247E-2</v>
      </c>
    </row>
    <row r="13" spans="2:81">
      <c r="B13" s="107" t="s">
        <v>57</v>
      </c>
      <c r="C13" s="81"/>
      <c r="D13" s="81"/>
      <c r="E13" s="81"/>
      <c r="F13" s="81"/>
      <c r="G13" s="81"/>
      <c r="H13" s="81"/>
      <c r="I13" s="81"/>
      <c r="J13" s="92">
        <v>9.2704739950799784</v>
      </c>
      <c r="K13" s="81"/>
      <c r="L13" s="81"/>
      <c r="M13" s="91">
        <v>1.5311671945929329E-2</v>
      </c>
      <c r="N13" s="90"/>
      <c r="O13" s="92"/>
      <c r="P13" s="90">
        <v>1451.8346899999999</v>
      </c>
      <c r="Q13" s="81"/>
      <c r="R13" s="91">
        <f t="shared" si="0"/>
        <v>0.55241971404078249</v>
      </c>
      <c r="S13" s="91">
        <f>P13/'סכום נכסי הקרן'!$C$42</f>
        <v>6.4390376707341808E-3</v>
      </c>
    </row>
    <row r="14" spans="2:81">
      <c r="B14" s="108" t="s">
        <v>1098</v>
      </c>
      <c r="C14" s="83" t="s">
        <v>1099</v>
      </c>
      <c r="D14" s="96" t="s">
        <v>1100</v>
      </c>
      <c r="E14" s="83" t="s">
        <v>1101</v>
      </c>
      <c r="F14" s="96" t="s">
        <v>365</v>
      </c>
      <c r="G14" s="83" t="s">
        <v>314</v>
      </c>
      <c r="H14" s="83" t="s">
        <v>315</v>
      </c>
      <c r="I14" s="105">
        <v>42639</v>
      </c>
      <c r="J14" s="95">
        <v>8.3099999999999987</v>
      </c>
      <c r="K14" s="96" t="s">
        <v>162</v>
      </c>
      <c r="L14" s="97">
        <v>4.9000000000000002E-2</v>
      </c>
      <c r="M14" s="94">
        <v>1.4199999999999999E-2</v>
      </c>
      <c r="N14" s="93">
        <v>137297</v>
      </c>
      <c r="O14" s="95">
        <v>159.69</v>
      </c>
      <c r="P14" s="93">
        <v>219.24958999999998</v>
      </c>
      <c r="Q14" s="94">
        <v>6.9939019544488229E-5</v>
      </c>
      <c r="R14" s="94">
        <f t="shared" si="0"/>
        <v>8.3423957731275047E-2</v>
      </c>
      <c r="S14" s="94">
        <f>P14/'סכום נכסי הקרן'!$C$42</f>
        <v>9.7239470790095543E-4</v>
      </c>
    </row>
    <row r="15" spans="2:81">
      <c r="B15" s="108" t="s">
        <v>1102</v>
      </c>
      <c r="C15" s="83" t="s">
        <v>1103</v>
      </c>
      <c r="D15" s="96" t="s">
        <v>1100</v>
      </c>
      <c r="E15" s="83" t="s">
        <v>1101</v>
      </c>
      <c r="F15" s="96" t="s">
        <v>365</v>
      </c>
      <c r="G15" s="83" t="s">
        <v>314</v>
      </c>
      <c r="H15" s="83" t="s">
        <v>315</v>
      </c>
      <c r="I15" s="105">
        <v>42639</v>
      </c>
      <c r="J15" s="95">
        <v>11.490000000000002</v>
      </c>
      <c r="K15" s="96" t="s">
        <v>162</v>
      </c>
      <c r="L15" s="97">
        <v>4.0999999999999995E-2</v>
      </c>
      <c r="M15" s="94">
        <v>2.07E-2</v>
      </c>
      <c r="N15" s="93">
        <v>624638.61</v>
      </c>
      <c r="O15" s="95">
        <v>132.04</v>
      </c>
      <c r="P15" s="93">
        <v>824.77283999999997</v>
      </c>
      <c r="Q15" s="94">
        <v>1.4334665930727661E-4</v>
      </c>
      <c r="R15" s="94">
        <f t="shared" si="0"/>
        <v>0.31382414234874362</v>
      </c>
      <c r="S15" s="94">
        <f>P15/'סכום נכסי הקרן'!$C$42</f>
        <v>3.6579532250730386E-3</v>
      </c>
    </row>
    <row r="16" spans="2:81">
      <c r="B16" s="108" t="s">
        <v>1104</v>
      </c>
      <c r="C16" s="83" t="s">
        <v>1105</v>
      </c>
      <c r="D16" s="96" t="s">
        <v>1100</v>
      </c>
      <c r="E16" s="83" t="s">
        <v>1106</v>
      </c>
      <c r="F16" s="96" t="s">
        <v>365</v>
      </c>
      <c r="G16" s="83" t="s">
        <v>314</v>
      </c>
      <c r="H16" s="83" t="s">
        <v>158</v>
      </c>
      <c r="I16" s="105">
        <v>42796</v>
      </c>
      <c r="J16" s="95">
        <v>7.83</v>
      </c>
      <c r="K16" s="96" t="s">
        <v>162</v>
      </c>
      <c r="L16" s="97">
        <v>2.1400000000000002E-2</v>
      </c>
      <c r="M16" s="94">
        <v>1.04E-2</v>
      </c>
      <c r="N16" s="93">
        <v>180000</v>
      </c>
      <c r="O16" s="95">
        <v>110.45</v>
      </c>
      <c r="P16" s="93">
        <v>198.81</v>
      </c>
      <c r="Q16" s="94">
        <v>6.9325158099874443E-4</v>
      </c>
      <c r="R16" s="94">
        <f t="shared" si="0"/>
        <v>7.5646741398945352E-2</v>
      </c>
      <c r="S16" s="94">
        <f>P16/'סכום נכסי הקרן'!$C$42</f>
        <v>8.8174300293008059E-4</v>
      </c>
    </row>
    <row r="17" spans="2:19">
      <c r="B17" s="108" t="s">
        <v>1107</v>
      </c>
      <c r="C17" s="83" t="s">
        <v>1108</v>
      </c>
      <c r="D17" s="96" t="s">
        <v>1100</v>
      </c>
      <c r="E17" s="83" t="s">
        <v>442</v>
      </c>
      <c r="F17" s="96" t="s">
        <v>443</v>
      </c>
      <c r="G17" s="83" t="s">
        <v>351</v>
      </c>
      <c r="H17" s="83" t="s">
        <v>315</v>
      </c>
      <c r="I17" s="105">
        <v>42768</v>
      </c>
      <c r="J17" s="95">
        <v>0.8600000000000001</v>
      </c>
      <c r="K17" s="96" t="s">
        <v>162</v>
      </c>
      <c r="L17" s="97">
        <v>6.8499999999999991E-2</v>
      </c>
      <c r="M17" s="94">
        <v>5.7999999999999996E-3</v>
      </c>
      <c r="N17" s="93">
        <v>14200</v>
      </c>
      <c r="O17" s="95">
        <v>119.67</v>
      </c>
      <c r="P17" s="93">
        <v>16.99314</v>
      </c>
      <c r="Q17" s="94">
        <v>2.8115972446347003E-5</v>
      </c>
      <c r="R17" s="94">
        <f t="shared" si="0"/>
        <v>6.4658501440373927E-3</v>
      </c>
      <c r="S17" s="94">
        <f>P17/'סכום נכסי הקרן'!$C$42</f>
        <v>7.5366341194161611E-5</v>
      </c>
    </row>
    <row r="18" spans="2:19">
      <c r="B18" s="108" t="s">
        <v>1109</v>
      </c>
      <c r="C18" s="83" t="s">
        <v>1110</v>
      </c>
      <c r="D18" s="96" t="s">
        <v>1100</v>
      </c>
      <c r="E18" s="83" t="s">
        <v>364</v>
      </c>
      <c r="F18" s="96" t="s">
        <v>365</v>
      </c>
      <c r="G18" s="83" t="s">
        <v>351</v>
      </c>
      <c r="H18" s="83" t="s">
        <v>158</v>
      </c>
      <c r="I18" s="105">
        <v>42835</v>
      </c>
      <c r="J18" s="95">
        <v>4.0999999999999996</v>
      </c>
      <c r="K18" s="96" t="s">
        <v>162</v>
      </c>
      <c r="L18" s="97">
        <v>5.5999999999999994E-2</v>
      </c>
      <c r="M18" s="94">
        <v>4.0000000000000002E-4</v>
      </c>
      <c r="N18" s="93">
        <v>49216.97</v>
      </c>
      <c r="O18" s="95">
        <v>152.15</v>
      </c>
      <c r="P18" s="93">
        <v>74.883630000000011</v>
      </c>
      <c r="Q18" s="94">
        <v>6.0023251087660339E-5</v>
      </c>
      <c r="R18" s="94">
        <f t="shared" si="0"/>
        <v>2.8493046595363947E-2</v>
      </c>
      <c r="S18" s="94">
        <f>P18/'סכום נכסי הקרן'!$C$42</f>
        <v>3.3211667816762273E-4</v>
      </c>
    </row>
    <row r="19" spans="2:19">
      <c r="B19" s="108" t="s">
        <v>1111</v>
      </c>
      <c r="C19" s="83" t="s">
        <v>1112</v>
      </c>
      <c r="D19" s="96" t="s">
        <v>1100</v>
      </c>
      <c r="E19" s="83" t="s">
        <v>442</v>
      </c>
      <c r="F19" s="96" t="s">
        <v>443</v>
      </c>
      <c r="G19" s="83" t="s">
        <v>387</v>
      </c>
      <c r="H19" s="83" t="s">
        <v>158</v>
      </c>
      <c r="I19" s="105">
        <v>42935</v>
      </c>
      <c r="J19" s="95">
        <v>2.4099999999999997</v>
      </c>
      <c r="K19" s="96" t="s">
        <v>162</v>
      </c>
      <c r="L19" s="97">
        <v>0.06</v>
      </c>
      <c r="M19" s="94">
        <v>-1.2999999999999999E-3</v>
      </c>
      <c r="N19" s="93">
        <v>95000</v>
      </c>
      <c r="O19" s="95">
        <v>123.29</v>
      </c>
      <c r="P19" s="93">
        <v>117.12549</v>
      </c>
      <c r="Q19" s="94">
        <v>2.5670480608693508E-5</v>
      </c>
      <c r="R19" s="94">
        <f t="shared" si="0"/>
        <v>4.4565975822417177E-2</v>
      </c>
      <c r="S19" s="94">
        <f>P19/'סכום נכסי הקרן'!$C$42</f>
        <v>5.1946371546832213E-4</v>
      </c>
    </row>
    <row r="20" spans="2:19">
      <c r="B20" s="109"/>
      <c r="C20" s="83"/>
      <c r="D20" s="83"/>
      <c r="E20" s="83"/>
      <c r="F20" s="83"/>
      <c r="G20" s="83"/>
      <c r="H20" s="83"/>
      <c r="I20" s="83"/>
      <c r="J20" s="95"/>
      <c r="K20" s="83"/>
      <c r="L20" s="83"/>
      <c r="M20" s="94"/>
      <c r="N20" s="93"/>
      <c r="O20" s="95"/>
      <c r="P20" s="83"/>
      <c r="Q20" s="83"/>
      <c r="R20" s="94"/>
      <c r="S20" s="83"/>
    </row>
    <row r="21" spans="2:19">
      <c r="B21" s="107" t="s">
        <v>58</v>
      </c>
      <c r="C21" s="81"/>
      <c r="D21" s="81"/>
      <c r="E21" s="81"/>
      <c r="F21" s="81"/>
      <c r="G21" s="81"/>
      <c r="H21" s="81"/>
      <c r="I21" s="81"/>
      <c r="J21" s="92">
        <v>5.1067733215684177</v>
      </c>
      <c r="K21" s="81"/>
      <c r="L21" s="81"/>
      <c r="M21" s="91">
        <v>2.4238097433939711E-2</v>
      </c>
      <c r="N21" s="90"/>
      <c r="O21" s="92"/>
      <c r="P21" s="90">
        <v>971.77061999999989</v>
      </c>
      <c r="Q21" s="81"/>
      <c r="R21" s="91">
        <f t="shared" ref="R21:R26" si="1">P21/$P$11</f>
        <v>0.36975645485756642</v>
      </c>
      <c r="S21" s="91">
        <f>P21/'סכום נכסי הקרן'!$C$42</f>
        <v>4.3099036499070773E-3</v>
      </c>
    </row>
    <row r="22" spans="2:19">
      <c r="B22" s="108" t="s">
        <v>1113</v>
      </c>
      <c r="C22" s="83" t="s">
        <v>1114</v>
      </c>
      <c r="D22" s="96" t="s">
        <v>1100</v>
      </c>
      <c r="E22" s="83" t="s">
        <v>1106</v>
      </c>
      <c r="F22" s="96" t="s">
        <v>365</v>
      </c>
      <c r="G22" s="83" t="s">
        <v>314</v>
      </c>
      <c r="H22" s="83" t="s">
        <v>158</v>
      </c>
      <c r="I22" s="105">
        <v>42796</v>
      </c>
      <c r="J22" s="95">
        <v>7.25</v>
      </c>
      <c r="K22" s="96" t="s">
        <v>162</v>
      </c>
      <c r="L22" s="97">
        <v>3.7400000000000003E-2</v>
      </c>
      <c r="M22" s="94">
        <v>2.7699999999999999E-2</v>
      </c>
      <c r="N22" s="93">
        <v>180000</v>
      </c>
      <c r="O22" s="95">
        <v>107.35</v>
      </c>
      <c r="P22" s="93">
        <v>193.23</v>
      </c>
      <c r="Q22" s="94">
        <v>3.4947520473422412E-4</v>
      </c>
      <c r="R22" s="94">
        <f t="shared" si="1"/>
        <v>7.3523564410835518E-2</v>
      </c>
      <c r="S22" s="94">
        <f>P22/'סכום נכסי הקרן'!$C$42</f>
        <v>8.5699512326431991E-4</v>
      </c>
    </row>
    <row r="23" spans="2:19">
      <c r="B23" s="108" t="s">
        <v>1115</v>
      </c>
      <c r="C23" s="83" t="s">
        <v>1116</v>
      </c>
      <c r="D23" s="96" t="s">
        <v>1100</v>
      </c>
      <c r="E23" s="83" t="s">
        <v>1106</v>
      </c>
      <c r="F23" s="96" t="s">
        <v>365</v>
      </c>
      <c r="G23" s="83" t="s">
        <v>314</v>
      </c>
      <c r="H23" s="83" t="s">
        <v>158</v>
      </c>
      <c r="I23" s="105">
        <v>42796</v>
      </c>
      <c r="J23" s="95">
        <v>3.7800000000000002</v>
      </c>
      <c r="K23" s="96" t="s">
        <v>162</v>
      </c>
      <c r="L23" s="97">
        <v>2.5000000000000001E-2</v>
      </c>
      <c r="M23" s="94">
        <v>1.7000000000000001E-2</v>
      </c>
      <c r="N23" s="93">
        <v>287124</v>
      </c>
      <c r="O23" s="95">
        <v>103.15</v>
      </c>
      <c r="P23" s="93">
        <v>296.16840999999999</v>
      </c>
      <c r="Q23" s="94">
        <v>3.9587147867904964E-4</v>
      </c>
      <c r="R23" s="94">
        <f t="shared" si="1"/>
        <v>0.11269138937582023</v>
      </c>
      <c r="S23" s="94">
        <f>P23/'סכום נכסי הקרן'!$C$42</f>
        <v>1.3135376651397179E-3</v>
      </c>
    </row>
    <row r="24" spans="2:19">
      <c r="B24" s="108" t="s">
        <v>1117</v>
      </c>
      <c r="C24" s="83" t="s">
        <v>1118</v>
      </c>
      <c r="D24" s="96" t="s">
        <v>1100</v>
      </c>
      <c r="E24" s="83" t="s">
        <v>1119</v>
      </c>
      <c r="F24" s="96" t="s">
        <v>369</v>
      </c>
      <c r="G24" s="83" t="s">
        <v>387</v>
      </c>
      <c r="H24" s="83" t="s">
        <v>158</v>
      </c>
      <c r="I24" s="105">
        <v>42598</v>
      </c>
      <c r="J24" s="95">
        <v>5.25</v>
      </c>
      <c r="K24" s="96" t="s">
        <v>162</v>
      </c>
      <c r="L24" s="97">
        <v>3.1E-2</v>
      </c>
      <c r="M24" s="94">
        <v>2.6200000000000001E-2</v>
      </c>
      <c r="N24" s="93">
        <v>349198.11</v>
      </c>
      <c r="O24" s="95">
        <v>102.67</v>
      </c>
      <c r="P24" s="93">
        <v>358.52170000000001</v>
      </c>
      <c r="Q24" s="94">
        <v>4.9182832394366197E-4</v>
      </c>
      <c r="R24" s="94">
        <f t="shared" si="1"/>
        <v>0.13641667082043291</v>
      </c>
      <c r="S24" s="94">
        <f>P24/'סכום נכסי הקרן'!$C$42</f>
        <v>1.590080983721128E-3</v>
      </c>
    </row>
    <row r="25" spans="2:19">
      <c r="B25" s="108" t="s">
        <v>1120</v>
      </c>
      <c r="C25" s="83" t="s">
        <v>1121</v>
      </c>
      <c r="D25" s="96" t="s">
        <v>1100</v>
      </c>
      <c r="E25" s="83" t="s">
        <v>1122</v>
      </c>
      <c r="F25" s="96" t="s">
        <v>369</v>
      </c>
      <c r="G25" s="83" t="s">
        <v>582</v>
      </c>
      <c r="H25" s="83" t="s">
        <v>315</v>
      </c>
      <c r="I25" s="105">
        <v>43312</v>
      </c>
      <c r="J25" s="95">
        <v>4.71</v>
      </c>
      <c r="K25" s="96" t="s">
        <v>162</v>
      </c>
      <c r="L25" s="97">
        <v>3.5499999999999997E-2</v>
      </c>
      <c r="M25" s="94">
        <v>3.1100000000000003E-2</v>
      </c>
      <c r="N25" s="93">
        <v>113000</v>
      </c>
      <c r="O25" s="95">
        <v>103.05</v>
      </c>
      <c r="P25" s="93">
        <v>116.44650999999999</v>
      </c>
      <c r="Q25" s="94">
        <v>3.5312499999999998E-4</v>
      </c>
      <c r="R25" s="94">
        <f t="shared" si="1"/>
        <v>4.4307625515717028E-2</v>
      </c>
      <c r="S25" s="94">
        <f>P25/'סכום נכסי הקרן'!$C$42</f>
        <v>5.1645236863401061E-4</v>
      </c>
    </row>
    <row r="26" spans="2:19">
      <c r="B26" s="108" t="s">
        <v>1123</v>
      </c>
      <c r="C26" s="83" t="s">
        <v>1124</v>
      </c>
      <c r="D26" s="96" t="s">
        <v>1100</v>
      </c>
      <c r="E26" s="83" t="s">
        <v>1125</v>
      </c>
      <c r="F26" s="96" t="s">
        <v>369</v>
      </c>
      <c r="G26" s="83" t="s">
        <v>656</v>
      </c>
      <c r="H26" s="83" t="s">
        <v>158</v>
      </c>
      <c r="I26" s="105">
        <v>41903</v>
      </c>
      <c r="J26" s="95">
        <v>1.55</v>
      </c>
      <c r="K26" s="96" t="s">
        <v>162</v>
      </c>
      <c r="L26" s="97">
        <v>5.1500000000000004E-2</v>
      </c>
      <c r="M26" s="94">
        <v>2.0500000000000004E-2</v>
      </c>
      <c r="N26" s="93">
        <v>7058.82</v>
      </c>
      <c r="O26" s="95">
        <v>104.89</v>
      </c>
      <c r="P26" s="93">
        <v>7.4039999999999999</v>
      </c>
      <c r="Q26" s="94">
        <v>2.3529385098056103E-4</v>
      </c>
      <c r="R26" s="94">
        <f t="shared" si="1"/>
        <v>2.8172047347607833E-3</v>
      </c>
      <c r="S26" s="94">
        <f>P26/'סכום נכסי הקרן'!$C$42</f>
        <v>3.2837509147901598E-5</v>
      </c>
    </row>
    <row r="27" spans="2:19">
      <c r="B27" s="109"/>
      <c r="C27" s="83"/>
      <c r="D27" s="83"/>
      <c r="E27" s="83"/>
      <c r="F27" s="83"/>
      <c r="G27" s="83"/>
      <c r="H27" s="83"/>
      <c r="I27" s="83"/>
      <c r="J27" s="95"/>
      <c r="K27" s="83"/>
      <c r="L27" s="83"/>
      <c r="M27" s="94"/>
      <c r="N27" s="93"/>
      <c r="O27" s="95"/>
      <c r="P27" s="83"/>
      <c r="Q27" s="83"/>
      <c r="R27" s="94"/>
      <c r="S27" s="83"/>
    </row>
    <row r="28" spans="2:19">
      <c r="B28" s="107" t="s">
        <v>45</v>
      </c>
      <c r="C28" s="81"/>
      <c r="D28" s="81"/>
      <c r="E28" s="81"/>
      <c r="F28" s="81"/>
      <c r="G28" s="81"/>
      <c r="H28" s="81"/>
      <c r="I28" s="81"/>
      <c r="J28" s="92">
        <v>2.9591156343547547</v>
      </c>
      <c r="K28" s="81"/>
      <c r="L28" s="81"/>
      <c r="M28" s="91">
        <v>4.2801950049892019E-2</v>
      </c>
      <c r="N28" s="90"/>
      <c r="O28" s="92"/>
      <c r="P28" s="90">
        <v>204.53169</v>
      </c>
      <c r="Q28" s="81"/>
      <c r="R28" s="91">
        <f t="shared" ref="R28:R30" si="2">P28/$P$11</f>
        <v>7.78238311016511E-2</v>
      </c>
      <c r="S28" s="91">
        <f>P28/'סכום נכסי הקרן'!$C$42</f>
        <v>9.0711929246498828E-4</v>
      </c>
    </row>
    <row r="29" spans="2:19">
      <c r="B29" s="108" t="s">
        <v>1126</v>
      </c>
      <c r="C29" s="83" t="s">
        <v>1127</v>
      </c>
      <c r="D29" s="96" t="s">
        <v>1100</v>
      </c>
      <c r="E29" s="83" t="s">
        <v>1128</v>
      </c>
      <c r="F29" s="96" t="s">
        <v>188</v>
      </c>
      <c r="G29" s="83" t="s">
        <v>490</v>
      </c>
      <c r="H29" s="83" t="s">
        <v>315</v>
      </c>
      <c r="I29" s="105">
        <v>42954</v>
      </c>
      <c r="J29" s="95">
        <v>1.4400000000000002</v>
      </c>
      <c r="K29" s="96" t="s">
        <v>161</v>
      </c>
      <c r="L29" s="97">
        <v>3.7000000000000005E-2</v>
      </c>
      <c r="M29" s="94">
        <v>3.4700000000000002E-2</v>
      </c>
      <c r="N29" s="93">
        <v>8743</v>
      </c>
      <c r="O29" s="95">
        <v>100.51</v>
      </c>
      <c r="P29" s="93">
        <v>31.916529999999998</v>
      </c>
      <c r="Q29" s="94">
        <v>1.3009642283197428E-4</v>
      </c>
      <c r="R29" s="94">
        <f t="shared" si="2"/>
        <v>1.2144165239483331E-2</v>
      </c>
      <c r="S29" s="94">
        <f>P29/'סכום נכסי הקרן'!$C$42</f>
        <v>1.4155312612699564E-4</v>
      </c>
    </row>
    <row r="30" spans="2:19">
      <c r="B30" s="108" t="s">
        <v>1129</v>
      </c>
      <c r="C30" s="83" t="s">
        <v>1130</v>
      </c>
      <c r="D30" s="96" t="s">
        <v>1100</v>
      </c>
      <c r="E30" s="83" t="s">
        <v>1128</v>
      </c>
      <c r="F30" s="96" t="s">
        <v>188</v>
      </c>
      <c r="G30" s="83" t="s">
        <v>490</v>
      </c>
      <c r="H30" s="83" t="s">
        <v>315</v>
      </c>
      <c r="I30" s="105">
        <v>42625</v>
      </c>
      <c r="J30" s="95">
        <v>3.24</v>
      </c>
      <c r="K30" s="96" t="s">
        <v>161</v>
      </c>
      <c r="L30" s="97">
        <v>4.4500000000000005E-2</v>
      </c>
      <c r="M30" s="94">
        <v>4.4299999999999999E-2</v>
      </c>
      <c r="N30" s="93">
        <v>47351</v>
      </c>
      <c r="O30" s="95">
        <v>100.37</v>
      </c>
      <c r="P30" s="93">
        <v>172.61516</v>
      </c>
      <c r="Q30" s="94">
        <v>3.453046354268613E-4</v>
      </c>
      <c r="R30" s="94">
        <f t="shared" si="2"/>
        <v>6.5679665862167766E-2</v>
      </c>
      <c r="S30" s="94">
        <f>P30/'סכום נכסי הקרן'!$C$42</f>
        <v>7.6556616633799272E-4</v>
      </c>
    </row>
    <row r="31" spans="2:19">
      <c r="B31" s="110"/>
      <c r="C31" s="111"/>
      <c r="D31" s="111"/>
      <c r="E31" s="111"/>
      <c r="F31" s="111"/>
      <c r="G31" s="111"/>
      <c r="H31" s="111"/>
      <c r="I31" s="111"/>
      <c r="J31" s="112"/>
      <c r="K31" s="111"/>
      <c r="L31" s="111"/>
      <c r="M31" s="113"/>
      <c r="N31" s="114"/>
      <c r="O31" s="112"/>
      <c r="P31" s="111"/>
      <c r="Q31" s="111"/>
      <c r="R31" s="113"/>
      <c r="S31" s="111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98" t="s">
        <v>246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98" t="s">
        <v>110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98" t="s">
        <v>229</v>
      </c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98" t="s">
        <v>237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</row>
    <row r="129" spans="2:19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</row>
    <row r="130" spans="2:19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</row>
    <row r="131" spans="2:19">
      <c r="C131" s="1"/>
      <c r="D131" s="1"/>
      <c r="E131" s="1"/>
    </row>
    <row r="132" spans="2:19">
      <c r="C132" s="1"/>
      <c r="D132" s="1"/>
      <c r="E132" s="1"/>
    </row>
    <row r="133" spans="2:19">
      <c r="C133" s="1"/>
      <c r="D133" s="1"/>
      <c r="E133" s="1"/>
    </row>
    <row r="134" spans="2:19">
      <c r="C134" s="1"/>
      <c r="D134" s="1"/>
      <c r="E134" s="1"/>
    </row>
    <row r="135" spans="2:19">
      <c r="C135" s="1"/>
      <c r="D135" s="1"/>
      <c r="E135" s="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6" type="noConversion"/>
  <conditionalFormatting sqref="B12:B33 B38:B130">
    <cfRule type="cellIs" dxfId="11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9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855468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177</v>
      </c>
      <c r="C1" s="77" t="s" vm="1">
        <v>247</v>
      </c>
    </row>
    <row r="2" spans="2:98">
      <c r="B2" s="56" t="s">
        <v>176</v>
      </c>
      <c r="C2" s="77" t="s">
        <v>248</v>
      </c>
    </row>
    <row r="3" spans="2:98">
      <c r="B3" s="56" t="s">
        <v>178</v>
      </c>
      <c r="C3" s="77" t="s">
        <v>249</v>
      </c>
    </row>
    <row r="4" spans="2:98">
      <c r="B4" s="56" t="s">
        <v>179</v>
      </c>
      <c r="C4" s="77">
        <v>2144</v>
      </c>
    </row>
    <row r="6" spans="2:98" ht="26.25" customHeight="1">
      <c r="B6" s="195" t="s">
        <v>208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7"/>
    </row>
    <row r="7" spans="2:98" ht="26.25" customHeight="1">
      <c r="B7" s="195" t="s">
        <v>87</v>
      </c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7"/>
    </row>
    <row r="8" spans="2:98" s="3" customFormat="1" ht="78.75">
      <c r="B8" s="22" t="s">
        <v>114</v>
      </c>
      <c r="C8" s="30" t="s">
        <v>43</v>
      </c>
      <c r="D8" s="30" t="s">
        <v>116</v>
      </c>
      <c r="E8" s="30" t="s">
        <v>115</v>
      </c>
      <c r="F8" s="30" t="s">
        <v>60</v>
      </c>
      <c r="G8" s="30" t="s">
        <v>99</v>
      </c>
      <c r="H8" s="30" t="s">
        <v>231</v>
      </c>
      <c r="I8" s="30" t="s">
        <v>230</v>
      </c>
      <c r="J8" s="30" t="s">
        <v>108</v>
      </c>
      <c r="K8" s="30" t="s">
        <v>56</v>
      </c>
      <c r="L8" s="30" t="s">
        <v>180</v>
      </c>
      <c r="M8" s="31" t="s">
        <v>182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238</v>
      </c>
      <c r="I9" s="32"/>
      <c r="J9" s="32" t="s">
        <v>234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0"/>
      <c r="C11" s="83"/>
      <c r="D11" s="83"/>
      <c r="E11" s="83"/>
      <c r="F11" s="83"/>
      <c r="G11" s="83"/>
      <c r="H11" s="93"/>
      <c r="I11" s="93"/>
      <c r="J11" s="83"/>
      <c r="K11" s="83"/>
      <c r="L11" s="94"/>
      <c r="M11" s="8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4"/>
      <c r="C12" s="83"/>
      <c r="D12" s="83"/>
      <c r="E12" s="83"/>
      <c r="F12" s="83"/>
      <c r="G12" s="83"/>
      <c r="H12" s="93"/>
      <c r="I12" s="93"/>
      <c r="J12" s="83"/>
      <c r="K12" s="83"/>
      <c r="L12" s="94"/>
      <c r="M12" s="83"/>
    </row>
    <row r="13" spans="2:98">
      <c r="B13" s="101"/>
      <c r="C13" s="81"/>
      <c r="D13" s="81"/>
      <c r="E13" s="81"/>
      <c r="F13" s="81"/>
      <c r="G13" s="81"/>
      <c r="H13" s="90"/>
      <c r="I13" s="90"/>
      <c r="J13" s="81"/>
      <c r="K13" s="81"/>
      <c r="L13" s="91"/>
      <c r="M13" s="81"/>
    </row>
    <row r="14" spans="2:98">
      <c r="B14" s="86"/>
      <c r="C14" s="83"/>
      <c r="D14" s="96"/>
      <c r="E14" s="83"/>
      <c r="F14" s="96"/>
      <c r="G14" s="96"/>
      <c r="H14" s="93"/>
      <c r="I14" s="93"/>
      <c r="J14" s="83"/>
      <c r="K14" s="83"/>
      <c r="L14" s="94"/>
      <c r="M14" s="83"/>
    </row>
    <row r="15" spans="2:9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2:9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</row>
    <row r="17" spans="2:1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</row>
    <row r="18" spans="2:13">
      <c r="B18" s="98" t="s">
        <v>246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</row>
    <row r="19" spans="2:13">
      <c r="B19" s="98" t="s">
        <v>110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2:13">
      <c r="B20" s="98" t="s">
        <v>229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2:13">
      <c r="B21" s="98" t="s">
        <v>237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2:1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</row>
    <row r="115" spans="2:13">
      <c r="C115" s="1"/>
      <c r="D115" s="1"/>
      <c r="E115" s="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3"/>
      <c r="C404" s="1"/>
      <c r="D404" s="1"/>
      <c r="E404" s="1"/>
    </row>
    <row r="405" spans="2:5">
      <c r="B405" s="43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6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6" t="s">
        <v>177</v>
      </c>
      <c r="C1" s="77" t="s" vm="1">
        <v>247</v>
      </c>
    </row>
    <row r="2" spans="2:55">
      <c r="B2" s="56" t="s">
        <v>176</v>
      </c>
      <c r="C2" s="77" t="s">
        <v>248</v>
      </c>
    </row>
    <row r="3" spans="2:55">
      <c r="B3" s="56" t="s">
        <v>178</v>
      </c>
      <c r="C3" s="77" t="s">
        <v>249</v>
      </c>
    </row>
    <row r="4" spans="2:55">
      <c r="B4" s="56" t="s">
        <v>179</v>
      </c>
      <c r="C4" s="77">
        <v>2144</v>
      </c>
    </row>
    <row r="6" spans="2:55" ht="26.25" customHeight="1">
      <c r="B6" s="195" t="s">
        <v>208</v>
      </c>
      <c r="C6" s="196"/>
      <c r="D6" s="196"/>
      <c r="E6" s="196"/>
      <c r="F6" s="196"/>
      <c r="G6" s="196"/>
      <c r="H6" s="196"/>
      <c r="I6" s="196"/>
      <c r="J6" s="196"/>
      <c r="K6" s="197"/>
    </row>
    <row r="7" spans="2:55" ht="26.25" customHeight="1">
      <c r="B7" s="195" t="s">
        <v>94</v>
      </c>
      <c r="C7" s="196"/>
      <c r="D7" s="196"/>
      <c r="E7" s="196"/>
      <c r="F7" s="196"/>
      <c r="G7" s="196"/>
      <c r="H7" s="196"/>
      <c r="I7" s="196"/>
      <c r="J7" s="196"/>
      <c r="K7" s="197"/>
    </row>
    <row r="8" spans="2:55" s="3" customFormat="1" ht="78.75">
      <c r="B8" s="22" t="s">
        <v>114</v>
      </c>
      <c r="C8" s="30" t="s">
        <v>43</v>
      </c>
      <c r="D8" s="30" t="s">
        <v>99</v>
      </c>
      <c r="E8" s="30" t="s">
        <v>100</v>
      </c>
      <c r="F8" s="30" t="s">
        <v>231</v>
      </c>
      <c r="G8" s="30" t="s">
        <v>230</v>
      </c>
      <c r="H8" s="30" t="s">
        <v>108</v>
      </c>
      <c r="I8" s="30" t="s">
        <v>56</v>
      </c>
      <c r="J8" s="30" t="s">
        <v>180</v>
      </c>
      <c r="K8" s="31" t="s">
        <v>182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238</v>
      </c>
      <c r="G9" s="32"/>
      <c r="H9" s="32" t="s">
        <v>234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8" t="s">
        <v>110</v>
      </c>
      <c r="C12" s="100"/>
      <c r="D12" s="100"/>
      <c r="E12" s="100"/>
      <c r="F12" s="100"/>
      <c r="G12" s="100"/>
      <c r="H12" s="100"/>
      <c r="I12" s="100"/>
      <c r="J12" s="100"/>
      <c r="K12" s="100"/>
      <c r="V12" s="1"/>
    </row>
    <row r="13" spans="2:55">
      <c r="B13" s="98" t="s">
        <v>229</v>
      </c>
      <c r="C13" s="100"/>
      <c r="D13" s="100"/>
      <c r="E13" s="100"/>
      <c r="F13" s="100"/>
      <c r="G13" s="100"/>
      <c r="H13" s="100"/>
      <c r="I13" s="100"/>
      <c r="J13" s="100"/>
      <c r="K13" s="100"/>
      <c r="V13" s="1"/>
    </row>
    <row r="14" spans="2:55">
      <c r="B14" s="98" t="s">
        <v>237</v>
      </c>
      <c r="C14" s="100"/>
      <c r="D14" s="100"/>
      <c r="E14" s="100"/>
      <c r="F14" s="100"/>
      <c r="G14" s="100"/>
      <c r="H14" s="100"/>
      <c r="I14" s="100"/>
      <c r="J14" s="100"/>
      <c r="K14" s="100"/>
      <c r="V14" s="1"/>
    </row>
    <row r="15" spans="2:55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V15" s="1"/>
    </row>
    <row r="16" spans="2:5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V16" s="1"/>
    </row>
    <row r="17" spans="2:2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V17" s="1"/>
    </row>
    <row r="18" spans="2:2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V18" s="1"/>
    </row>
    <row r="19" spans="2:2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V19" s="1"/>
    </row>
    <row r="20" spans="2:2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V20" s="1"/>
    </row>
    <row r="21" spans="2:2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V21" s="1"/>
    </row>
    <row r="22" spans="2:22" ht="16.5" customHeight="1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V22" s="1"/>
    </row>
    <row r="23" spans="2:22" ht="16.5" customHeight="1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V23" s="1"/>
    </row>
    <row r="24" spans="2:22" ht="16.5" customHeight="1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V24" s="1"/>
    </row>
    <row r="25" spans="2:2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V25" s="1"/>
    </row>
    <row r="26" spans="2:2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V26" s="1"/>
    </row>
    <row r="27" spans="2:2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V27" s="1"/>
    </row>
    <row r="28" spans="2:2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V28" s="1"/>
    </row>
    <row r="29" spans="2:2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V29" s="1"/>
    </row>
    <row r="30" spans="2:2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V30" s="1"/>
    </row>
    <row r="31" spans="2:2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V31" s="1"/>
    </row>
    <row r="32" spans="2:2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V32" s="1"/>
    </row>
    <row r="33" spans="2:2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V33" s="1"/>
    </row>
    <row r="34" spans="2:2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V34" s="1"/>
    </row>
    <row r="35" spans="2:2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V35" s="1"/>
    </row>
    <row r="36" spans="2:2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V36" s="1"/>
    </row>
    <row r="37" spans="2:2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V37" s="1"/>
    </row>
    <row r="38" spans="2:22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22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22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22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22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22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22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22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22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22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22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177</v>
      </c>
      <c r="C1" s="77" t="s" vm="1">
        <v>247</v>
      </c>
    </row>
    <row r="2" spans="2:59">
      <c r="B2" s="56" t="s">
        <v>176</v>
      </c>
      <c r="C2" s="77" t="s">
        <v>248</v>
      </c>
    </row>
    <row r="3" spans="2:59">
      <c r="B3" s="56" t="s">
        <v>178</v>
      </c>
      <c r="C3" s="77" t="s">
        <v>249</v>
      </c>
    </row>
    <row r="4" spans="2:59">
      <c r="B4" s="56" t="s">
        <v>179</v>
      </c>
      <c r="C4" s="77">
        <v>2144</v>
      </c>
    </row>
    <row r="6" spans="2:59" ht="26.25" customHeight="1">
      <c r="B6" s="195" t="s">
        <v>208</v>
      </c>
      <c r="C6" s="196"/>
      <c r="D6" s="196"/>
      <c r="E6" s="196"/>
      <c r="F6" s="196"/>
      <c r="G6" s="196"/>
      <c r="H6" s="196"/>
      <c r="I6" s="196"/>
      <c r="J6" s="196"/>
      <c r="K6" s="196"/>
      <c r="L6" s="197"/>
    </row>
    <row r="7" spans="2:59" ht="26.25" customHeight="1">
      <c r="B7" s="195" t="s">
        <v>95</v>
      </c>
      <c r="C7" s="196"/>
      <c r="D7" s="196"/>
      <c r="E7" s="196"/>
      <c r="F7" s="196"/>
      <c r="G7" s="196"/>
      <c r="H7" s="196"/>
      <c r="I7" s="196"/>
      <c r="J7" s="196"/>
      <c r="K7" s="196"/>
      <c r="L7" s="197"/>
    </row>
    <row r="8" spans="2:59" s="3" customFormat="1" ht="78.75">
      <c r="B8" s="22" t="s">
        <v>114</v>
      </c>
      <c r="C8" s="30" t="s">
        <v>43</v>
      </c>
      <c r="D8" s="30" t="s">
        <v>60</v>
      </c>
      <c r="E8" s="30" t="s">
        <v>99</v>
      </c>
      <c r="F8" s="30" t="s">
        <v>100</v>
      </c>
      <c r="G8" s="30" t="s">
        <v>231</v>
      </c>
      <c r="H8" s="30" t="s">
        <v>230</v>
      </c>
      <c r="I8" s="30" t="s">
        <v>108</v>
      </c>
      <c r="J8" s="30" t="s">
        <v>56</v>
      </c>
      <c r="K8" s="30" t="s">
        <v>180</v>
      </c>
      <c r="L8" s="31" t="s">
        <v>182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238</v>
      </c>
      <c r="H9" s="16"/>
      <c r="I9" s="16" t="s">
        <v>234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"/>
      <c r="N11" s="1"/>
      <c r="O11" s="1"/>
      <c r="P11" s="1"/>
      <c r="BG11" s="1"/>
    </row>
    <row r="12" spans="2:59" ht="21" customHeight="1">
      <c r="B12" s="115"/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9">
      <c r="B13" s="115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9">
      <c r="B14" s="115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82</v>
      </c>
      <c r="C6" s="13" t="s">
        <v>43</v>
      </c>
      <c r="E6" s="13" t="s">
        <v>115</v>
      </c>
      <c r="I6" s="13" t="s">
        <v>15</v>
      </c>
      <c r="J6" s="13" t="s">
        <v>61</v>
      </c>
      <c r="M6" s="13" t="s">
        <v>99</v>
      </c>
      <c r="Q6" s="13" t="s">
        <v>17</v>
      </c>
      <c r="R6" s="13" t="s">
        <v>19</v>
      </c>
      <c r="U6" s="13" t="s">
        <v>59</v>
      </c>
      <c r="W6" s="14" t="s">
        <v>55</v>
      </c>
    </row>
    <row r="7" spans="2:25" ht="18">
      <c r="B7" s="52" t="str">
        <f>'תעודות התחייבות ממשלתיות'!B6:R6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84</v>
      </c>
      <c r="C8" s="30" t="s">
        <v>43</v>
      </c>
      <c r="D8" s="30" t="s">
        <v>117</v>
      </c>
      <c r="I8" s="30" t="s">
        <v>15</v>
      </c>
      <c r="J8" s="30" t="s">
        <v>61</v>
      </c>
      <c r="K8" s="30" t="s">
        <v>100</v>
      </c>
      <c r="L8" s="30" t="s">
        <v>18</v>
      </c>
      <c r="M8" s="30" t="s">
        <v>99</v>
      </c>
      <c r="Q8" s="30" t="s">
        <v>17</v>
      </c>
      <c r="R8" s="30" t="s">
        <v>19</v>
      </c>
      <c r="S8" s="30" t="s">
        <v>0</v>
      </c>
      <c r="T8" s="30" t="s">
        <v>103</v>
      </c>
      <c r="U8" s="30" t="s">
        <v>59</v>
      </c>
      <c r="V8" s="30" t="s">
        <v>56</v>
      </c>
      <c r="W8" s="31" t="s">
        <v>109</v>
      </c>
    </row>
    <row r="9" spans="2:25" ht="31.5">
      <c r="B9" s="48" t="str">
        <f>'תעודות חוב מסחריות '!B7:T7</f>
        <v>2. תעודות חוב מסחריות</v>
      </c>
      <c r="C9" s="13" t="s">
        <v>43</v>
      </c>
      <c r="D9" s="13" t="s">
        <v>117</v>
      </c>
      <c r="E9" s="41" t="s">
        <v>115</v>
      </c>
      <c r="G9" s="13" t="s">
        <v>60</v>
      </c>
      <c r="I9" s="13" t="s">
        <v>15</v>
      </c>
      <c r="J9" s="13" t="s">
        <v>61</v>
      </c>
      <c r="K9" s="13" t="s">
        <v>100</v>
      </c>
      <c r="L9" s="13" t="s">
        <v>18</v>
      </c>
      <c r="M9" s="13" t="s">
        <v>99</v>
      </c>
      <c r="Q9" s="13" t="s">
        <v>17</v>
      </c>
      <c r="R9" s="13" t="s">
        <v>19</v>
      </c>
      <c r="S9" s="13" t="s">
        <v>0</v>
      </c>
      <c r="T9" s="13" t="s">
        <v>103</v>
      </c>
      <c r="U9" s="13" t="s">
        <v>59</v>
      </c>
      <c r="V9" s="13" t="s">
        <v>56</v>
      </c>
      <c r="W9" s="38" t="s">
        <v>109</v>
      </c>
    </row>
    <row r="10" spans="2:25" ht="31.5">
      <c r="B10" s="48" t="str">
        <f>'אג"ח קונצרני'!B7:U7</f>
        <v>3. אג"ח קונצרני</v>
      </c>
      <c r="C10" s="30" t="s">
        <v>43</v>
      </c>
      <c r="D10" s="13" t="s">
        <v>117</v>
      </c>
      <c r="E10" s="41" t="s">
        <v>115</v>
      </c>
      <c r="G10" s="30" t="s">
        <v>60</v>
      </c>
      <c r="I10" s="30" t="s">
        <v>15</v>
      </c>
      <c r="J10" s="30" t="s">
        <v>61</v>
      </c>
      <c r="K10" s="30" t="s">
        <v>100</v>
      </c>
      <c r="L10" s="30" t="s">
        <v>18</v>
      </c>
      <c r="M10" s="30" t="s">
        <v>99</v>
      </c>
      <c r="Q10" s="30" t="s">
        <v>17</v>
      </c>
      <c r="R10" s="30" t="s">
        <v>19</v>
      </c>
      <c r="S10" s="30" t="s">
        <v>0</v>
      </c>
      <c r="T10" s="30" t="s">
        <v>103</v>
      </c>
      <c r="U10" s="30" t="s">
        <v>59</v>
      </c>
      <c r="V10" s="13" t="s">
        <v>56</v>
      </c>
      <c r="W10" s="31" t="s">
        <v>109</v>
      </c>
    </row>
    <row r="11" spans="2:25" ht="31.5">
      <c r="B11" s="48" t="str">
        <f>מניות!B7</f>
        <v>4. מניות</v>
      </c>
      <c r="C11" s="30" t="s">
        <v>43</v>
      </c>
      <c r="D11" s="13" t="s">
        <v>117</v>
      </c>
      <c r="E11" s="41" t="s">
        <v>115</v>
      </c>
      <c r="H11" s="30" t="s">
        <v>99</v>
      </c>
      <c r="S11" s="30" t="s">
        <v>0</v>
      </c>
      <c r="T11" s="13" t="s">
        <v>103</v>
      </c>
      <c r="U11" s="13" t="s">
        <v>59</v>
      </c>
      <c r="V11" s="13" t="s">
        <v>56</v>
      </c>
      <c r="W11" s="14" t="s">
        <v>109</v>
      </c>
    </row>
    <row r="12" spans="2:25" ht="31.5">
      <c r="B12" s="48" t="str">
        <f>'תעודות סל'!B7:N7</f>
        <v>5. תעודות סל</v>
      </c>
      <c r="C12" s="30" t="s">
        <v>43</v>
      </c>
      <c r="D12" s="13" t="s">
        <v>117</v>
      </c>
      <c r="E12" s="41" t="s">
        <v>115</v>
      </c>
      <c r="H12" s="30" t="s">
        <v>99</v>
      </c>
      <c r="S12" s="30" t="s">
        <v>0</v>
      </c>
      <c r="T12" s="30" t="s">
        <v>103</v>
      </c>
      <c r="U12" s="30" t="s">
        <v>59</v>
      </c>
      <c r="V12" s="30" t="s">
        <v>56</v>
      </c>
      <c r="W12" s="31" t="s">
        <v>109</v>
      </c>
    </row>
    <row r="13" spans="2:25" ht="31.5">
      <c r="B13" s="48" t="str">
        <f>'קרנות נאמנות'!B7:O7</f>
        <v>6. קרנות נאמנות</v>
      </c>
      <c r="C13" s="30" t="s">
        <v>43</v>
      </c>
      <c r="D13" s="30" t="s">
        <v>117</v>
      </c>
      <c r="G13" s="30" t="s">
        <v>60</v>
      </c>
      <c r="H13" s="30" t="s">
        <v>99</v>
      </c>
      <c r="S13" s="30" t="s">
        <v>0</v>
      </c>
      <c r="T13" s="30" t="s">
        <v>103</v>
      </c>
      <c r="U13" s="30" t="s">
        <v>59</v>
      </c>
      <c r="V13" s="30" t="s">
        <v>56</v>
      </c>
      <c r="W13" s="31" t="s">
        <v>109</v>
      </c>
    </row>
    <row r="14" spans="2:25" ht="31.5">
      <c r="B14" s="48" t="str">
        <f>'כתבי אופציה'!B7:L7</f>
        <v>7. כתבי אופציה</v>
      </c>
      <c r="C14" s="30" t="s">
        <v>43</v>
      </c>
      <c r="D14" s="30" t="s">
        <v>117</v>
      </c>
      <c r="G14" s="30" t="s">
        <v>60</v>
      </c>
      <c r="H14" s="30" t="s">
        <v>99</v>
      </c>
      <c r="S14" s="30" t="s">
        <v>0</v>
      </c>
      <c r="T14" s="30" t="s">
        <v>103</v>
      </c>
      <c r="U14" s="30" t="s">
        <v>59</v>
      </c>
      <c r="V14" s="30" t="s">
        <v>56</v>
      </c>
      <c r="W14" s="31" t="s">
        <v>109</v>
      </c>
    </row>
    <row r="15" spans="2:25" ht="31.5">
      <c r="B15" s="48" t="str">
        <f>אופציות!B7</f>
        <v>8. אופציות</v>
      </c>
      <c r="C15" s="30" t="s">
        <v>43</v>
      </c>
      <c r="D15" s="30" t="s">
        <v>117</v>
      </c>
      <c r="G15" s="30" t="s">
        <v>60</v>
      </c>
      <c r="H15" s="30" t="s">
        <v>99</v>
      </c>
      <c r="S15" s="30" t="s">
        <v>0</v>
      </c>
      <c r="T15" s="30" t="s">
        <v>103</v>
      </c>
      <c r="U15" s="30" t="s">
        <v>59</v>
      </c>
      <c r="V15" s="30" t="s">
        <v>56</v>
      </c>
      <c r="W15" s="31" t="s">
        <v>109</v>
      </c>
    </row>
    <row r="16" spans="2:25" ht="31.5">
      <c r="B16" s="48" t="str">
        <f>'חוזים עתידיים'!B7:I7</f>
        <v>9. חוזים עתידיים</v>
      </c>
      <c r="C16" s="30" t="s">
        <v>43</v>
      </c>
      <c r="D16" s="30" t="s">
        <v>117</v>
      </c>
      <c r="G16" s="30" t="s">
        <v>60</v>
      </c>
      <c r="H16" s="30" t="s">
        <v>99</v>
      </c>
      <c r="S16" s="30" t="s">
        <v>0</v>
      </c>
      <c r="T16" s="31" t="s">
        <v>103</v>
      </c>
    </row>
    <row r="17" spans="2:25" ht="31.5">
      <c r="B17" s="48" t="str">
        <f>'מוצרים מובנים'!B7:Q7</f>
        <v>10. מוצרים מובנים</v>
      </c>
      <c r="C17" s="30" t="s">
        <v>43</v>
      </c>
      <c r="F17" s="13" t="s">
        <v>47</v>
      </c>
      <c r="I17" s="30" t="s">
        <v>15</v>
      </c>
      <c r="J17" s="30" t="s">
        <v>61</v>
      </c>
      <c r="K17" s="30" t="s">
        <v>100</v>
      </c>
      <c r="L17" s="30" t="s">
        <v>18</v>
      </c>
      <c r="M17" s="30" t="s">
        <v>99</v>
      </c>
      <c r="Q17" s="30" t="s">
        <v>17</v>
      </c>
      <c r="R17" s="30" t="s">
        <v>19</v>
      </c>
      <c r="S17" s="30" t="s">
        <v>0</v>
      </c>
      <c r="T17" s="30" t="s">
        <v>103</v>
      </c>
      <c r="U17" s="30" t="s">
        <v>59</v>
      </c>
      <c r="V17" s="30" t="s">
        <v>56</v>
      </c>
      <c r="W17" s="31" t="s">
        <v>109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43</v>
      </c>
      <c r="I19" s="30" t="s">
        <v>15</v>
      </c>
      <c r="J19" s="30" t="s">
        <v>61</v>
      </c>
      <c r="K19" s="30" t="s">
        <v>100</v>
      </c>
      <c r="L19" s="30" t="s">
        <v>18</v>
      </c>
      <c r="M19" s="30" t="s">
        <v>99</v>
      </c>
      <c r="Q19" s="30" t="s">
        <v>17</v>
      </c>
      <c r="R19" s="30" t="s">
        <v>19</v>
      </c>
      <c r="S19" s="30" t="s">
        <v>0</v>
      </c>
      <c r="T19" s="30" t="s">
        <v>103</v>
      </c>
      <c r="U19" s="30" t="s">
        <v>108</v>
      </c>
      <c r="V19" s="30" t="s">
        <v>56</v>
      </c>
      <c r="W19" s="31" t="s">
        <v>109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43</v>
      </c>
      <c r="D20" s="41" t="s">
        <v>116</v>
      </c>
      <c r="E20" s="41" t="s">
        <v>115</v>
      </c>
      <c r="G20" s="30" t="s">
        <v>60</v>
      </c>
      <c r="I20" s="30" t="s">
        <v>15</v>
      </c>
      <c r="J20" s="30" t="s">
        <v>61</v>
      </c>
      <c r="K20" s="30" t="s">
        <v>100</v>
      </c>
      <c r="L20" s="30" t="s">
        <v>18</v>
      </c>
      <c r="M20" s="30" t="s">
        <v>99</v>
      </c>
      <c r="Q20" s="30" t="s">
        <v>17</v>
      </c>
      <c r="R20" s="30" t="s">
        <v>19</v>
      </c>
      <c r="S20" s="30" t="s">
        <v>0</v>
      </c>
      <c r="T20" s="30" t="s">
        <v>103</v>
      </c>
      <c r="U20" s="30" t="s">
        <v>108</v>
      </c>
      <c r="V20" s="30" t="s">
        <v>56</v>
      </c>
      <c r="W20" s="31" t="s">
        <v>109</v>
      </c>
    </row>
    <row r="21" spans="2:25" ht="31.5">
      <c r="B21" s="48" t="str">
        <f>'לא סחיר - אג"ח קונצרני'!B7:S7</f>
        <v>3. אג"ח קונצרני</v>
      </c>
      <c r="C21" s="30" t="s">
        <v>43</v>
      </c>
      <c r="D21" s="41" t="s">
        <v>116</v>
      </c>
      <c r="E21" s="41" t="s">
        <v>115</v>
      </c>
      <c r="G21" s="30" t="s">
        <v>60</v>
      </c>
      <c r="I21" s="30" t="s">
        <v>15</v>
      </c>
      <c r="J21" s="30" t="s">
        <v>61</v>
      </c>
      <c r="K21" s="30" t="s">
        <v>100</v>
      </c>
      <c r="L21" s="30" t="s">
        <v>18</v>
      </c>
      <c r="M21" s="30" t="s">
        <v>99</v>
      </c>
      <c r="Q21" s="30" t="s">
        <v>17</v>
      </c>
      <c r="R21" s="30" t="s">
        <v>19</v>
      </c>
      <c r="S21" s="30" t="s">
        <v>0</v>
      </c>
      <c r="T21" s="30" t="s">
        <v>103</v>
      </c>
      <c r="U21" s="30" t="s">
        <v>108</v>
      </c>
      <c r="V21" s="30" t="s">
        <v>56</v>
      </c>
      <c r="W21" s="31" t="s">
        <v>109</v>
      </c>
    </row>
    <row r="22" spans="2:25" ht="31.5">
      <c r="B22" s="48" t="str">
        <f>'לא סחיר - מניות'!B7:M7</f>
        <v>4. מניות</v>
      </c>
      <c r="C22" s="30" t="s">
        <v>43</v>
      </c>
      <c r="D22" s="41" t="s">
        <v>116</v>
      </c>
      <c r="E22" s="41" t="s">
        <v>115</v>
      </c>
      <c r="G22" s="30" t="s">
        <v>60</v>
      </c>
      <c r="H22" s="30" t="s">
        <v>99</v>
      </c>
      <c r="S22" s="30" t="s">
        <v>0</v>
      </c>
      <c r="T22" s="30" t="s">
        <v>103</v>
      </c>
      <c r="U22" s="30" t="s">
        <v>108</v>
      </c>
      <c r="V22" s="30" t="s">
        <v>56</v>
      </c>
      <c r="W22" s="31" t="s">
        <v>109</v>
      </c>
    </row>
    <row r="23" spans="2:25" ht="31.5">
      <c r="B23" s="48" t="str">
        <f>'לא סחיר - קרנות השקעה'!B7:K7</f>
        <v>5. קרנות השקעה</v>
      </c>
      <c r="C23" s="30" t="s">
        <v>43</v>
      </c>
      <c r="G23" s="30" t="s">
        <v>60</v>
      </c>
      <c r="H23" s="30" t="s">
        <v>99</v>
      </c>
      <c r="K23" s="30" t="s">
        <v>100</v>
      </c>
      <c r="S23" s="30" t="s">
        <v>0</v>
      </c>
      <c r="T23" s="30" t="s">
        <v>103</v>
      </c>
      <c r="U23" s="30" t="s">
        <v>108</v>
      </c>
      <c r="V23" s="30" t="s">
        <v>56</v>
      </c>
      <c r="W23" s="31" t="s">
        <v>109</v>
      </c>
    </row>
    <row r="24" spans="2:25" ht="31.5">
      <c r="B24" s="48" t="str">
        <f>'לא סחיר - כתבי אופציה'!B7:L7</f>
        <v>6. כתבי אופציה</v>
      </c>
      <c r="C24" s="30" t="s">
        <v>43</v>
      </c>
      <c r="G24" s="30" t="s">
        <v>60</v>
      </c>
      <c r="H24" s="30" t="s">
        <v>99</v>
      </c>
      <c r="K24" s="30" t="s">
        <v>100</v>
      </c>
      <c r="S24" s="30" t="s">
        <v>0</v>
      </c>
      <c r="T24" s="30" t="s">
        <v>103</v>
      </c>
      <c r="U24" s="30" t="s">
        <v>108</v>
      </c>
      <c r="V24" s="30" t="s">
        <v>56</v>
      </c>
      <c r="W24" s="31" t="s">
        <v>109</v>
      </c>
    </row>
    <row r="25" spans="2:25" ht="31.5">
      <c r="B25" s="48" t="str">
        <f>'לא סחיר - אופציות'!B7:L7</f>
        <v>7. אופציות</v>
      </c>
      <c r="C25" s="30" t="s">
        <v>43</v>
      </c>
      <c r="G25" s="30" t="s">
        <v>60</v>
      </c>
      <c r="H25" s="30" t="s">
        <v>99</v>
      </c>
      <c r="K25" s="30" t="s">
        <v>100</v>
      </c>
      <c r="S25" s="30" t="s">
        <v>0</v>
      </c>
      <c r="T25" s="30" t="s">
        <v>103</v>
      </c>
      <c r="U25" s="30" t="s">
        <v>108</v>
      </c>
      <c r="V25" s="30" t="s">
        <v>56</v>
      </c>
      <c r="W25" s="31" t="s">
        <v>109</v>
      </c>
    </row>
    <row r="26" spans="2:25" ht="31.5">
      <c r="B26" s="48" t="str">
        <f>'לא סחיר - חוזים עתידיים'!B7:K7</f>
        <v>8. חוזים עתידיים</v>
      </c>
      <c r="C26" s="30" t="s">
        <v>43</v>
      </c>
      <c r="G26" s="30" t="s">
        <v>60</v>
      </c>
      <c r="H26" s="30" t="s">
        <v>99</v>
      </c>
      <c r="K26" s="30" t="s">
        <v>100</v>
      </c>
      <c r="S26" s="30" t="s">
        <v>0</v>
      </c>
      <c r="T26" s="30" t="s">
        <v>103</v>
      </c>
      <c r="U26" s="30" t="s">
        <v>108</v>
      </c>
      <c r="V26" s="31" t="s">
        <v>109</v>
      </c>
    </row>
    <row r="27" spans="2:25" ht="31.5">
      <c r="B27" s="48" t="str">
        <f>'לא סחיר - מוצרים מובנים'!B7:Q7</f>
        <v>9. מוצרים מובנים</v>
      </c>
      <c r="C27" s="30" t="s">
        <v>43</v>
      </c>
      <c r="F27" s="30" t="s">
        <v>47</v>
      </c>
      <c r="I27" s="30" t="s">
        <v>15</v>
      </c>
      <c r="J27" s="30" t="s">
        <v>61</v>
      </c>
      <c r="K27" s="30" t="s">
        <v>100</v>
      </c>
      <c r="L27" s="30" t="s">
        <v>18</v>
      </c>
      <c r="M27" s="30" t="s">
        <v>99</v>
      </c>
      <c r="Q27" s="30" t="s">
        <v>17</v>
      </c>
      <c r="R27" s="30" t="s">
        <v>19</v>
      </c>
      <c r="S27" s="30" t="s">
        <v>0</v>
      </c>
      <c r="T27" s="30" t="s">
        <v>103</v>
      </c>
      <c r="U27" s="30" t="s">
        <v>108</v>
      </c>
      <c r="V27" s="30" t="s">
        <v>56</v>
      </c>
      <c r="W27" s="31" t="s">
        <v>109</v>
      </c>
    </row>
    <row r="28" spans="2:25" ht="31.5">
      <c r="B28" s="52" t="str">
        <f>הלוואות!B6</f>
        <v>1.ד. הלוואות:</v>
      </c>
      <c r="C28" s="30" t="s">
        <v>43</v>
      </c>
      <c r="I28" s="30" t="s">
        <v>15</v>
      </c>
      <c r="J28" s="30" t="s">
        <v>61</v>
      </c>
      <c r="L28" s="30" t="s">
        <v>18</v>
      </c>
      <c r="M28" s="30" t="s">
        <v>99</v>
      </c>
      <c r="Q28" s="13" t="s">
        <v>33</v>
      </c>
      <c r="R28" s="30" t="s">
        <v>19</v>
      </c>
      <c r="S28" s="30" t="s">
        <v>0</v>
      </c>
      <c r="T28" s="30" t="s">
        <v>103</v>
      </c>
      <c r="U28" s="30" t="s">
        <v>108</v>
      </c>
      <c r="V28" s="31" t="s">
        <v>109</v>
      </c>
    </row>
    <row r="29" spans="2:25" ht="47.25">
      <c r="B29" s="52" t="str">
        <f>'פקדונות מעל 3 חודשים'!B6:O6</f>
        <v>1.ה. פקדונות מעל 3 חודשים:</v>
      </c>
      <c r="C29" s="30" t="s">
        <v>43</v>
      </c>
      <c r="E29" s="30" t="s">
        <v>115</v>
      </c>
      <c r="I29" s="30" t="s">
        <v>15</v>
      </c>
      <c r="J29" s="30" t="s">
        <v>61</v>
      </c>
      <c r="L29" s="30" t="s">
        <v>18</v>
      </c>
      <c r="M29" s="30" t="s">
        <v>99</v>
      </c>
      <c r="O29" s="49" t="s">
        <v>49</v>
      </c>
      <c r="P29" s="50"/>
      <c r="R29" s="30" t="s">
        <v>19</v>
      </c>
      <c r="S29" s="30" t="s">
        <v>0</v>
      </c>
      <c r="T29" s="30" t="s">
        <v>103</v>
      </c>
      <c r="U29" s="30" t="s">
        <v>108</v>
      </c>
      <c r="V29" s="31" t="s">
        <v>109</v>
      </c>
    </row>
    <row r="30" spans="2:25" ht="63">
      <c r="B30" s="52" t="str">
        <f>'זכויות מקרקעין'!B6</f>
        <v>1. ו. זכויות במקרקעין:</v>
      </c>
      <c r="C30" s="13" t="s">
        <v>51</v>
      </c>
      <c r="N30" s="49" t="s">
        <v>83</v>
      </c>
      <c r="P30" s="50" t="s">
        <v>52</v>
      </c>
      <c r="U30" s="30" t="s">
        <v>108</v>
      </c>
      <c r="V30" s="14" t="s">
        <v>55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54</v>
      </c>
      <c r="R31" s="13" t="s">
        <v>50</v>
      </c>
      <c r="U31" s="30" t="s">
        <v>108</v>
      </c>
      <c r="V31" s="14" t="s">
        <v>55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105</v>
      </c>
      <c r="Y32" s="14" t="s">
        <v>104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177</v>
      </c>
      <c r="C1" s="77" t="s" vm="1">
        <v>247</v>
      </c>
    </row>
    <row r="2" spans="2:54">
      <c r="B2" s="56" t="s">
        <v>176</v>
      </c>
      <c r="C2" s="77" t="s">
        <v>248</v>
      </c>
    </row>
    <row r="3" spans="2:54">
      <c r="B3" s="56" t="s">
        <v>178</v>
      </c>
      <c r="C3" s="77" t="s">
        <v>249</v>
      </c>
    </row>
    <row r="4" spans="2:54">
      <c r="B4" s="56" t="s">
        <v>179</v>
      </c>
      <c r="C4" s="77">
        <v>2144</v>
      </c>
    </row>
    <row r="6" spans="2:54" ht="26.25" customHeight="1">
      <c r="B6" s="195" t="s">
        <v>208</v>
      </c>
      <c r="C6" s="196"/>
      <c r="D6" s="196"/>
      <c r="E6" s="196"/>
      <c r="F6" s="196"/>
      <c r="G6" s="196"/>
      <c r="H6" s="196"/>
      <c r="I6" s="196"/>
      <c r="J6" s="196"/>
      <c r="K6" s="196"/>
      <c r="L6" s="197"/>
    </row>
    <row r="7" spans="2:54" ht="26.25" customHeight="1">
      <c r="B7" s="195" t="s">
        <v>96</v>
      </c>
      <c r="C7" s="196"/>
      <c r="D7" s="196"/>
      <c r="E7" s="196"/>
      <c r="F7" s="196"/>
      <c r="G7" s="196"/>
      <c r="H7" s="196"/>
      <c r="I7" s="196"/>
      <c r="J7" s="196"/>
      <c r="K7" s="196"/>
      <c r="L7" s="197"/>
    </row>
    <row r="8" spans="2:54" s="3" customFormat="1" ht="78.75">
      <c r="B8" s="22" t="s">
        <v>114</v>
      </c>
      <c r="C8" s="30" t="s">
        <v>43</v>
      </c>
      <c r="D8" s="30" t="s">
        <v>60</v>
      </c>
      <c r="E8" s="30" t="s">
        <v>99</v>
      </c>
      <c r="F8" s="30" t="s">
        <v>100</v>
      </c>
      <c r="G8" s="30" t="s">
        <v>231</v>
      </c>
      <c r="H8" s="30" t="s">
        <v>230</v>
      </c>
      <c r="I8" s="30" t="s">
        <v>108</v>
      </c>
      <c r="J8" s="30" t="s">
        <v>56</v>
      </c>
      <c r="K8" s="30" t="s">
        <v>180</v>
      </c>
      <c r="L8" s="31" t="s">
        <v>182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238</v>
      </c>
      <c r="H9" s="16"/>
      <c r="I9" s="16" t="s">
        <v>234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246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110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229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237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Y564"/>
  <sheetViews>
    <sheetView rightToLeft="1" workbookViewId="0">
      <selection activeCell="E30" sqref="A30:E30"/>
    </sheetView>
  </sheetViews>
  <sheetFormatPr defaultColWidth="9.140625" defaultRowHeight="18"/>
  <cols>
    <col min="1" max="1" width="6.28515625" style="1" customWidth="1"/>
    <col min="2" max="2" width="26.140625" style="2" bestFit="1" customWidth="1"/>
    <col min="3" max="3" width="41.710937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177</v>
      </c>
      <c r="C1" s="77" t="s" vm="1">
        <v>247</v>
      </c>
    </row>
    <row r="2" spans="2:51">
      <c r="B2" s="56" t="s">
        <v>176</v>
      </c>
      <c r="C2" s="77" t="s">
        <v>248</v>
      </c>
    </row>
    <row r="3" spans="2:51">
      <c r="B3" s="56" t="s">
        <v>178</v>
      </c>
      <c r="C3" s="77" t="s">
        <v>249</v>
      </c>
    </row>
    <row r="4" spans="2:51">
      <c r="B4" s="56" t="s">
        <v>179</v>
      </c>
      <c r="C4" s="77">
        <v>2144</v>
      </c>
    </row>
    <row r="6" spans="2:51" ht="26.25" customHeight="1">
      <c r="B6" s="195" t="s">
        <v>208</v>
      </c>
      <c r="C6" s="196"/>
      <c r="D6" s="196"/>
      <c r="E6" s="196"/>
      <c r="F6" s="196"/>
      <c r="G6" s="196"/>
      <c r="H6" s="196"/>
      <c r="I6" s="196"/>
      <c r="J6" s="196"/>
      <c r="K6" s="197"/>
    </row>
    <row r="7" spans="2:51" ht="26.25" customHeight="1">
      <c r="B7" s="195" t="s">
        <v>97</v>
      </c>
      <c r="C7" s="196"/>
      <c r="D7" s="196"/>
      <c r="E7" s="196"/>
      <c r="F7" s="196"/>
      <c r="G7" s="196"/>
      <c r="H7" s="196"/>
      <c r="I7" s="196"/>
      <c r="J7" s="196"/>
      <c r="K7" s="197"/>
    </row>
    <row r="8" spans="2:51" s="3" customFormat="1" ht="63">
      <c r="B8" s="22" t="s">
        <v>114</v>
      </c>
      <c r="C8" s="30" t="s">
        <v>43</v>
      </c>
      <c r="D8" s="30" t="s">
        <v>60</v>
      </c>
      <c r="E8" s="30" t="s">
        <v>99</v>
      </c>
      <c r="F8" s="30" t="s">
        <v>100</v>
      </c>
      <c r="G8" s="30" t="s">
        <v>231</v>
      </c>
      <c r="H8" s="30" t="s">
        <v>230</v>
      </c>
      <c r="I8" s="30" t="s">
        <v>108</v>
      </c>
      <c r="J8" s="30" t="s">
        <v>180</v>
      </c>
      <c r="K8" s="31" t="s">
        <v>182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238</v>
      </c>
      <c r="H9" s="16"/>
      <c r="I9" s="16" t="s">
        <v>234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20" t="s">
        <v>46</v>
      </c>
      <c r="C11" s="121"/>
      <c r="D11" s="121"/>
      <c r="E11" s="121"/>
      <c r="F11" s="121"/>
      <c r="G11" s="122"/>
      <c r="H11" s="126"/>
      <c r="I11" s="122">
        <v>-555.1483199999999</v>
      </c>
      <c r="J11" s="123">
        <f>I11/$I$11</f>
        <v>1</v>
      </c>
      <c r="K11" s="123">
        <f>I11/'סכום נכסי הקרן'!$C$42</f>
        <v>-2.4621404695356832E-3</v>
      </c>
      <c r="AW11" s="99"/>
    </row>
    <row r="12" spans="2:51" s="99" customFormat="1" ht="19.5" customHeight="1">
      <c r="B12" s="124" t="s">
        <v>32</v>
      </c>
      <c r="C12" s="121"/>
      <c r="D12" s="121"/>
      <c r="E12" s="121"/>
      <c r="F12" s="121"/>
      <c r="G12" s="122"/>
      <c r="H12" s="126"/>
      <c r="I12" s="122">
        <v>-555.1483199999999</v>
      </c>
      <c r="J12" s="123">
        <f t="shared" ref="J12:J20" si="0">I12/$I$11</f>
        <v>1</v>
      </c>
      <c r="K12" s="123">
        <f>I12/'סכום נכסי הקרן'!$C$42</f>
        <v>-2.4621404695356832E-3</v>
      </c>
    </row>
    <row r="13" spans="2:51">
      <c r="B13" s="101" t="s">
        <v>1132</v>
      </c>
      <c r="C13" s="81"/>
      <c r="D13" s="81"/>
      <c r="E13" s="81"/>
      <c r="F13" s="81"/>
      <c r="G13" s="90"/>
      <c r="H13" s="92"/>
      <c r="I13" s="90">
        <v>-561.89814000000001</v>
      </c>
      <c r="J13" s="91">
        <f t="shared" si="0"/>
        <v>1.0121585885372042</v>
      </c>
      <c r="K13" s="91">
        <f>I13/'סכום נכסי הקרן'!$C$42</f>
        <v>-2.4920766224255661E-3</v>
      </c>
    </row>
    <row r="14" spans="2:51">
      <c r="B14" s="86" t="s">
        <v>1133</v>
      </c>
      <c r="C14" s="83" t="s">
        <v>1134</v>
      </c>
      <c r="D14" s="96" t="s">
        <v>1131</v>
      </c>
      <c r="E14" s="96" t="s">
        <v>161</v>
      </c>
      <c r="F14" s="105">
        <v>43433</v>
      </c>
      <c r="G14" s="93">
        <v>1816000</v>
      </c>
      <c r="H14" s="95">
        <v>-1.1575</v>
      </c>
      <c r="I14" s="93">
        <v>-21.019470000000002</v>
      </c>
      <c r="J14" s="94">
        <f t="shared" si="0"/>
        <v>3.786280034135743E-2</v>
      </c>
      <c r="K14" s="94">
        <f>I14/'סכום נכסי הקרן'!$C$42</f>
        <v>-9.3223533010405627E-5</v>
      </c>
    </row>
    <row r="15" spans="2:51">
      <c r="B15" s="86" t="s">
        <v>1133</v>
      </c>
      <c r="C15" s="83" t="s">
        <v>1135</v>
      </c>
      <c r="D15" s="96" t="s">
        <v>1131</v>
      </c>
      <c r="E15" s="96" t="s">
        <v>161</v>
      </c>
      <c r="F15" s="105">
        <v>43396</v>
      </c>
      <c r="G15" s="93">
        <v>360950</v>
      </c>
      <c r="H15" s="95">
        <v>-0.33090000000000003</v>
      </c>
      <c r="I15" s="93">
        <v>-1.1943599999999999</v>
      </c>
      <c r="J15" s="94">
        <f t="shared" si="0"/>
        <v>2.1514250461930609E-3</v>
      </c>
      <c r="K15" s="94">
        <f>I15/'סכום נכסי הקרן'!$C$42</f>
        <v>-5.2971106734046121E-6</v>
      </c>
    </row>
    <row r="16" spans="2:51" s="7" customFormat="1">
      <c r="B16" s="86" t="s">
        <v>1133</v>
      </c>
      <c r="C16" s="83" t="s">
        <v>1136</v>
      </c>
      <c r="D16" s="96" t="s">
        <v>1131</v>
      </c>
      <c r="E16" s="96" t="s">
        <v>161</v>
      </c>
      <c r="F16" s="105">
        <v>43480</v>
      </c>
      <c r="G16" s="93">
        <v>653760</v>
      </c>
      <c r="H16" s="95">
        <v>-0.3957</v>
      </c>
      <c r="I16" s="93">
        <v>-2.5866500000000001</v>
      </c>
      <c r="J16" s="94">
        <f t="shared" si="0"/>
        <v>4.6593854413537637E-3</v>
      </c>
      <c r="K16" s="94">
        <f>I16/'סכום נכסי הקרן'!$C$42</f>
        <v>-1.1472061458322484E-5</v>
      </c>
      <c r="AW16" s="1"/>
      <c r="AY16" s="1"/>
    </row>
    <row r="17" spans="1:51" s="7" customFormat="1">
      <c r="B17" s="86" t="s">
        <v>1133</v>
      </c>
      <c r="C17" s="83" t="s">
        <v>1137</v>
      </c>
      <c r="D17" s="96" t="s">
        <v>1131</v>
      </c>
      <c r="E17" s="96" t="s">
        <v>161</v>
      </c>
      <c r="F17" s="105">
        <v>43269</v>
      </c>
      <c r="G17" s="93">
        <v>1766000</v>
      </c>
      <c r="H17" s="95">
        <v>-2.3073000000000001</v>
      </c>
      <c r="I17" s="93">
        <v>-40.747109999999999</v>
      </c>
      <c r="J17" s="94">
        <f t="shared" si="0"/>
        <v>7.3398600936052563E-2</v>
      </c>
      <c r="K17" s="94">
        <f>I17/'סכום נכסי הקרן'!$C$42</f>
        <v>-1.8071766577195471E-4</v>
      </c>
      <c r="AW17" s="1"/>
      <c r="AY17" s="1"/>
    </row>
    <row r="18" spans="1:51" s="7" customFormat="1">
      <c r="B18" s="86" t="s">
        <v>1133</v>
      </c>
      <c r="C18" s="83" t="s">
        <v>1138</v>
      </c>
      <c r="D18" s="96" t="s">
        <v>1131</v>
      </c>
      <c r="E18" s="96" t="s">
        <v>161</v>
      </c>
      <c r="F18" s="105">
        <v>43255</v>
      </c>
      <c r="G18" s="93">
        <v>11306984</v>
      </c>
      <c r="H18" s="95">
        <v>-4.37</v>
      </c>
      <c r="I18" s="93">
        <v>-494.12028999999995</v>
      </c>
      <c r="J18" s="94">
        <f t="shared" si="0"/>
        <v>0.8900689639122028</v>
      </c>
      <c r="K18" s="94">
        <f>I18/'סכום נכסי הקרן'!$C$42</f>
        <v>-2.1914748167259305E-3</v>
      </c>
      <c r="AW18" s="1"/>
      <c r="AY18" s="1"/>
    </row>
    <row r="19" spans="1:51">
      <c r="B19" s="86" t="s">
        <v>1133</v>
      </c>
      <c r="C19" s="83" t="s">
        <v>1139</v>
      </c>
      <c r="D19" s="96" t="s">
        <v>1131</v>
      </c>
      <c r="E19" s="96" t="s">
        <v>161</v>
      </c>
      <c r="F19" s="105">
        <v>43528</v>
      </c>
      <c r="G19" s="93">
        <v>539190</v>
      </c>
      <c r="H19" s="95">
        <v>-0.34589999999999999</v>
      </c>
      <c r="I19" s="93">
        <v>-1.86524</v>
      </c>
      <c r="J19" s="94">
        <f t="shared" si="0"/>
        <v>3.359894883587147E-3</v>
      </c>
      <c r="K19" s="94">
        <f>I19/'סכום נכסי הקרן'!$C$42</f>
        <v>-8.2725331662657992E-6</v>
      </c>
    </row>
    <row r="20" spans="1:51">
      <c r="B20" s="86" t="s">
        <v>1133</v>
      </c>
      <c r="C20" s="83" t="s">
        <v>1140</v>
      </c>
      <c r="D20" s="96" t="s">
        <v>1131</v>
      </c>
      <c r="E20" s="96" t="s">
        <v>161</v>
      </c>
      <c r="F20" s="105">
        <v>43552</v>
      </c>
      <c r="G20" s="93">
        <v>432480</v>
      </c>
      <c r="H20" s="95">
        <v>-8.4400000000000003E-2</v>
      </c>
      <c r="I20" s="93">
        <v>-0.36501999999999996</v>
      </c>
      <c r="J20" s="94">
        <f t="shared" si="0"/>
        <v>6.575179764571746E-4</v>
      </c>
      <c r="K20" s="94">
        <f>I20/'סכום נכסי הקרן'!$C$42</f>
        <v>-1.6189016192824202E-6</v>
      </c>
    </row>
    <row r="21" spans="1:51">
      <c r="B21" s="82"/>
      <c r="C21" s="83"/>
      <c r="D21" s="83"/>
      <c r="E21" s="83"/>
      <c r="F21" s="83"/>
      <c r="G21" s="93"/>
      <c r="H21" s="95"/>
      <c r="I21" s="83"/>
      <c r="J21" s="94"/>
      <c r="K21" s="83"/>
    </row>
    <row r="22" spans="1:51">
      <c r="B22" s="101" t="s">
        <v>226</v>
      </c>
      <c r="C22" s="81"/>
      <c r="D22" s="81"/>
      <c r="E22" s="81"/>
      <c r="F22" s="81"/>
      <c r="G22" s="90"/>
      <c r="H22" s="92"/>
      <c r="I22" s="90">
        <v>8.7737599999999976</v>
      </c>
      <c r="J22" s="91">
        <f t="shared" ref="J22:J27" si="1">I22/$I$11</f>
        <v>-1.5804352970031504E-2</v>
      </c>
      <c r="K22" s="91">
        <f>I22/'סכום נכסי הקרן'!$C$42</f>
        <v>3.8912537042341034E-5</v>
      </c>
    </row>
    <row r="23" spans="1:51">
      <c r="B23" s="86" t="s">
        <v>1141</v>
      </c>
      <c r="C23" s="83" t="s">
        <v>1142</v>
      </c>
      <c r="D23" s="96" t="s">
        <v>1131</v>
      </c>
      <c r="E23" s="96" t="s">
        <v>164</v>
      </c>
      <c r="F23" s="105">
        <v>43430</v>
      </c>
      <c r="G23" s="93">
        <v>425934</v>
      </c>
      <c r="H23" s="95">
        <v>0.85899999999999999</v>
      </c>
      <c r="I23" s="93">
        <v>3.6587899999999998</v>
      </c>
      <c r="J23" s="94">
        <f t="shared" si="1"/>
        <v>-6.5906531069030352E-3</v>
      </c>
      <c r="K23" s="94">
        <f>I23/'סכום נכסי הקרן'!$C$42</f>
        <v>1.6227113735177051E-5</v>
      </c>
    </row>
    <row r="24" spans="1:51">
      <c r="B24" s="86" t="s">
        <v>1141</v>
      </c>
      <c r="C24" s="83" t="s">
        <v>1143</v>
      </c>
      <c r="D24" s="96" t="s">
        <v>1131</v>
      </c>
      <c r="E24" s="96" t="s">
        <v>163</v>
      </c>
      <c r="F24" s="105">
        <v>43410</v>
      </c>
      <c r="G24" s="93">
        <v>407820</v>
      </c>
      <c r="H24" s="95">
        <v>-3.1655000000000002</v>
      </c>
      <c r="I24" s="93">
        <v>-12.90959</v>
      </c>
      <c r="J24" s="94">
        <f t="shared" si="1"/>
        <v>2.3254307965842356E-2</v>
      </c>
      <c r="K24" s="94">
        <f>I24/'סכום נכסי הקרן'!$C$42</f>
        <v>-5.7255372733746482E-5</v>
      </c>
    </row>
    <row r="25" spans="1:51">
      <c r="B25" s="86" t="s">
        <v>1141</v>
      </c>
      <c r="C25" s="83" t="s">
        <v>1144</v>
      </c>
      <c r="D25" s="96" t="s">
        <v>1131</v>
      </c>
      <c r="E25" s="96" t="s">
        <v>163</v>
      </c>
      <c r="F25" s="105">
        <v>43402</v>
      </c>
      <c r="G25" s="93">
        <v>1158392.3</v>
      </c>
      <c r="H25" s="95">
        <v>2.8858999999999999</v>
      </c>
      <c r="I25" s="93">
        <v>33.429769999999998</v>
      </c>
      <c r="J25" s="94">
        <f t="shared" si="1"/>
        <v>-6.0217727039145151E-2</v>
      </c>
      <c r="K25" s="94">
        <f>I25/'סכום נכסי הקרן'!$C$42</f>
        <v>1.4826450272653244E-4</v>
      </c>
    </row>
    <row r="26" spans="1:51">
      <c r="B26" s="86" t="s">
        <v>1141</v>
      </c>
      <c r="C26" s="83" t="s">
        <v>1145</v>
      </c>
      <c r="D26" s="96" t="s">
        <v>1131</v>
      </c>
      <c r="E26" s="96" t="s">
        <v>163</v>
      </c>
      <c r="F26" s="105">
        <v>43438</v>
      </c>
      <c r="G26" s="93">
        <v>326256</v>
      </c>
      <c r="H26" s="95">
        <v>-2.6309</v>
      </c>
      <c r="I26" s="93">
        <v>-8.58352</v>
      </c>
      <c r="J26" s="94">
        <f t="shared" si="1"/>
        <v>1.5461669775025172E-2</v>
      </c>
      <c r="K26" s="94">
        <f>I26/'סכום נכסי הקרן'!$C$42</f>
        <v>-3.8068802879686158E-5</v>
      </c>
    </row>
    <row r="27" spans="1:51">
      <c r="B27" s="86" t="s">
        <v>1141</v>
      </c>
      <c r="C27" s="83" t="s">
        <v>1146</v>
      </c>
      <c r="D27" s="96" t="s">
        <v>1131</v>
      </c>
      <c r="E27" s="96" t="s">
        <v>164</v>
      </c>
      <c r="F27" s="105">
        <v>43440</v>
      </c>
      <c r="G27" s="93">
        <v>420701.1</v>
      </c>
      <c r="H27" s="95">
        <v>-1.6214999999999999</v>
      </c>
      <c r="I27" s="93">
        <v>-6.8216899999999994</v>
      </c>
      <c r="J27" s="94">
        <f t="shared" si="1"/>
        <v>1.2288049435149152E-2</v>
      </c>
      <c r="K27" s="94">
        <f>I27/'סכום נכסי הקרן'!$C$42</f>
        <v>-3.0254903805935822E-5</v>
      </c>
    </row>
    <row r="28" spans="1:51">
      <c r="B28" s="82"/>
      <c r="C28" s="83"/>
      <c r="D28" s="83"/>
      <c r="E28" s="83"/>
      <c r="F28" s="83"/>
      <c r="G28" s="93"/>
      <c r="H28" s="95"/>
      <c r="I28" s="83"/>
      <c r="J28" s="94"/>
      <c r="K28" s="83"/>
    </row>
    <row r="29" spans="1:51">
      <c r="B29" s="101" t="s">
        <v>225</v>
      </c>
      <c r="C29" s="81"/>
      <c r="D29" s="81"/>
      <c r="E29" s="81"/>
      <c r="F29" s="81"/>
      <c r="G29" s="90"/>
      <c r="H29" s="92"/>
      <c r="I29" s="90">
        <v>-2.0239400000000001</v>
      </c>
      <c r="J29" s="91">
        <f t="shared" ref="J29:J30" si="2">I29/$I$11</f>
        <v>3.6457644328276098E-3</v>
      </c>
      <c r="K29" s="91">
        <f>I29/'סכום נכסי הקרן'!$C$42</f>
        <v>-8.9763841524586652E-6</v>
      </c>
    </row>
    <row r="30" spans="1:51">
      <c r="A30" s="127"/>
      <c r="B30" s="86" t="s">
        <v>1237</v>
      </c>
      <c r="C30" s="83" t="s">
        <v>1147</v>
      </c>
      <c r="D30" s="96" t="s">
        <v>1131</v>
      </c>
      <c r="E30" s="96" t="s">
        <v>162</v>
      </c>
      <c r="F30" s="105">
        <v>43108</v>
      </c>
      <c r="G30" s="93">
        <v>115.22</v>
      </c>
      <c r="H30" s="95">
        <v>995.43420000000003</v>
      </c>
      <c r="I30" s="93">
        <v>-2.0239400000000001</v>
      </c>
      <c r="J30" s="94">
        <f t="shared" si="2"/>
        <v>3.6457644328276098E-3</v>
      </c>
      <c r="K30" s="94">
        <f>I30/'סכום נכסי הקרן'!$C$42</f>
        <v>-8.9763841524586652E-6</v>
      </c>
      <c r="M30" s="86"/>
    </row>
    <row r="31" spans="1:51">
      <c r="B31" s="82"/>
      <c r="C31" s="83"/>
      <c r="D31" s="83"/>
      <c r="E31" s="83"/>
      <c r="F31" s="83"/>
      <c r="G31" s="93"/>
      <c r="H31" s="95"/>
      <c r="I31" s="83"/>
      <c r="J31" s="94"/>
      <c r="K31" s="83"/>
    </row>
    <row r="32" spans="1:5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98" t="s">
        <v>246</v>
      </c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98" t="s">
        <v>110</v>
      </c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98" t="s">
        <v>229</v>
      </c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98" t="s">
        <v>237</v>
      </c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</row>
    <row r="122" spans="2:11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</row>
    <row r="123" spans="2:11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</row>
    <row r="124" spans="2:11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</row>
    <row r="125" spans="2:11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</row>
    <row r="126" spans="2:11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</row>
    <row r="127" spans="2:11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</row>
    <row r="128" spans="2:11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</row>
    <row r="129" spans="2:11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</row>
    <row r="130" spans="2:11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</row>
    <row r="131" spans="2:11">
      <c r="C131" s="1"/>
      <c r="D131" s="1"/>
    </row>
    <row r="132" spans="2:11">
      <c r="C132" s="1"/>
      <c r="D132" s="1"/>
    </row>
    <row r="133" spans="2:11">
      <c r="C133" s="1"/>
      <c r="D133" s="1"/>
    </row>
    <row r="134" spans="2:11">
      <c r="C134" s="1"/>
      <c r="D134" s="1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1:B1048576 AH41:XFD44 D45:XFD1048576 D41:AF44 D1:XFD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177</v>
      </c>
      <c r="C1" s="77" t="s" vm="1">
        <v>247</v>
      </c>
    </row>
    <row r="2" spans="2:78">
      <c r="B2" s="56" t="s">
        <v>176</v>
      </c>
      <c r="C2" s="77" t="s">
        <v>248</v>
      </c>
    </row>
    <row r="3" spans="2:78">
      <c r="B3" s="56" t="s">
        <v>178</v>
      </c>
      <c r="C3" s="77" t="s">
        <v>249</v>
      </c>
    </row>
    <row r="4" spans="2:78">
      <c r="B4" s="56" t="s">
        <v>179</v>
      </c>
      <c r="C4" s="77">
        <v>2144</v>
      </c>
    </row>
    <row r="6" spans="2:78" ht="26.25" customHeight="1">
      <c r="B6" s="195" t="s">
        <v>208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7"/>
    </row>
    <row r="7" spans="2:78" ht="26.25" customHeight="1">
      <c r="B7" s="195" t="s">
        <v>98</v>
      </c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7"/>
    </row>
    <row r="8" spans="2:78" s="3" customFormat="1" ht="47.25">
      <c r="B8" s="22" t="s">
        <v>114</v>
      </c>
      <c r="C8" s="30" t="s">
        <v>43</v>
      </c>
      <c r="D8" s="30" t="s">
        <v>47</v>
      </c>
      <c r="E8" s="30" t="s">
        <v>15</v>
      </c>
      <c r="F8" s="30" t="s">
        <v>61</v>
      </c>
      <c r="G8" s="30" t="s">
        <v>100</v>
      </c>
      <c r="H8" s="30" t="s">
        <v>18</v>
      </c>
      <c r="I8" s="30" t="s">
        <v>99</v>
      </c>
      <c r="J8" s="30" t="s">
        <v>17</v>
      </c>
      <c r="K8" s="30" t="s">
        <v>19</v>
      </c>
      <c r="L8" s="30" t="s">
        <v>231</v>
      </c>
      <c r="M8" s="30" t="s">
        <v>230</v>
      </c>
      <c r="N8" s="30" t="s">
        <v>108</v>
      </c>
      <c r="O8" s="30" t="s">
        <v>56</v>
      </c>
      <c r="P8" s="30" t="s">
        <v>180</v>
      </c>
      <c r="Q8" s="31" t="s">
        <v>182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238</v>
      </c>
      <c r="M9" s="16"/>
      <c r="N9" s="16" t="s">
        <v>234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111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246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110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229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237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6" type="noConversion"/>
  <conditionalFormatting sqref="B16:B110">
    <cfRule type="cellIs" dxfId="10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Z103"/>
  <sheetViews>
    <sheetView rightToLeft="1" zoomScale="90" zoomScaleNormal="90" workbookViewId="0">
      <selection activeCell="P12" sqref="P12"/>
    </sheetView>
  </sheetViews>
  <sheetFormatPr defaultColWidth="9.140625" defaultRowHeight="18"/>
  <cols>
    <col min="1" max="1" width="6.28515625" style="1" customWidth="1"/>
    <col min="2" max="2" width="46" style="2" bestFit="1" customWidth="1"/>
    <col min="3" max="3" width="41.7109375" style="2" bestFit="1" customWidth="1"/>
    <col min="4" max="4" width="10.140625" style="2" bestFit="1" customWidth="1"/>
    <col min="5" max="5" width="11.28515625" style="2" bestFit="1" customWidth="1"/>
    <col min="6" max="6" width="6.4257812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2">
      <c r="B1" s="56" t="s">
        <v>177</v>
      </c>
      <c r="C1" s="77" t="s" vm="1">
        <v>247</v>
      </c>
    </row>
    <row r="2" spans="2:52">
      <c r="B2" s="56" t="s">
        <v>176</v>
      </c>
      <c r="C2" s="77" t="s">
        <v>248</v>
      </c>
    </row>
    <row r="3" spans="2:52">
      <c r="B3" s="56" t="s">
        <v>178</v>
      </c>
      <c r="C3" s="77" t="s">
        <v>249</v>
      </c>
    </row>
    <row r="4" spans="2:52">
      <c r="B4" s="56" t="s">
        <v>179</v>
      </c>
      <c r="C4" s="77">
        <v>2144</v>
      </c>
    </row>
    <row r="6" spans="2:52" ht="26.25" customHeight="1">
      <c r="B6" s="195" t="s">
        <v>209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7"/>
    </row>
    <row r="7" spans="2:52" s="3" customFormat="1" ht="63">
      <c r="B7" s="22" t="s">
        <v>114</v>
      </c>
      <c r="C7" s="30" t="s">
        <v>221</v>
      </c>
      <c r="D7" s="30" t="s">
        <v>43</v>
      </c>
      <c r="E7" s="30" t="s">
        <v>115</v>
      </c>
      <c r="F7" s="30" t="s">
        <v>15</v>
      </c>
      <c r="G7" s="30" t="s">
        <v>100</v>
      </c>
      <c r="H7" s="30" t="s">
        <v>61</v>
      </c>
      <c r="I7" s="30" t="s">
        <v>18</v>
      </c>
      <c r="J7" s="30" t="s">
        <v>99</v>
      </c>
      <c r="K7" s="13" t="s">
        <v>33</v>
      </c>
      <c r="L7" s="70" t="s">
        <v>19</v>
      </c>
      <c r="M7" s="30" t="s">
        <v>231</v>
      </c>
      <c r="N7" s="30" t="s">
        <v>230</v>
      </c>
      <c r="O7" s="30" t="s">
        <v>108</v>
      </c>
      <c r="P7" s="30" t="s">
        <v>180</v>
      </c>
      <c r="Q7" s="31" t="s">
        <v>182</v>
      </c>
      <c r="AY7" s="3" t="s">
        <v>160</v>
      </c>
      <c r="AZ7" s="3" t="s">
        <v>162</v>
      </c>
    </row>
    <row r="8" spans="2:52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238</v>
      </c>
      <c r="N8" s="16"/>
      <c r="O8" s="16" t="s">
        <v>234</v>
      </c>
      <c r="P8" s="32" t="s">
        <v>20</v>
      </c>
      <c r="Q8" s="17" t="s">
        <v>20</v>
      </c>
      <c r="AY8" s="3" t="s">
        <v>158</v>
      </c>
      <c r="AZ8" s="3" t="s">
        <v>161</v>
      </c>
    </row>
    <row r="9" spans="2:52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111</v>
      </c>
      <c r="AY9" s="4" t="s">
        <v>159</v>
      </c>
      <c r="AZ9" s="4" t="s">
        <v>163</v>
      </c>
    </row>
    <row r="10" spans="2:52" s="139" customFormat="1" ht="18" customHeight="1">
      <c r="B10" s="78" t="s">
        <v>38</v>
      </c>
      <c r="C10" s="79"/>
      <c r="D10" s="79"/>
      <c r="E10" s="79"/>
      <c r="F10" s="79"/>
      <c r="G10" s="79"/>
      <c r="H10" s="79"/>
      <c r="I10" s="87">
        <v>5.8729962859663516</v>
      </c>
      <c r="J10" s="79"/>
      <c r="K10" s="79"/>
      <c r="L10" s="102">
        <v>3.4338046921124611E-2</v>
      </c>
      <c r="M10" s="87"/>
      <c r="N10" s="89"/>
      <c r="O10" s="87">
        <f>O11+O93</f>
        <v>6841.2196458354538</v>
      </c>
      <c r="P10" s="88">
        <f>O10/$O$10</f>
        <v>1</v>
      </c>
      <c r="Q10" s="88">
        <f>O10/'סכום נכסי הקרן'!$C$42</f>
        <v>3.034151981400943E-2</v>
      </c>
      <c r="AY10" s="127" t="s">
        <v>27</v>
      </c>
      <c r="AZ10" s="139" t="s">
        <v>164</v>
      </c>
    </row>
    <row r="11" spans="2:52" s="127" customFormat="1" ht="21.75" customHeight="1">
      <c r="B11" s="80" t="s">
        <v>36</v>
      </c>
      <c r="C11" s="81"/>
      <c r="D11" s="81"/>
      <c r="E11" s="81"/>
      <c r="F11" s="81"/>
      <c r="G11" s="81"/>
      <c r="H11" s="81"/>
      <c r="I11" s="90">
        <f>AVERAGE(I12:I30)</f>
        <v>7.8908587257617722</v>
      </c>
      <c r="J11" s="81"/>
      <c r="K11" s="81"/>
      <c r="L11" s="103">
        <f>AVERAGE(L12:L30)</f>
        <v>2.6462513536297385E-2</v>
      </c>
      <c r="M11" s="90"/>
      <c r="N11" s="92"/>
      <c r="O11" s="90">
        <f>O12+O33</f>
        <v>6239.718485835454</v>
      </c>
      <c r="P11" s="91">
        <f t="shared" ref="P11:P31" si="0">O11/$O$10</f>
        <v>0.91207691155389825</v>
      </c>
      <c r="Q11" s="91">
        <f>O11/'סכום נכסי הקרן'!$C$42</f>
        <v>2.767379968381313E-2</v>
      </c>
      <c r="AZ11" s="127" t="s">
        <v>170</v>
      </c>
    </row>
    <row r="12" spans="2:52" s="127" customFormat="1">
      <c r="B12" s="101" t="s">
        <v>34</v>
      </c>
      <c r="C12" s="81"/>
      <c r="D12" s="81"/>
      <c r="E12" s="81"/>
      <c r="F12" s="81"/>
      <c r="G12" s="81"/>
      <c r="H12" s="81"/>
      <c r="I12" s="90">
        <f>AVERAGE(I13:I31)</f>
        <v>7.8563157894736833</v>
      </c>
      <c r="J12" s="81"/>
      <c r="K12" s="81"/>
      <c r="L12" s="103">
        <f>AVERAGE(L13:L31)</f>
        <v>2.5616999729056112E-2</v>
      </c>
      <c r="M12" s="90"/>
      <c r="N12" s="92"/>
      <c r="O12" s="90">
        <f>SUM(O13:O31)</f>
        <v>2924.8782658354548</v>
      </c>
      <c r="P12" s="91">
        <f t="shared" si="0"/>
        <v>0.42753754699514068</v>
      </c>
      <c r="Q12" s="91">
        <f>O12/'סכום נכסי הקרן'!$C$42</f>
        <v>1.2972138953386048E-2</v>
      </c>
      <c r="AZ12" s="127" t="s">
        <v>165</v>
      </c>
    </row>
    <row r="13" spans="2:52" s="127" customFormat="1">
      <c r="B13" s="141" t="s">
        <v>1238</v>
      </c>
      <c r="C13" s="96" t="s">
        <v>1171</v>
      </c>
      <c r="D13" s="83">
        <v>6028</v>
      </c>
      <c r="E13" s="83"/>
      <c r="F13" s="83" t="s">
        <v>1170</v>
      </c>
      <c r="G13" s="105">
        <v>43100</v>
      </c>
      <c r="H13" s="83"/>
      <c r="I13" s="93">
        <v>9.4799999999999986</v>
      </c>
      <c r="J13" s="96" t="s">
        <v>162</v>
      </c>
      <c r="K13" s="97">
        <v>4.2800000000000005E-2</v>
      </c>
      <c r="L13" s="97">
        <v>4.2800000000000005E-2</v>
      </c>
      <c r="M13" s="93">
        <v>79817.289999999994</v>
      </c>
      <c r="N13" s="95">
        <v>101.59</v>
      </c>
      <c r="O13" s="93">
        <f>81.08638-0.01318</f>
        <v>81.0732</v>
      </c>
      <c r="P13" s="94">
        <f t="shared" si="0"/>
        <v>1.1850693910895372E-2</v>
      </c>
      <c r="Q13" s="94">
        <f>O13/'סכום נכסי הקרן'!$C$42</f>
        <v>3.595680641071928E-4</v>
      </c>
      <c r="AZ13" s="127" t="s">
        <v>166</v>
      </c>
    </row>
    <row r="14" spans="2:52" s="127" customFormat="1">
      <c r="B14" s="141" t="s">
        <v>1238</v>
      </c>
      <c r="C14" s="96" t="s">
        <v>1171</v>
      </c>
      <c r="D14" s="83">
        <v>5212</v>
      </c>
      <c r="E14" s="83"/>
      <c r="F14" s="83" t="s">
        <v>1170</v>
      </c>
      <c r="G14" s="105">
        <v>42643</v>
      </c>
      <c r="H14" s="83"/>
      <c r="I14" s="93">
        <v>8.48</v>
      </c>
      <c r="J14" s="96" t="s">
        <v>162</v>
      </c>
      <c r="K14" s="97">
        <v>3.0600000000000002E-2</v>
      </c>
      <c r="L14" s="97">
        <v>3.0600000000000002E-2</v>
      </c>
      <c r="M14" s="93">
        <v>180671.7</v>
      </c>
      <c r="N14" s="95">
        <v>98.17</v>
      </c>
      <c r="O14" s="93">
        <v>177.36541</v>
      </c>
      <c r="P14" s="94">
        <f t="shared" si="0"/>
        <v>2.5925992612730975E-2</v>
      </c>
      <c r="Q14" s="94">
        <f>O14/'סכום נכסי הקרן'!$C$42</f>
        <v>7.8663401855703907E-4</v>
      </c>
      <c r="AZ14" s="127" t="s">
        <v>167</v>
      </c>
    </row>
    <row r="15" spans="2:52" s="127" customFormat="1">
      <c r="B15" s="141" t="s">
        <v>1238</v>
      </c>
      <c r="C15" s="96" t="s">
        <v>1171</v>
      </c>
      <c r="D15" s="83">
        <v>5211</v>
      </c>
      <c r="E15" s="83"/>
      <c r="F15" s="83" t="s">
        <v>1170</v>
      </c>
      <c r="G15" s="105">
        <v>42643</v>
      </c>
      <c r="H15" s="83"/>
      <c r="I15" s="93">
        <v>5.82</v>
      </c>
      <c r="J15" s="96" t="s">
        <v>162</v>
      </c>
      <c r="K15" s="97">
        <v>3.5699999999999996E-2</v>
      </c>
      <c r="L15" s="97">
        <v>3.5699999999999996E-2</v>
      </c>
      <c r="M15" s="93">
        <v>179825.01</v>
      </c>
      <c r="N15" s="95">
        <v>101.73</v>
      </c>
      <c r="O15" s="93">
        <v>182.93598</v>
      </c>
      <c r="P15" s="94">
        <f t="shared" si="0"/>
        <v>2.6740258239093529E-2</v>
      </c>
      <c r="Q15" s="94">
        <f>O15/'סכום נכסי הקרן'!$C$42</f>
        <v>8.1134007519318525E-4</v>
      </c>
      <c r="AZ15" s="127" t="s">
        <v>169</v>
      </c>
    </row>
    <row r="16" spans="2:52" s="127" customFormat="1">
      <c r="B16" s="141" t="s">
        <v>1238</v>
      </c>
      <c r="C16" s="96" t="s">
        <v>1171</v>
      </c>
      <c r="D16" s="83">
        <v>6027</v>
      </c>
      <c r="E16" s="83"/>
      <c r="F16" s="83" t="s">
        <v>1170</v>
      </c>
      <c r="G16" s="105">
        <v>43100</v>
      </c>
      <c r="H16" s="83"/>
      <c r="I16" s="93">
        <v>9.91</v>
      </c>
      <c r="J16" s="96" t="s">
        <v>162</v>
      </c>
      <c r="K16" s="97">
        <v>3.0699999999999998E-2</v>
      </c>
      <c r="L16" s="97">
        <v>3.0699999999999998E-2</v>
      </c>
      <c r="M16" s="93">
        <v>298455.96000000002</v>
      </c>
      <c r="N16" s="95">
        <v>99.64</v>
      </c>
      <c r="O16" s="93">
        <v>297.38152000000002</v>
      </c>
      <c r="P16" s="94">
        <f t="shared" si="0"/>
        <v>4.3469079403265325E-2</v>
      </c>
      <c r="Q16" s="94">
        <f>O16/'סכום נכסי הקרן'!$C$42</f>
        <v>1.3189179340109241E-3</v>
      </c>
      <c r="AZ16" s="127" t="s">
        <v>168</v>
      </c>
    </row>
    <row r="17" spans="2:52" s="127" customFormat="1">
      <c r="B17" s="141" t="s">
        <v>1238</v>
      </c>
      <c r="C17" s="96" t="s">
        <v>1171</v>
      </c>
      <c r="D17" s="83">
        <v>5025</v>
      </c>
      <c r="E17" s="83"/>
      <c r="F17" s="83" t="s">
        <v>1170</v>
      </c>
      <c r="G17" s="105">
        <v>42551</v>
      </c>
      <c r="H17" s="83"/>
      <c r="I17" s="93">
        <v>9.3800000000000008</v>
      </c>
      <c r="J17" s="96" t="s">
        <v>162</v>
      </c>
      <c r="K17" s="97">
        <v>3.3399999999999999E-2</v>
      </c>
      <c r="L17" s="97">
        <v>3.3399999999999999E-2</v>
      </c>
      <c r="M17" s="93">
        <v>172291.32</v>
      </c>
      <c r="N17" s="95">
        <v>96.55</v>
      </c>
      <c r="O17" s="93">
        <f>166.34727-0.00876</f>
        <v>166.33851000000001</v>
      </c>
      <c r="P17" s="94">
        <f t="shared" si="0"/>
        <v>2.4314160136819675E-2</v>
      </c>
      <c r="Q17" s="94">
        <f>O17/'סכום נכסי הקרן'!$C$42</f>
        <v>7.3772857155231242E-4</v>
      </c>
      <c r="AZ17" s="127" t="s">
        <v>171</v>
      </c>
    </row>
    <row r="18" spans="2:52" s="127" customFormat="1">
      <c r="B18" s="141" t="s">
        <v>1238</v>
      </c>
      <c r="C18" s="96" t="s">
        <v>1171</v>
      </c>
      <c r="D18" s="83">
        <v>5024</v>
      </c>
      <c r="E18" s="83"/>
      <c r="F18" s="83" t="s">
        <v>1170</v>
      </c>
      <c r="G18" s="105">
        <v>42551</v>
      </c>
      <c r="H18" s="83"/>
      <c r="I18" s="93">
        <v>6.96</v>
      </c>
      <c r="J18" s="96" t="s">
        <v>162</v>
      </c>
      <c r="K18" s="97">
        <v>3.7499999999999999E-2</v>
      </c>
      <c r="L18" s="97">
        <v>3.7499999999999999E-2</v>
      </c>
      <c r="M18" s="93">
        <v>138115.26</v>
      </c>
      <c r="N18" s="95">
        <v>104.37</v>
      </c>
      <c r="O18" s="93">
        <v>144.15090000000001</v>
      </c>
      <c r="P18" s="94">
        <f t="shared" si="0"/>
        <v>2.1070935807148201E-2</v>
      </c>
      <c r="Q18" s="94">
        <f>O18/'סכום נכסי הקרן'!$C$42</f>
        <v>6.3932421629230799E-4</v>
      </c>
      <c r="AZ18" s="127" t="s">
        <v>172</v>
      </c>
    </row>
    <row r="19" spans="2:52" s="127" customFormat="1">
      <c r="B19" s="141" t="s">
        <v>1238</v>
      </c>
      <c r="C19" s="96" t="s">
        <v>1171</v>
      </c>
      <c r="D19" s="83">
        <v>6026</v>
      </c>
      <c r="E19" s="83"/>
      <c r="F19" s="83" t="s">
        <v>1170</v>
      </c>
      <c r="G19" s="105">
        <v>43100</v>
      </c>
      <c r="H19" s="83"/>
      <c r="I19" s="93">
        <v>7.71</v>
      </c>
      <c r="J19" s="96" t="s">
        <v>162</v>
      </c>
      <c r="K19" s="97">
        <v>3.4799999999999998E-2</v>
      </c>
      <c r="L19" s="97">
        <v>3.4799999999999998E-2</v>
      </c>
      <c r="M19" s="93">
        <v>407907.19</v>
      </c>
      <c r="N19" s="95">
        <v>102.46</v>
      </c>
      <c r="O19" s="93">
        <v>417.94171</v>
      </c>
      <c r="P19" s="94">
        <f t="shared" si="0"/>
        <v>6.1091695872448594E-2</v>
      </c>
      <c r="Q19" s="94">
        <f>O19/'סכום נכסי הקרן'!$C$42</f>
        <v>1.8536149007853371E-3</v>
      </c>
      <c r="AZ19" s="127" t="s">
        <v>173</v>
      </c>
    </row>
    <row r="20" spans="2:52" s="127" customFormat="1">
      <c r="B20" s="141" t="s">
        <v>1238</v>
      </c>
      <c r="C20" s="96" t="s">
        <v>1171</v>
      </c>
      <c r="D20" s="83">
        <v>5023</v>
      </c>
      <c r="E20" s="83"/>
      <c r="F20" s="83" t="s">
        <v>1170</v>
      </c>
      <c r="G20" s="105">
        <v>42551</v>
      </c>
      <c r="H20" s="83"/>
      <c r="I20" s="93">
        <v>9.6199999999999992</v>
      </c>
      <c r="J20" s="96" t="s">
        <v>162</v>
      </c>
      <c r="K20" s="97">
        <v>2.6900000000000004E-2</v>
      </c>
      <c r="L20" s="97">
        <v>2.6900000000000004E-2</v>
      </c>
      <c r="M20" s="93">
        <v>154414.63</v>
      </c>
      <c r="N20" s="95">
        <v>100.66</v>
      </c>
      <c r="O20" s="93">
        <f>155.43371-0.0096</f>
        <v>155.42410999999998</v>
      </c>
      <c r="P20" s="94">
        <f t="shared" si="0"/>
        <v>2.2718772097108937E-2</v>
      </c>
      <c r="Q20" s="94">
        <f>O20/'סכום נכסי הקרן'!$C$42</f>
        <v>6.8932207373439535E-4</v>
      </c>
      <c r="AZ20" s="127" t="s">
        <v>174</v>
      </c>
    </row>
    <row r="21" spans="2:52" s="127" customFormat="1">
      <c r="B21" s="141" t="s">
        <v>1238</v>
      </c>
      <c r="C21" s="96" t="s">
        <v>1171</v>
      </c>
      <c r="D21" s="83">
        <v>5210</v>
      </c>
      <c r="E21" s="83"/>
      <c r="F21" s="83" t="s">
        <v>1170</v>
      </c>
      <c r="G21" s="105">
        <v>42643</v>
      </c>
      <c r="H21" s="83"/>
      <c r="I21" s="93">
        <v>8.879999999999999</v>
      </c>
      <c r="J21" s="96" t="s">
        <v>162</v>
      </c>
      <c r="K21" s="97">
        <v>1.8999999999999996E-2</v>
      </c>
      <c r="L21" s="97">
        <v>1.8999999999999996E-2</v>
      </c>
      <c r="M21" s="93">
        <v>131645.09</v>
      </c>
      <c r="N21" s="95">
        <v>106.85</v>
      </c>
      <c r="O21" s="93">
        <v>140.66273000000001</v>
      </c>
      <c r="P21" s="94">
        <f t="shared" si="0"/>
        <v>2.0561060349177283E-2</v>
      </c>
      <c r="Q21" s="94">
        <f>O21/'סכום נכסי הקרן'!$C$42</f>
        <v>6.2385381998160622E-4</v>
      </c>
      <c r="AZ21" s="127" t="s">
        <v>175</v>
      </c>
    </row>
    <row r="22" spans="2:52" s="127" customFormat="1">
      <c r="B22" s="141" t="s">
        <v>1238</v>
      </c>
      <c r="C22" s="96" t="s">
        <v>1171</v>
      </c>
      <c r="D22" s="83">
        <v>6025</v>
      </c>
      <c r="E22" s="83"/>
      <c r="F22" s="83" t="s">
        <v>1170</v>
      </c>
      <c r="G22" s="105">
        <v>43100</v>
      </c>
      <c r="H22" s="83"/>
      <c r="I22" s="93">
        <v>9.98</v>
      </c>
      <c r="J22" s="96" t="s">
        <v>162</v>
      </c>
      <c r="K22" s="97">
        <v>2.87E-2</v>
      </c>
      <c r="L22" s="97">
        <v>2.87E-2</v>
      </c>
      <c r="M22" s="93">
        <v>167321.20000000001</v>
      </c>
      <c r="N22" s="95">
        <v>106.64</v>
      </c>
      <c r="O22" s="93">
        <f>178.4313-0.01463</f>
        <v>178.41666999999998</v>
      </c>
      <c r="P22" s="94">
        <f t="shared" si="0"/>
        <v>2.6079658194955037E-2</v>
      </c>
      <c r="Q22" s="94">
        <f>O22/'סכום נכסי הקרן'!$C$42</f>
        <v>7.9129646586482169E-4</v>
      </c>
      <c r="AZ22" s="127" t="s">
        <v>27</v>
      </c>
    </row>
    <row r="23" spans="2:52" s="127" customFormat="1">
      <c r="B23" s="141" t="s">
        <v>1238</v>
      </c>
      <c r="C23" s="96" t="s">
        <v>1171</v>
      </c>
      <c r="D23" s="83">
        <v>5022</v>
      </c>
      <c r="E23" s="83"/>
      <c r="F23" s="83" t="s">
        <v>1170</v>
      </c>
      <c r="G23" s="105">
        <v>42551</v>
      </c>
      <c r="H23" s="83"/>
      <c r="I23" s="93">
        <v>8.18</v>
      </c>
      <c r="J23" s="96" t="s">
        <v>162</v>
      </c>
      <c r="K23" s="97">
        <v>2.4600000000000004E-2</v>
      </c>
      <c r="L23" s="97">
        <v>2.4600000000000004E-2</v>
      </c>
      <c r="M23" s="93">
        <v>114131.43</v>
      </c>
      <c r="N23" s="95">
        <v>102.93</v>
      </c>
      <c r="O23" s="93">
        <f>117.47545-0.0096</f>
        <v>117.46584999999999</v>
      </c>
      <c r="P23" s="94">
        <f t="shared" si="0"/>
        <v>1.7170308231735629E-2</v>
      </c>
      <c r="Q23" s="94">
        <f>O23/'סכום נכסי הקרן'!$C$42</f>
        <v>5.2097324742585583E-4</v>
      </c>
    </row>
    <row r="24" spans="2:52" s="127" customFormat="1">
      <c r="B24" s="141" t="s">
        <v>1238</v>
      </c>
      <c r="C24" s="96" t="s">
        <v>1171</v>
      </c>
      <c r="D24" s="83">
        <v>6024</v>
      </c>
      <c r="E24" s="83"/>
      <c r="F24" s="83" t="s">
        <v>1170</v>
      </c>
      <c r="G24" s="105">
        <v>43100</v>
      </c>
      <c r="H24" s="83"/>
      <c r="I24" s="93">
        <v>8.93</v>
      </c>
      <c r="J24" s="96" t="s">
        <v>162</v>
      </c>
      <c r="K24" s="97">
        <v>1.9299999999999998E-2</v>
      </c>
      <c r="L24" s="97">
        <v>1.9299999999999998E-2</v>
      </c>
      <c r="M24" s="93">
        <v>132366.19</v>
      </c>
      <c r="N24" s="95">
        <v>107.95</v>
      </c>
      <c r="O24" s="93">
        <f>142.88931-0.01688</f>
        <v>142.87243000000001</v>
      </c>
      <c r="P24" s="94">
        <f t="shared" si="0"/>
        <v>2.0884058310709646E-2</v>
      </c>
      <c r="Q24" s="94">
        <f>O24/'סכום נכסי הקרן'!$C$42</f>
        <v>6.3365406903132502E-4</v>
      </c>
    </row>
    <row r="25" spans="2:52" s="127" customFormat="1">
      <c r="B25" s="141" t="s">
        <v>1238</v>
      </c>
      <c r="C25" s="96" t="s">
        <v>1171</v>
      </c>
      <c r="D25" s="83">
        <v>5209</v>
      </c>
      <c r="E25" s="83"/>
      <c r="F25" s="83" t="s">
        <v>1170</v>
      </c>
      <c r="G25" s="105">
        <v>42643</v>
      </c>
      <c r="H25" s="83"/>
      <c r="I25" s="93">
        <v>6.9399999999999977</v>
      </c>
      <c r="J25" s="96" t="s">
        <v>162</v>
      </c>
      <c r="K25" s="97">
        <v>2.0799999999999996E-2</v>
      </c>
      <c r="L25" s="97">
        <v>2.0799999999999996E-2</v>
      </c>
      <c r="M25" s="93">
        <v>101358.54</v>
      </c>
      <c r="N25" s="95">
        <v>104.3</v>
      </c>
      <c r="O25" s="93">
        <v>105.71699000000001</v>
      </c>
      <c r="P25" s="94">
        <f t="shared" si="0"/>
        <v>1.5452944865518901E-2</v>
      </c>
      <c r="Q25" s="94">
        <f>O25/'סכום נכסי הקרן'!$C$42</f>
        <v>4.6886583282193701E-4</v>
      </c>
    </row>
    <row r="26" spans="2:52" s="127" customFormat="1">
      <c r="B26" s="141" t="s">
        <v>1238</v>
      </c>
      <c r="C26" s="96" t="s">
        <v>1171</v>
      </c>
      <c r="D26" s="83">
        <v>6865</v>
      </c>
      <c r="E26" s="83"/>
      <c r="F26" s="83" t="s">
        <v>1170</v>
      </c>
      <c r="G26" s="105">
        <v>43555</v>
      </c>
      <c r="H26" s="83"/>
      <c r="I26" s="93">
        <v>5</v>
      </c>
      <c r="J26" s="96" t="s">
        <v>162</v>
      </c>
      <c r="K26" s="97">
        <v>2.4769940972328191E-2</v>
      </c>
      <c r="L26" s="97">
        <v>2.4769940972328191E-2</v>
      </c>
      <c r="M26" s="93">
        <v>96684.380420000001</v>
      </c>
      <c r="N26" s="95">
        <v>111.81778172920016</v>
      </c>
      <c r="O26" s="140">
        <v>108.11032946426515</v>
      </c>
      <c r="P26" s="94">
        <f t="shared" si="0"/>
        <v>1.580278591553139E-2</v>
      </c>
      <c r="Q26" s="94">
        <f>O26/'סכום נכסי הקרן'!$C$42</f>
        <v>4.7948054197264483E-4</v>
      </c>
    </row>
    <row r="27" spans="2:52" s="127" customFormat="1">
      <c r="B27" s="141" t="s">
        <v>1238</v>
      </c>
      <c r="C27" s="96" t="s">
        <v>1171</v>
      </c>
      <c r="D27" s="83">
        <v>6866</v>
      </c>
      <c r="E27" s="83"/>
      <c r="F27" s="83" t="s">
        <v>1170</v>
      </c>
      <c r="G27" s="105">
        <v>43555</v>
      </c>
      <c r="H27" s="83"/>
      <c r="I27" s="93">
        <v>7.6</v>
      </c>
      <c r="J27" s="96" t="s">
        <v>162</v>
      </c>
      <c r="K27" s="97">
        <v>7.4851125478744493E-3</v>
      </c>
      <c r="L27" s="97">
        <v>7.4851125478744493E-3</v>
      </c>
      <c r="M27" s="93">
        <v>130925.50387</v>
      </c>
      <c r="N27" s="95">
        <v>106.6749903291276</v>
      </c>
      <c r="O27" s="140">
        <v>139.66476859168409</v>
      </c>
      <c r="P27" s="94">
        <f t="shared" si="0"/>
        <v>2.0415185569535702E-2</v>
      </c>
      <c r="Q27" s="94">
        <f>O27/'סכום נכסי הקרן'!$C$42</f>
        <v>6.1942775746474694E-4</v>
      </c>
    </row>
    <row r="28" spans="2:52" s="127" customFormat="1">
      <c r="B28" s="141" t="s">
        <v>1238</v>
      </c>
      <c r="C28" s="96" t="s">
        <v>1171</v>
      </c>
      <c r="D28" s="83">
        <v>6867</v>
      </c>
      <c r="E28" s="83"/>
      <c r="F28" s="83" t="s">
        <v>1170</v>
      </c>
      <c r="G28" s="105">
        <v>43555</v>
      </c>
      <c r="H28" s="83"/>
      <c r="I28" s="93">
        <v>7.1</v>
      </c>
      <c r="J28" s="96" t="s">
        <v>162</v>
      </c>
      <c r="K28" s="97">
        <v>8.4714740514755249E-3</v>
      </c>
      <c r="L28" s="97">
        <v>8.4714740514755249E-3</v>
      </c>
      <c r="M28" s="93">
        <v>93890.915760000004</v>
      </c>
      <c r="N28" s="95">
        <v>107.93431188338856</v>
      </c>
      <c r="O28" s="140">
        <v>101.34051384656802</v>
      </c>
      <c r="P28" s="94">
        <f t="shared" si="0"/>
        <v>1.4813223239844136E-2</v>
      </c>
      <c r="Q28" s="94">
        <f>O28/'סכום נכסי הקרן'!$C$42</f>
        <v>4.4945570644107586E-4</v>
      </c>
    </row>
    <row r="29" spans="2:52" s="127" customFormat="1">
      <c r="B29" s="141" t="s">
        <v>1238</v>
      </c>
      <c r="C29" s="96" t="s">
        <v>1171</v>
      </c>
      <c r="D29" s="83">
        <v>6868</v>
      </c>
      <c r="E29" s="83"/>
      <c r="F29" s="83" t="s">
        <v>1170</v>
      </c>
      <c r="G29" s="105">
        <v>43555</v>
      </c>
      <c r="H29" s="83"/>
      <c r="I29" s="93">
        <v>7.2</v>
      </c>
      <c r="J29" s="96" t="s">
        <v>162</v>
      </c>
      <c r="K29" s="97">
        <v>9.8601549863815315E-3</v>
      </c>
      <c r="L29" s="97">
        <v>9.8601549863815315E-3</v>
      </c>
      <c r="M29" s="93">
        <v>37779.664100000002</v>
      </c>
      <c r="N29" s="95">
        <v>109.70429223314338</v>
      </c>
      <c r="O29" s="140">
        <v>41.445913108963957</v>
      </c>
      <c r="P29" s="94">
        <f t="shared" si="0"/>
        <v>6.0582637679516514E-3</v>
      </c>
      <c r="Q29" s="94">
        <f>O29/'סכום נכסי הקרן'!$C$42</f>
        <v>1.8381693015380045E-4</v>
      </c>
    </row>
    <row r="30" spans="2:52" s="127" customFormat="1">
      <c r="B30" s="141" t="s">
        <v>1238</v>
      </c>
      <c r="C30" s="96" t="s">
        <v>1171</v>
      </c>
      <c r="D30" s="83">
        <v>6869</v>
      </c>
      <c r="E30" s="83"/>
      <c r="F30" s="83" t="s">
        <v>1170</v>
      </c>
      <c r="G30" s="105">
        <v>43555</v>
      </c>
      <c r="H30" s="83"/>
      <c r="I30" s="93">
        <v>4.9000000000000004</v>
      </c>
      <c r="J30" s="96" t="s">
        <v>162</v>
      </c>
      <c r="K30" s="97">
        <v>4.1784074902534482E-2</v>
      </c>
      <c r="L30" s="97">
        <v>4.1784074902534482E-2</v>
      </c>
      <c r="M30" s="93">
        <v>22200.918600000001</v>
      </c>
      <c r="N30" s="95">
        <v>107.71531166408612</v>
      </c>
      <c r="O30" s="140">
        <v>23.913788662280062</v>
      </c>
      <c r="P30" s="94">
        <f t="shared" si="0"/>
        <v>3.4955446397394096E-3</v>
      </c>
      <c r="Q30" s="94">
        <f>O30/'סכום נכסי הקרן'!$C$42</f>
        <v>1.0606013694740776E-4</v>
      </c>
    </row>
    <row r="31" spans="2:52" s="127" customFormat="1">
      <c r="B31" s="141" t="s">
        <v>1238</v>
      </c>
      <c r="C31" s="96" t="s">
        <v>1171</v>
      </c>
      <c r="D31" s="83">
        <v>6870</v>
      </c>
      <c r="E31" s="83"/>
      <c r="F31" s="83" t="s">
        <v>1170</v>
      </c>
      <c r="G31" s="105">
        <v>43555</v>
      </c>
      <c r="H31" s="83"/>
      <c r="I31" s="93">
        <v>7.2</v>
      </c>
      <c r="J31" s="96" t="s">
        <v>162</v>
      </c>
      <c r="K31" s="97">
        <v>9.5522373914718635E-3</v>
      </c>
      <c r="L31" s="97">
        <v>9.5522373914718635E-3</v>
      </c>
      <c r="M31" s="93">
        <v>202373.36605000001</v>
      </c>
      <c r="N31" s="95">
        <v>100.14012521372169</v>
      </c>
      <c r="O31" s="140">
        <v>202.65694216169337</v>
      </c>
      <c r="P31" s="94">
        <f t="shared" si="0"/>
        <v>2.9622925830931245E-2</v>
      </c>
      <c r="Q31" s="94">
        <f>O31/'סכום נכסי הקרן'!$C$42</f>
        <v>8.988045910481321E-4</v>
      </c>
    </row>
    <row r="32" spans="2:52" s="127" customFormat="1">
      <c r="B32" s="82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93"/>
      <c r="N32" s="95"/>
      <c r="O32" s="83"/>
      <c r="P32" s="94"/>
      <c r="Q32" s="83"/>
    </row>
    <row r="33" spans="2:17" s="127" customFormat="1">
      <c r="B33" s="101" t="s">
        <v>35</v>
      </c>
      <c r="C33" s="81"/>
      <c r="D33" s="81"/>
      <c r="E33" s="81"/>
      <c r="F33" s="81"/>
      <c r="G33" s="81"/>
      <c r="H33" s="81"/>
      <c r="I33" s="90">
        <v>3.9871415324001127</v>
      </c>
      <c r="J33" s="81"/>
      <c r="K33" s="81"/>
      <c r="L33" s="103">
        <v>3.5379850995706466E-2</v>
      </c>
      <c r="M33" s="90"/>
      <c r="N33" s="92"/>
      <c r="O33" s="90">
        <f>SUM(O34:O91)</f>
        <v>3314.8402199999991</v>
      </c>
      <c r="P33" s="91">
        <f t="shared" ref="P33:P90" si="1">O33/$O$10</f>
        <v>0.48453936455875757</v>
      </c>
      <c r="Q33" s="91">
        <f>O33/'סכום נכסי הקרן'!$C$42</f>
        <v>1.4701660730427082E-2</v>
      </c>
    </row>
    <row r="34" spans="2:17" s="127" customFormat="1">
      <c r="B34" s="142" t="s">
        <v>1239</v>
      </c>
      <c r="C34" s="96" t="s">
        <v>1171</v>
      </c>
      <c r="D34" s="83" t="s">
        <v>1172</v>
      </c>
      <c r="E34" s="83"/>
      <c r="F34" s="83" t="s">
        <v>1173</v>
      </c>
      <c r="G34" s="105">
        <v>43185</v>
      </c>
      <c r="H34" s="83" t="s">
        <v>1169</v>
      </c>
      <c r="I34" s="93">
        <v>0.96999999999999986</v>
      </c>
      <c r="J34" s="96" t="s">
        <v>161</v>
      </c>
      <c r="K34" s="97">
        <v>3.6974E-2</v>
      </c>
      <c r="L34" s="97">
        <v>3.7099999999999994E-2</v>
      </c>
      <c r="M34" s="93">
        <v>167660</v>
      </c>
      <c r="N34" s="95">
        <v>100.09</v>
      </c>
      <c r="O34" s="93">
        <v>609.48915</v>
      </c>
      <c r="P34" s="94">
        <f t="shared" si="1"/>
        <v>8.9090715040997456E-2</v>
      </c>
      <c r="Q34" s="94">
        <f>O34/'סכום נכסי הקרן'!$C$42</f>
        <v>2.7031476956606926E-3</v>
      </c>
    </row>
    <row r="35" spans="2:17" s="127" customFormat="1">
      <c r="B35" s="142" t="s">
        <v>1240</v>
      </c>
      <c r="C35" s="96" t="s">
        <v>1171</v>
      </c>
      <c r="D35" s="83">
        <v>6686</v>
      </c>
      <c r="E35" s="83"/>
      <c r="F35" s="83" t="s">
        <v>1173</v>
      </c>
      <c r="G35" s="105">
        <v>43471</v>
      </c>
      <c r="H35" s="83" t="s">
        <v>1169</v>
      </c>
      <c r="I35" s="93">
        <v>1.7399999999999998</v>
      </c>
      <c r="J35" s="96" t="s">
        <v>162</v>
      </c>
      <c r="K35" s="97">
        <v>2.2970000000000001E-2</v>
      </c>
      <c r="L35" s="97">
        <v>1.8399999999999996E-2</v>
      </c>
      <c r="M35" s="93">
        <v>191850</v>
      </c>
      <c r="N35" s="95">
        <v>101.33</v>
      </c>
      <c r="O35" s="93">
        <v>194.4016</v>
      </c>
      <c r="P35" s="94">
        <f t="shared" si="1"/>
        <v>2.8416219631004051E-2</v>
      </c>
      <c r="Q35" s="94">
        <f>O35/'סכום נכסי הקרן'!$C$42</f>
        <v>8.6219129097335316E-4</v>
      </c>
    </row>
    <row r="36" spans="2:17" s="127" customFormat="1">
      <c r="B36" s="142" t="s">
        <v>1241</v>
      </c>
      <c r="C36" s="96" t="s">
        <v>1174</v>
      </c>
      <c r="D36" s="83" t="s">
        <v>1175</v>
      </c>
      <c r="E36" s="83"/>
      <c r="F36" s="83" t="s">
        <v>490</v>
      </c>
      <c r="G36" s="105">
        <v>43276</v>
      </c>
      <c r="H36" s="83" t="s">
        <v>315</v>
      </c>
      <c r="I36" s="93">
        <v>10.66</v>
      </c>
      <c r="J36" s="96" t="s">
        <v>162</v>
      </c>
      <c r="K36" s="97">
        <v>3.56E-2</v>
      </c>
      <c r="L36" s="97">
        <v>3.7100000000000001E-2</v>
      </c>
      <c r="M36" s="93">
        <v>11098.8</v>
      </c>
      <c r="N36" s="95">
        <v>98.97</v>
      </c>
      <c r="O36" s="93">
        <v>10.98448</v>
      </c>
      <c r="P36" s="94">
        <f t="shared" si="1"/>
        <v>1.6056318271679419E-3</v>
      </c>
      <c r="Q36" s="94">
        <f>O36/'סכום נכסי הקרן'!$C$42</f>
        <v>4.8717309898020272E-5</v>
      </c>
    </row>
    <row r="37" spans="2:17" s="127" customFormat="1">
      <c r="B37" s="142" t="s">
        <v>1241</v>
      </c>
      <c r="C37" s="96" t="s">
        <v>1174</v>
      </c>
      <c r="D37" s="83" t="s">
        <v>1176</v>
      </c>
      <c r="E37" s="83"/>
      <c r="F37" s="83" t="s">
        <v>490</v>
      </c>
      <c r="G37" s="105">
        <v>43222</v>
      </c>
      <c r="H37" s="83" t="s">
        <v>315</v>
      </c>
      <c r="I37" s="93">
        <v>10.68</v>
      </c>
      <c r="J37" s="96" t="s">
        <v>162</v>
      </c>
      <c r="K37" s="97">
        <v>3.5200000000000002E-2</v>
      </c>
      <c r="L37" s="97">
        <v>3.7100000000000001E-2</v>
      </c>
      <c r="M37" s="93">
        <v>53074.39</v>
      </c>
      <c r="N37" s="95">
        <v>99.4</v>
      </c>
      <c r="O37" s="93">
        <v>52.755949999999999</v>
      </c>
      <c r="P37" s="94">
        <f t="shared" si="1"/>
        <v>7.7114831464466758E-3</v>
      </c>
      <c r="Q37" s="94">
        <f>O37/'סכום נכסי הקרן'!$C$42</f>
        <v>2.3397811868331161E-4</v>
      </c>
    </row>
    <row r="38" spans="2:17" s="127" customFormat="1">
      <c r="B38" s="142" t="s">
        <v>1241</v>
      </c>
      <c r="C38" s="96" t="s">
        <v>1174</v>
      </c>
      <c r="D38" s="83" t="s">
        <v>1177</v>
      </c>
      <c r="E38" s="83"/>
      <c r="F38" s="83" t="s">
        <v>490</v>
      </c>
      <c r="G38" s="105">
        <v>43431</v>
      </c>
      <c r="H38" s="83" t="s">
        <v>315</v>
      </c>
      <c r="I38" s="93">
        <v>10.6</v>
      </c>
      <c r="J38" s="96" t="s">
        <v>162</v>
      </c>
      <c r="K38" s="97">
        <v>3.9599999999999996E-2</v>
      </c>
      <c r="L38" s="97">
        <v>3.6000000000000004E-2</v>
      </c>
      <c r="M38" s="93">
        <v>11062.43</v>
      </c>
      <c r="N38" s="95">
        <v>104.3</v>
      </c>
      <c r="O38" s="93">
        <v>11.538110000000001</v>
      </c>
      <c r="P38" s="94">
        <f t="shared" si="1"/>
        <v>1.6865574557343365E-3</v>
      </c>
      <c r="Q38" s="94">
        <f>O38/'סכום נכסי הקרן'!$C$42</f>
        <v>5.1172716460628703E-5</v>
      </c>
    </row>
    <row r="39" spans="2:17" s="127" customFormat="1">
      <c r="B39" s="142" t="s">
        <v>1241</v>
      </c>
      <c r="C39" s="96" t="s">
        <v>1174</v>
      </c>
      <c r="D39" s="83" t="s">
        <v>1178</v>
      </c>
      <c r="E39" s="83"/>
      <c r="F39" s="83" t="s">
        <v>490</v>
      </c>
      <c r="G39" s="105">
        <v>43500</v>
      </c>
      <c r="H39" s="83" t="s">
        <v>315</v>
      </c>
      <c r="I39" s="93">
        <v>10.73</v>
      </c>
      <c r="J39" s="96" t="s">
        <v>162</v>
      </c>
      <c r="K39" s="97">
        <v>3.7499999999999999E-2</v>
      </c>
      <c r="L39" s="97">
        <v>3.3300000000000003E-2</v>
      </c>
      <c r="M39" s="93">
        <v>20842.310000000001</v>
      </c>
      <c r="N39" s="95">
        <v>105</v>
      </c>
      <c r="O39" s="93">
        <v>21.884419999999999</v>
      </c>
      <c r="P39" s="94">
        <f t="shared" si="1"/>
        <v>3.1989062086790316E-3</v>
      </c>
      <c r="Q39" s="94">
        <f>O39/'סכום נכסי הקרן'!$C$42</f>
        <v>9.7059676113792632E-5</v>
      </c>
    </row>
    <row r="40" spans="2:17" s="127" customFormat="1">
      <c r="B40" s="142" t="s">
        <v>1241</v>
      </c>
      <c r="C40" s="96" t="s">
        <v>1174</v>
      </c>
      <c r="D40" s="83" t="s">
        <v>1179</v>
      </c>
      <c r="E40" s="83"/>
      <c r="F40" s="83" t="s">
        <v>490</v>
      </c>
      <c r="G40" s="105">
        <v>43500</v>
      </c>
      <c r="H40" s="83" t="s">
        <v>315</v>
      </c>
      <c r="I40" s="93">
        <v>0</v>
      </c>
      <c r="J40" s="96" t="s">
        <v>162</v>
      </c>
      <c r="K40" s="97">
        <v>3.2500000000000001E-2</v>
      </c>
      <c r="L40" s="97">
        <v>-5.0000000000000001E-3</v>
      </c>
      <c r="M40" s="93">
        <v>21061.45</v>
      </c>
      <c r="N40" s="95">
        <v>100.5</v>
      </c>
      <c r="O40" s="93">
        <v>21.16676</v>
      </c>
      <c r="P40" s="94">
        <f t="shared" si="1"/>
        <v>3.094003861268381E-3</v>
      </c>
      <c r="Q40" s="94">
        <f>O40/'סכום נכסי הקרן'!$C$42</f>
        <v>9.3876779461296269E-5</v>
      </c>
    </row>
    <row r="41" spans="2:17" s="127" customFormat="1">
      <c r="B41" s="142" t="s">
        <v>1241</v>
      </c>
      <c r="C41" s="96" t="s">
        <v>1174</v>
      </c>
      <c r="D41" s="83" t="s">
        <v>1180</v>
      </c>
      <c r="E41" s="83"/>
      <c r="F41" s="83" t="s">
        <v>490</v>
      </c>
      <c r="G41" s="105">
        <v>43500</v>
      </c>
      <c r="H41" s="83" t="s">
        <v>315</v>
      </c>
      <c r="I41" s="93">
        <v>0.25</v>
      </c>
      <c r="J41" s="96" t="s">
        <v>162</v>
      </c>
      <c r="K41" s="97">
        <v>3.2500000000000001E-2</v>
      </c>
      <c r="L41" s="97">
        <v>2.9899999999999996E-2</v>
      </c>
      <c r="M41" s="93">
        <v>1620.11</v>
      </c>
      <c r="N41" s="95">
        <v>100.56</v>
      </c>
      <c r="O41" s="93">
        <v>1.6291800000000001</v>
      </c>
      <c r="P41" s="94">
        <f t="shared" si="1"/>
        <v>2.3814174728211692E-4</v>
      </c>
      <c r="Q41" s="94">
        <f>O41/'סכום נכסי הקרן'!$C$42</f>
        <v>7.2255825437031769E-6</v>
      </c>
    </row>
    <row r="42" spans="2:17" s="127" customFormat="1">
      <c r="B42" s="142" t="s">
        <v>1242</v>
      </c>
      <c r="C42" s="96" t="s">
        <v>1171</v>
      </c>
      <c r="D42" s="83" t="s">
        <v>1181</v>
      </c>
      <c r="E42" s="83"/>
      <c r="F42" s="83" t="s">
        <v>1182</v>
      </c>
      <c r="G42" s="105">
        <v>42759</v>
      </c>
      <c r="H42" s="83" t="s">
        <v>1169</v>
      </c>
      <c r="I42" s="93">
        <v>4.22</v>
      </c>
      <c r="J42" s="96" t="s">
        <v>162</v>
      </c>
      <c r="K42" s="97">
        <v>2.5499999999999998E-2</v>
      </c>
      <c r="L42" s="97">
        <v>1.3299999999999999E-2</v>
      </c>
      <c r="M42" s="93">
        <v>50944.24</v>
      </c>
      <c r="N42" s="95">
        <v>105.69</v>
      </c>
      <c r="O42" s="93">
        <v>53.842970000000001</v>
      </c>
      <c r="P42" s="94">
        <f t="shared" si="1"/>
        <v>7.870375866791025E-3</v>
      </c>
      <c r="Q42" s="94">
        <f>O42/'סכום נכסי הקרן'!$C$42</f>
        <v>2.3879916530594156E-4</v>
      </c>
    </row>
    <row r="43" spans="2:17" s="127" customFormat="1">
      <c r="B43" s="142" t="s">
        <v>1242</v>
      </c>
      <c r="C43" s="96" t="s">
        <v>1171</v>
      </c>
      <c r="D43" s="83" t="s">
        <v>1183</v>
      </c>
      <c r="E43" s="83"/>
      <c r="F43" s="83" t="s">
        <v>1182</v>
      </c>
      <c r="G43" s="105">
        <v>42759</v>
      </c>
      <c r="H43" s="83" t="s">
        <v>1169</v>
      </c>
      <c r="I43" s="93">
        <v>4.0699999999999994</v>
      </c>
      <c r="J43" s="96" t="s">
        <v>162</v>
      </c>
      <c r="K43" s="97">
        <v>3.8800000000000001E-2</v>
      </c>
      <c r="L43" s="97">
        <v>2.9099999999999997E-2</v>
      </c>
      <c r="M43" s="93">
        <v>50944.24</v>
      </c>
      <c r="N43" s="95">
        <v>104.73</v>
      </c>
      <c r="O43" s="93">
        <v>53.353910000000006</v>
      </c>
      <c r="P43" s="94">
        <f t="shared" si="1"/>
        <v>7.7988886137399255E-3</v>
      </c>
      <c r="Q43" s="94">
        <f>O43/'סכום נכסי הקרן'!$C$42</f>
        <v>2.3663013340104251E-4</v>
      </c>
    </row>
    <row r="44" spans="2:17" s="127" customFormat="1">
      <c r="B44" s="142" t="s">
        <v>1243</v>
      </c>
      <c r="C44" s="96" t="s">
        <v>1174</v>
      </c>
      <c r="D44" s="83" t="s">
        <v>1184</v>
      </c>
      <c r="E44" s="83"/>
      <c r="F44" s="83" t="s">
        <v>1185</v>
      </c>
      <c r="G44" s="105">
        <v>42732</v>
      </c>
      <c r="H44" s="83" t="s">
        <v>1169</v>
      </c>
      <c r="I44" s="93">
        <v>3.9300000000000006</v>
      </c>
      <c r="J44" s="96" t="s">
        <v>162</v>
      </c>
      <c r="K44" s="97">
        <v>2.1613000000000004E-2</v>
      </c>
      <c r="L44" s="97">
        <v>1.34E-2</v>
      </c>
      <c r="M44" s="93">
        <v>102422.31</v>
      </c>
      <c r="N44" s="95">
        <v>104.54</v>
      </c>
      <c r="O44" s="93">
        <v>107.0723</v>
      </c>
      <c r="P44" s="94">
        <f t="shared" si="1"/>
        <v>1.565105427731436E-2</v>
      </c>
      <c r="Q44" s="94">
        <f>O44/'סכום נכסי הקרן'!$C$42</f>
        <v>4.7487677346527067E-4</v>
      </c>
    </row>
    <row r="45" spans="2:17" s="127" customFormat="1">
      <c r="B45" s="142" t="s">
        <v>1244</v>
      </c>
      <c r="C45" s="96" t="s">
        <v>1174</v>
      </c>
      <c r="D45" s="83" t="s">
        <v>1186</v>
      </c>
      <c r="E45" s="83"/>
      <c r="F45" s="83" t="s">
        <v>582</v>
      </c>
      <c r="G45" s="105">
        <v>43011</v>
      </c>
      <c r="H45" s="83" t="s">
        <v>158</v>
      </c>
      <c r="I45" s="93">
        <v>9.1499999999999986</v>
      </c>
      <c r="J45" s="96" t="s">
        <v>162</v>
      </c>
      <c r="K45" s="97">
        <v>3.9E-2</v>
      </c>
      <c r="L45" s="97">
        <v>3.8100000000000002E-2</v>
      </c>
      <c r="M45" s="93">
        <v>9329.44</v>
      </c>
      <c r="N45" s="95">
        <v>102.39</v>
      </c>
      <c r="O45" s="93">
        <v>9.5524199999999997</v>
      </c>
      <c r="P45" s="94">
        <f t="shared" si="1"/>
        <v>1.3963036555645412E-3</v>
      </c>
      <c r="Q45" s="94">
        <f>O45/'סכום נכסי הקרן'!$C$42</f>
        <v>4.2365975031685326E-5</v>
      </c>
    </row>
    <row r="46" spans="2:17" s="127" customFormat="1">
      <c r="B46" s="142" t="s">
        <v>1244</v>
      </c>
      <c r="C46" s="96" t="s">
        <v>1174</v>
      </c>
      <c r="D46" s="83" t="s">
        <v>1187</v>
      </c>
      <c r="E46" s="83"/>
      <c r="F46" s="83" t="s">
        <v>582</v>
      </c>
      <c r="G46" s="105">
        <v>43104</v>
      </c>
      <c r="H46" s="83" t="s">
        <v>158</v>
      </c>
      <c r="I46" s="93">
        <v>9.15</v>
      </c>
      <c r="J46" s="96" t="s">
        <v>162</v>
      </c>
      <c r="K46" s="97">
        <v>3.8199999999999998E-2</v>
      </c>
      <c r="L46" s="97">
        <v>4.1500000000000002E-2</v>
      </c>
      <c r="M46" s="93">
        <v>16613.61</v>
      </c>
      <c r="N46" s="95">
        <v>96.55</v>
      </c>
      <c r="O46" s="93">
        <v>16.04044</v>
      </c>
      <c r="P46" s="94">
        <f t="shared" si="1"/>
        <v>2.3446754863022867E-3</v>
      </c>
      <c r="Q46" s="94">
        <f>O46/'סכום נכסי הקרן'!$C$42</f>
        <v>7.1141017725063037E-5</v>
      </c>
    </row>
    <row r="47" spans="2:17" s="127" customFormat="1">
      <c r="B47" s="142" t="s">
        <v>1244</v>
      </c>
      <c r="C47" s="96" t="s">
        <v>1174</v>
      </c>
      <c r="D47" s="83" t="s">
        <v>1188</v>
      </c>
      <c r="E47" s="83"/>
      <c r="F47" s="83" t="s">
        <v>582</v>
      </c>
      <c r="G47" s="105">
        <v>43194</v>
      </c>
      <c r="H47" s="83" t="s">
        <v>158</v>
      </c>
      <c r="I47" s="93">
        <v>9.2099999999999991</v>
      </c>
      <c r="J47" s="96" t="s">
        <v>162</v>
      </c>
      <c r="K47" s="97">
        <v>3.7900000000000003E-2</v>
      </c>
      <c r="L47" s="97">
        <v>3.6900000000000002E-2</v>
      </c>
      <c r="M47" s="93">
        <v>10727.83</v>
      </c>
      <c r="N47" s="95">
        <v>100.62</v>
      </c>
      <c r="O47" s="93">
        <v>10.79435</v>
      </c>
      <c r="P47" s="94">
        <f t="shared" si="1"/>
        <v>1.5778399991251541E-3</v>
      </c>
      <c r="Q47" s="94">
        <f>O47/'סכום נכסי הקרן'!$C$42</f>
        <v>4.7874063596792488E-5</v>
      </c>
    </row>
    <row r="48" spans="2:17" s="127" customFormat="1">
      <c r="B48" s="142" t="s">
        <v>1244</v>
      </c>
      <c r="C48" s="96" t="s">
        <v>1174</v>
      </c>
      <c r="D48" s="83" t="s">
        <v>1189</v>
      </c>
      <c r="E48" s="83"/>
      <c r="F48" s="83" t="s">
        <v>582</v>
      </c>
      <c r="G48" s="105">
        <v>43285</v>
      </c>
      <c r="H48" s="83" t="s">
        <v>158</v>
      </c>
      <c r="I48" s="93">
        <v>9.18</v>
      </c>
      <c r="J48" s="96" t="s">
        <v>162</v>
      </c>
      <c r="K48" s="97">
        <v>4.0099999999999997E-2</v>
      </c>
      <c r="L48" s="97">
        <v>3.6999999999999998E-2</v>
      </c>
      <c r="M48" s="93">
        <v>14226.05</v>
      </c>
      <c r="N48" s="95">
        <v>101.34</v>
      </c>
      <c r="O48" s="93">
        <v>14.41667</v>
      </c>
      <c r="P48" s="94">
        <f t="shared" si="1"/>
        <v>2.1073245336854594E-3</v>
      </c>
      <c r="Q48" s="94">
        <f>O48/'סכום נכסי הקרן'!$C$42</f>
        <v>6.3939429093365547E-5</v>
      </c>
    </row>
    <row r="49" spans="2:17" s="127" customFormat="1">
      <c r="B49" s="142" t="s">
        <v>1244</v>
      </c>
      <c r="C49" s="96" t="s">
        <v>1174</v>
      </c>
      <c r="D49" s="83" t="s">
        <v>1190</v>
      </c>
      <c r="E49" s="83"/>
      <c r="F49" s="83" t="s">
        <v>582</v>
      </c>
      <c r="G49" s="105">
        <v>43377</v>
      </c>
      <c r="H49" s="83" t="s">
        <v>158</v>
      </c>
      <c r="I49" s="93">
        <v>9.1599999999999984</v>
      </c>
      <c r="J49" s="96" t="s">
        <v>162</v>
      </c>
      <c r="K49" s="97">
        <v>3.9699999999999999E-2</v>
      </c>
      <c r="L49" s="97">
        <v>3.8699999999999998E-2</v>
      </c>
      <c r="M49" s="93">
        <v>28473.5</v>
      </c>
      <c r="N49" s="95">
        <v>99.46</v>
      </c>
      <c r="O49" s="93">
        <v>28.319740000000003</v>
      </c>
      <c r="P49" s="94">
        <f t="shared" si="1"/>
        <v>4.1395747346366016E-3</v>
      </c>
      <c r="Q49" s="94">
        <f>O49/'סכום נכסי הקרן'!$C$42</f>
        <v>1.2560098883254928E-4</v>
      </c>
    </row>
    <row r="50" spans="2:17" s="127" customFormat="1">
      <c r="B50" s="142" t="s">
        <v>1244</v>
      </c>
      <c r="C50" s="96" t="s">
        <v>1174</v>
      </c>
      <c r="D50" s="83" t="s">
        <v>1191</v>
      </c>
      <c r="E50" s="83"/>
      <c r="F50" s="83" t="s">
        <v>582</v>
      </c>
      <c r="G50" s="105">
        <v>43469</v>
      </c>
      <c r="H50" s="83" t="s">
        <v>158</v>
      </c>
      <c r="I50" s="93">
        <v>10.74</v>
      </c>
      <c r="J50" s="96" t="s">
        <v>162</v>
      </c>
      <c r="K50" s="97">
        <v>4.1700000000000001E-2</v>
      </c>
      <c r="L50" s="97">
        <v>3.1200000000000006E-2</v>
      </c>
      <c r="M50" s="93">
        <v>20004.509999999998</v>
      </c>
      <c r="N50" s="95">
        <v>109.44</v>
      </c>
      <c r="O50" s="93">
        <v>21.892939999999999</v>
      </c>
      <c r="P50" s="94">
        <f t="shared" si="1"/>
        <v>3.200151600647288E-3</v>
      </c>
      <c r="Q50" s="94">
        <f>O50/'סכום נכסי הקרן'!$C$42</f>
        <v>9.7097463198873689E-5</v>
      </c>
    </row>
    <row r="51" spans="2:17" s="127" customFormat="1">
      <c r="B51" s="142" t="s">
        <v>1244</v>
      </c>
      <c r="C51" s="96" t="s">
        <v>1174</v>
      </c>
      <c r="D51" s="83" t="s">
        <v>1192</v>
      </c>
      <c r="E51" s="83"/>
      <c r="F51" s="83" t="s">
        <v>582</v>
      </c>
      <c r="G51" s="105">
        <v>42935</v>
      </c>
      <c r="H51" s="83" t="s">
        <v>158</v>
      </c>
      <c r="I51" s="93">
        <v>10.660000000000002</v>
      </c>
      <c r="J51" s="96" t="s">
        <v>162</v>
      </c>
      <c r="K51" s="97">
        <v>4.0800000000000003E-2</v>
      </c>
      <c r="L51" s="97">
        <v>3.5000000000000003E-2</v>
      </c>
      <c r="M51" s="93">
        <v>43485.43</v>
      </c>
      <c r="N51" s="95">
        <v>105.49</v>
      </c>
      <c r="O51" s="93">
        <v>45.872779999999999</v>
      </c>
      <c r="P51" s="94">
        <f t="shared" si="1"/>
        <v>6.705351147134231E-3</v>
      </c>
      <c r="Q51" s="94">
        <f>O51/'סכום נכסי הקרן'!$C$42</f>
        <v>2.0345054469066414E-4</v>
      </c>
    </row>
    <row r="52" spans="2:17" s="127" customFormat="1">
      <c r="B52" s="142" t="s">
        <v>1245</v>
      </c>
      <c r="C52" s="96" t="s">
        <v>1174</v>
      </c>
      <c r="D52" s="83" t="s">
        <v>1193</v>
      </c>
      <c r="E52" s="83"/>
      <c r="F52" s="83" t="s">
        <v>1185</v>
      </c>
      <c r="G52" s="105">
        <v>42680</v>
      </c>
      <c r="H52" s="83" t="s">
        <v>1169</v>
      </c>
      <c r="I52" s="93">
        <v>3.9399999999999995</v>
      </c>
      <c r="J52" s="96" t="s">
        <v>162</v>
      </c>
      <c r="K52" s="97">
        <v>2.3E-2</v>
      </c>
      <c r="L52" s="97">
        <v>2.1700000000000001E-2</v>
      </c>
      <c r="M52" s="93">
        <v>18438.009999999998</v>
      </c>
      <c r="N52" s="95">
        <v>102.32</v>
      </c>
      <c r="O52" s="93">
        <v>18.865770000000001</v>
      </c>
      <c r="P52" s="94">
        <f t="shared" si="1"/>
        <v>2.757661787907133E-3</v>
      </c>
      <c r="Q52" s="94">
        <f>O52/'סכום נכסי הקרן'!$C$42</f>
        <v>8.367164977812095E-5</v>
      </c>
    </row>
    <row r="53" spans="2:17" s="127" customFormat="1">
      <c r="B53" s="142" t="s">
        <v>1245</v>
      </c>
      <c r="C53" s="96" t="s">
        <v>1174</v>
      </c>
      <c r="D53" s="83" t="s">
        <v>1194</v>
      </c>
      <c r="E53" s="83"/>
      <c r="F53" s="83" t="s">
        <v>1185</v>
      </c>
      <c r="G53" s="105">
        <v>42680</v>
      </c>
      <c r="H53" s="83" t="s">
        <v>1169</v>
      </c>
      <c r="I53" s="93">
        <v>2.75</v>
      </c>
      <c r="J53" s="96" t="s">
        <v>162</v>
      </c>
      <c r="K53" s="97">
        <v>2.35E-2</v>
      </c>
      <c r="L53" s="97">
        <v>2.5699999999999997E-2</v>
      </c>
      <c r="M53" s="93">
        <v>38158.57</v>
      </c>
      <c r="N53" s="95">
        <v>99.58</v>
      </c>
      <c r="O53" s="93">
        <v>37.998309999999996</v>
      </c>
      <c r="P53" s="94">
        <f t="shared" si="1"/>
        <v>5.5543180846607098E-3</v>
      </c>
      <c r="Q53" s="94">
        <f>O53/'סכום נכסי הקרן'!$C$42</f>
        <v>1.6852645221904385E-4</v>
      </c>
    </row>
    <row r="54" spans="2:17" s="127" customFormat="1">
      <c r="B54" s="142" t="s">
        <v>1245</v>
      </c>
      <c r="C54" s="96" t="s">
        <v>1174</v>
      </c>
      <c r="D54" s="83" t="s">
        <v>1195</v>
      </c>
      <c r="E54" s="83"/>
      <c r="F54" s="83" t="s">
        <v>1185</v>
      </c>
      <c r="G54" s="105">
        <v>42680</v>
      </c>
      <c r="H54" s="83" t="s">
        <v>1169</v>
      </c>
      <c r="I54" s="93">
        <v>3.8899999999999997</v>
      </c>
      <c r="J54" s="96" t="s">
        <v>162</v>
      </c>
      <c r="K54" s="97">
        <v>3.3700000000000001E-2</v>
      </c>
      <c r="L54" s="97">
        <v>3.3399999999999999E-2</v>
      </c>
      <c r="M54" s="93">
        <v>9381.2199999999993</v>
      </c>
      <c r="N54" s="95">
        <v>100.46</v>
      </c>
      <c r="O54" s="93">
        <v>9.4243700000000015</v>
      </c>
      <c r="P54" s="94">
        <f t="shared" si="1"/>
        <v>1.3775862328491415E-3</v>
      </c>
      <c r="Q54" s="94">
        <f>O54/'סכום נכסי הקרן'!$C$42</f>
        <v>4.1798059979498841E-5</v>
      </c>
    </row>
    <row r="55" spans="2:17" s="127" customFormat="1">
      <c r="B55" s="142" t="s">
        <v>1245</v>
      </c>
      <c r="C55" s="96" t="s">
        <v>1174</v>
      </c>
      <c r="D55" s="83" t="s">
        <v>1196</v>
      </c>
      <c r="E55" s="83"/>
      <c r="F55" s="83" t="s">
        <v>1185</v>
      </c>
      <c r="G55" s="105">
        <v>42717</v>
      </c>
      <c r="H55" s="83" t="s">
        <v>1169</v>
      </c>
      <c r="I55" s="93">
        <v>3.5100000000000002</v>
      </c>
      <c r="J55" s="96" t="s">
        <v>162</v>
      </c>
      <c r="K55" s="97">
        <v>3.85E-2</v>
      </c>
      <c r="L55" s="97">
        <v>4.0300000000000002E-2</v>
      </c>
      <c r="M55" s="93">
        <v>2530.4899999999998</v>
      </c>
      <c r="N55" s="95">
        <v>99.78</v>
      </c>
      <c r="O55" s="93">
        <v>2.5249299999999999</v>
      </c>
      <c r="P55" s="94">
        <f t="shared" si="1"/>
        <v>3.6907600263017925E-4</v>
      </c>
      <c r="Q55" s="94">
        <f>O55/'סכום נכסי הקרן'!$C$42</f>
        <v>1.1198326846678981E-5</v>
      </c>
    </row>
    <row r="56" spans="2:17" s="127" customFormat="1">
      <c r="B56" s="142" t="s">
        <v>1245</v>
      </c>
      <c r="C56" s="96" t="s">
        <v>1174</v>
      </c>
      <c r="D56" s="83" t="s">
        <v>1197</v>
      </c>
      <c r="E56" s="83"/>
      <c r="F56" s="83" t="s">
        <v>1185</v>
      </c>
      <c r="G56" s="105">
        <v>42710</v>
      </c>
      <c r="H56" s="83" t="s">
        <v>1169</v>
      </c>
      <c r="I56" s="93">
        <v>3.51</v>
      </c>
      <c r="J56" s="96" t="s">
        <v>162</v>
      </c>
      <c r="K56" s="97">
        <v>3.8399999999999997E-2</v>
      </c>
      <c r="L56" s="97">
        <v>4.0200000000000007E-2</v>
      </c>
      <c r="M56" s="93">
        <v>7565.47</v>
      </c>
      <c r="N56" s="95">
        <v>99.78</v>
      </c>
      <c r="O56" s="93">
        <v>7.5488299999999997</v>
      </c>
      <c r="P56" s="94">
        <f t="shared" si="1"/>
        <v>1.1034333628792783E-3</v>
      </c>
      <c r="Q56" s="94">
        <f>O56/'סכום נכסי הקרן'!$C$42</f>
        <v>3.3479845243240677E-5</v>
      </c>
    </row>
    <row r="57" spans="2:17" s="127" customFormat="1">
      <c r="B57" s="142" t="s">
        <v>1245</v>
      </c>
      <c r="C57" s="96" t="s">
        <v>1174</v>
      </c>
      <c r="D57" s="83" t="s">
        <v>1198</v>
      </c>
      <c r="E57" s="83"/>
      <c r="F57" s="83" t="s">
        <v>1185</v>
      </c>
      <c r="G57" s="105">
        <v>42680</v>
      </c>
      <c r="H57" s="83" t="s">
        <v>1169</v>
      </c>
      <c r="I57" s="93">
        <v>4.83</v>
      </c>
      <c r="J57" s="96" t="s">
        <v>162</v>
      </c>
      <c r="K57" s="97">
        <v>3.6699999999999997E-2</v>
      </c>
      <c r="L57" s="97">
        <v>3.6499999999999998E-2</v>
      </c>
      <c r="M57" s="93">
        <v>31181.96</v>
      </c>
      <c r="N57" s="95">
        <v>100.54</v>
      </c>
      <c r="O57" s="93">
        <v>31.350339999999999</v>
      </c>
      <c r="P57" s="94">
        <f t="shared" si="1"/>
        <v>4.5825659199649153E-3</v>
      </c>
      <c r="Q57" s="94">
        <f>O57/'סכום נכסי הקרן'!$C$42</f>
        <v>1.3904201465961985E-4</v>
      </c>
    </row>
    <row r="58" spans="2:17" s="127" customFormat="1">
      <c r="B58" s="142" t="s">
        <v>1245</v>
      </c>
      <c r="C58" s="96" t="s">
        <v>1174</v>
      </c>
      <c r="D58" s="83" t="s">
        <v>1199</v>
      </c>
      <c r="E58" s="83"/>
      <c r="F58" s="83" t="s">
        <v>1185</v>
      </c>
      <c r="G58" s="105">
        <v>42680</v>
      </c>
      <c r="H58" s="83" t="s">
        <v>1169</v>
      </c>
      <c r="I58" s="93">
        <v>2.7300000000000004</v>
      </c>
      <c r="J58" s="96" t="s">
        <v>162</v>
      </c>
      <c r="K58" s="97">
        <v>3.1800000000000002E-2</v>
      </c>
      <c r="L58" s="97">
        <v>3.27E-2</v>
      </c>
      <c r="M58" s="93">
        <v>38791.68</v>
      </c>
      <c r="N58" s="95">
        <v>100.03</v>
      </c>
      <c r="O58" s="93">
        <v>38.803309999999996</v>
      </c>
      <c r="P58" s="94">
        <f t="shared" si="1"/>
        <v>5.6719871614736486E-3</v>
      </c>
      <c r="Q58" s="94">
        <f>O58/'סכום נכסי הקרן'!$C$42</f>
        <v>1.7209671084465983E-4</v>
      </c>
    </row>
    <row r="59" spans="2:17" s="127" customFormat="1">
      <c r="B59" s="142" t="s">
        <v>1246</v>
      </c>
      <c r="C59" s="96" t="s">
        <v>1171</v>
      </c>
      <c r="D59" s="83" t="s">
        <v>1200</v>
      </c>
      <c r="E59" s="83"/>
      <c r="F59" s="83" t="s">
        <v>1185</v>
      </c>
      <c r="G59" s="105">
        <v>42884</v>
      </c>
      <c r="H59" s="83" t="s">
        <v>1169</v>
      </c>
      <c r="I59" s="93">
        <v>1.1499999999999999</v>
      </c>
      <c r="J59" s="96" t="s">
        <v>162</v>
      </c>
      <c r="K59" s="97">
        <v>2.2099999999999998E-2</v>
      </c>
      <c r="L59" s="97">
        <v>2.1400000000000002E-2</v>
      </c>
      <c r="M59" s="93">
        <v>29402.86</v>
      </c>
      <c r="N59" s="95">
        <v>100.29</v>
      </c>
      <c r="O59" s="93">
        <v>29.488130000000002</v>
      </c>
      <c r="P59" s="94">
        <f t="shared" si="1"/>
        <v>4.3103615329688622E-3</v>
      </c>
      <c r="Q59" s="94">
        <f>O59/'סכום נכסי הקרן'!$C$42</f>
        <v>1.3078291985811879E-4</v>
      </c>
    </row>
    <row r="60" spans="2:17" s="127" customFormat="1">
      <c r="B60" s="142" t="s">
        <v>1246</v>
      </c>
      <c r="C60" s="96" t="s">
        <v>1171</v>
      </c>
      <c r="D60" s="83" t="s">
        <v>1201</v>
      </c>
      <c r="E60" s="83"/>
      <c r="F60" s="83" t="s">
        <v>1185</v>
      </c>
      <c r="G60" s="105">
        <v>43006</v>
      </c>
      <c r="H60" s="83" t="s">
        <v>1169</v>
      </c>
      <c r="I60" s="93">
        <v>1.3499999999999999</v>
      </c>
      <c r="J60" s="96" t="s">
        <v>162</v>
      </c>
      <c r="K60" s="97">
        <v>2.0799999999999999E-2</v>
      </c>
      <c r="L60" s="97">
        <v>2.4199999999999999E-2</v>
      </c>
      <c r="M60" s="93">
        <v>32669.85</v>
      </c>
      <c r="N60" s="95">
        <v>99.59</v>
      </c>
      <c r="O60" s="93">
        <v>32.535910000000001</v>
      </c>
      <c r="P60" s="94">
        <f t="shared" si="1"/>
        <v>4.7558639664209605E-3</v>
      </c>
      <c r="Q60" s="94">
        <f>O60/'סכום נכסי הקרן'!$C$42</f>
        <v>1.4430014076989507E-4</v>
      </c>
    </row>
    <row r="61" spans="2:17" s="127" customFormat="1">
      <c r="B61" s="142" t="s">
        <v>1246</v>
      </c>
      <c r="C61" s="96" t="s">
        <v>1171</v>
      </c>
      <c r="D61" s="83" t="s">
        <v>1202</v>
      </c>
      <c r="E61" s="83"/>
      <c r="F61" s="83" t="s">
        <v>1185</v>
      </c>
      <c r="G61" s="105">
        <v>43321</v>
      </c>
      <c r="H61" s="83" t="s">
        <v>1169</v>
      </c>
      <c r="I61" s="93">
        <v>1.69</v>
      </c>
      <c r="J61" s="96" t="s">
        <v>162</v>
      </c>
      <c r="K61" s="97">
        <v>2.3980000000000001E-2</v>
      </c>
      <c r="L61" s="97">
        <v>2.2099999999999998E-2</v>
      </c>
      <c r="M61" s="93">
        <v>52960.7</v>
      </c>
      <c r="N61" s="95">
        <v>100.67</v>
      </c>
      <c r="O61" s="93">
        <v>53.315539999999999</v>
      </c>
      <c r="P61" s="94">
        <f t="shared" si="1"/>
        <v>7.7932799646997846E-3</v>
      </c>
      <c r="Q61" s="94">
        <f>O61/'סכום נכסי הקרן'!$C$42</f>
        <v>2.3645995846506123E-4</v>
      </c>
    </row>
    <row r="62" spans="2:17" s="127" customFormat="1">
      <c r="B62" s="142" t="s">
        <v>1246</v>
      </c>
      <c r="C62" s="96" t="s">
        <v>1171</v>
      </c>
      <c r="D62" s="83" t="s">
        <v>1203</v>
      </c>
      <c r="E62" s="83"/>
      <c r="F62" s="83" t="s">
        <v>1185</v>
      </c>
      <c r="G62" s="105">
        <v>43343</v>
      </c>
      <c r="H62" s="83" t="s">
        <v>1169</v>
      </c>
      <c r="I62" s="93">
        <v>1.75</v>
      </c>
      <c r="J62" s="96" t="s">
        <v>162</v>
      </c>
      <c r="K62" s="97">
        <v>2.3789999999999999E-2</v>
      </c>
      <c r="L62" s="97">
        <v>2.3099999999999999E-2</v>
      </c>
      <c r="M62" s="93">
        <v>52960.7</v>
      </c>
      <c r="N62" s="95">
        <v>100.35</v>
      </c>
      <c r="O62" s="93">
        <v>53.146059999999999</v>
      </c>
      <c r="P62" s="94">
        <f t="shared" si="1"/>
        <v>7.7685066042795896E-3</v>
      </c>
      <c r="Q62" s="94">
        <f>O62/'סכום נכסי הקרן'!$C$42</f>
        <v>2.3570829705901229E-4</v>
      </c>
    </row>
    <row r="63" spans="2:17" s="127" customFormat="1">
      <c r="B63" s="142" t="s">
        <v>1246</v>
      </c>
      <c r="C63" s="96" t="s">
        <v>1171</v>
      </c>
      <c r="D63" s="83" t="s">
        <v>1204</v>
      </c>
      <c r="E63" s="83"/>
      <c r="F63" s="83" t="s">
        <v>1185</v>
      </c>
      <c r="G63" s="105">
        <v>42828</v>
      </c>
      <c r="H63" s="83" t="s">
        <v>1169</v>
      </c>
      <c r="I63" s="93">
        <v>0.9900000000000001</v>
      </c>
      <c r="J63" s="96" t="s">
        <v>162</v>
      </c>
      <c r="K63" s="97">
        <v>2.2700000000000001E-2</v>
      </c>
      <c r="L63" s="97">
        <v>2.0600000000000004E-2</v>
      </c>
      <c r="M63" s="93">
        <v>29402.86</v>
      </c>
      <c r="N63" s="95">
        <v>100.77</v>
      </c>
      <c r="O63" s="93">
        <v>29.629259999999999</v>
      </c>
      <c r="P63" s="94">
        <f t="shared" si="1"/>
        <v>4.3309908954665141E-3</v>
      </c>
      <c r="Q63" s="94">
        <f>O63/'סכום נכסי הקרן'!$C$42</f>
        <v>1.3140884606909167E-4</v>
      </c>
    </row>
    <row r="64" spans="2:17" s="127" customFormat="1">
      <c r="B64" s="142" t="s">
        <v>1246</v>
      </c>
      <c r="C64" s="96" t="s">
        <v>1171</v>
      </c>
      <c r="D64" s="83" t="s">
        <v>1205</v>
      </c>
      <c r="E64" s="83"/>
      <c r="F64" s="83" t="s">
        <v>1185</v>
      </c>
      <c r="G64" s="105">
        <v>42859</v>
      </c>
      <c r="H64" s="83" t="s">
        <v>1169</v>
      </c>
      <c r="I64" s="93">
        <v>1.0799999999999998</v>
      </c>
      <c r="J64" s="96" t="s">
        <v>162</v>
      </c>
      <c r="K64" s="97">
        <v>2.2799999999999997E-2</v>
      </c>
      <c r="L64" s="97">
        <v>2.07E-2</v>
      </c>
      <c r="M64" s="93">
        <v>29402.86</v>
      </c>
      <c r="N64" s="95">
        <v>100.59</v>
      </c>
      <c r="O64" s="93">
        <v>29.576330000000002</v>
      </c>
      <c r="P64" s="94">
        <f t="shared" si="1"/>
        <v>4.3232539709501059E-3</v>
      </c>
      <c r="Q64" s="94">
        <f>O64/'סכום נכסי הקרן'!$C$42</f>
        <v>1.311740960205776E-4</v>
      </c>
    </row>
    <row r="65" spans="2:17" s="127" customFormat="1">
      <c r="B65" s="142" t="s">
        <v>1247</v>
      </c>
      <c r="C65" s="96" t="s">
        <v>1174</v>
      </c>
      <c r="D65" s="83" t="s">
        <v>1208</v>
      </c>
      <c r="E65" s="83"/>
      <c r="F65" s="83" t="s">
        <v>1209</v>
      </c>
      <c r="G65" s="105">
        <v>43093</v>
      </c>
      <c r="H65" s="83" t="s">
        <v>1169</v>
      </c>
      <c r="I65" s="93">
        <v>4.4099999999999993</v>
      </c>
      <c r="J65" s="96" t="s">
        <v>162</v>
      </c>
      <c r="K65" s="97">
        <v>2.6089999999999999E-2</v>
      </c>
      <c r="L65" s="97">
        <v>2.63E-2</v>
      </c>
      <c r="M65" s="93">
        <v>53603.75</v>
      </c>
      <c r="N65" s="95">
        <v>101.5</v>
      </c>
      <c r="O65" s="93">
        <v>54.407800000000002</v>
      </c>
      <c r="P65" s="94">
        <f t="shared" si="1"/>
        <v>7.9529386303391642E-3</v>
      </c>
      <c r="Q65" s="94">
        <f>O65/'סכום נכסי הקרן'!$C$42</f>
        <v>2.4130424503203681E-4</v>
      </c>
    </row>
    <row r="66" spans="2:17" s="127" customFormat="1">
      <c r="B66" s="142" t="s">
        <v>1247</v>
      </c>
      <c r="C66" s="96" t="s">
        <v>1174</v>
      </c>
      <c r="D66" s="83" t="s">
        <v>1210</v>
      </c>
      <c r="E66" s="83"/>
      <c r="F66" s="83" t="s">
        <v>1209</v>
      </c>
      <c r="G66" s="105">
        <v>43374</v>
      </c>
      <c r="H66" s="83" t="s">
        <v>1169</v>
      </c>
      <c r="I66" s="93">
        <v>4.42</v>
      </c>
      <c r="J66" s="96" t="s">
        <v>162</v>
      </c>
      <c r="K66" s="97">
        <v>2.6849999999999999E-2</v>
      </c>
      <c r="L66" s="97">
        <v>2.4399999999999998E-2</v>
      </c>
      <c r="M66" s="93">
        <v>75045.25</v>
      </c>
      <c r="N66" s="95">
        <v>101.77</v>
      </c>
      <c r="O66" s="93">
        <v>76.373550000000009</v>
      </c>
      <c r="P66" s="94">
        <f t="shared" si="1"/>
        <v>1.1163733070095461E-2</v>
      </c>
      <c r="Q66" s="94">
        <f>O66/'סכום נכסי הקרן'!$C$42</f>
        <v>3.3872462814461373E-4</v>
      </c>
    </row>
    <row r="67" spans="2:17" s="127" customFormat="1">
      <c r="B67" s="142" t="s">
        <v>1253</v>
      </c>
      <c r="C67" s="96" t="s">
        <v>1174</v>
      </c>
      <c r="D67" s="83" t="s">
        <v>1211</v>
      </c>
      <c r="E67" s="83"/>
      <c r="F67" s="83" t="s">
        <v>626</v>
      </c>
      <c r="G67" s="105">
        <v>43552</v>
      </c>
      <c r="H67" s="83" t="s">
        <v>158</v>
      </c>
      <c r="I67" s="93">
        <v>6.7</v>
      </c>
      <c r="J67" s="96" t="s">
        <v>162</v>
      </c>
      <c r="K67" s="97">
        <v>3.5499999999999997E-2</v>
      </c>
      <c r="L67" s="97">
        <v>3.7000000000000005E-2</v>
      </c>
      <c r="M67" s="93">
        <v>95716.84</v>
      </c>
      <c r="N67" s="95">
        <v>99.59</v>
      </c>
      <c r="O67" s="93">
        <v>95.324399999999997</v>
      </c>
      <c r="P67" s="94">
        <f t="shared" si="1"/>
        <v>1.3933831236953206E-2</v>
      </c>
      <c r="Q67" s="94">
        <f>O67/'סכום נכסי הקרן'!$C$42</f>
        <v>4.2277361656107925E-4</v>
      </c>
    </row>
    <row r="68" spans="2:17" s="127" customFormat="1">
      <c r="B68" s="142" t="s">
        <v>1248</v>
      </c>
      <c r="C68" s="96" t="s">
        <v>1174</v>
      </c>
      <c r="D68" s="83" t="s">
        <v>1212</v>
      </c>
      <c r="E68" s="83"/>
      <c r="F68" s="83" t="s">
        <v>626</v>
      </c>
      <c r="G68" s="105">
        <v>43301</v>
      </c>
      <c r="H68" s="83" t="s">
        <v>315</v>
      </c>
      <c r="I68" s="93">
        <v>1.78</v>
      </c>
      <c r="J68" s="96" t="s">
        <v>161</v>
      </c>
      <c r="K68" s="97">
        <v>6.2560000000000004E-2</v>
      </c>
      <c r="L68" s="97">
        <v>6.9399999999999989E-2</v>
      </c>
      <c r="M68" s="93">
        <v>69310.039999999994</v>
      </c>
      <c r="N68" s="95">
        <v>101.26</v>
      </c>
      <c r="O68" s="93">
        <v>254.90589000000003</v>
      </c>
      <c r="P68" s="94">
        <f t="shared" si="1"/>
        <v>3.7260299068920005E-2</v>
      </c>
      <c r="Q68" s="94">
        <f>O68/'סכום נכסי הקרן'!$C$42</f>
        <v>1.1305341024755535E-3</v>
      </c>
    </row>
    <row r="69" spans="2:17" s="127" customFormat="1">
      <c r="B69" s="142" t="s">
        <v>1248</v>
      </c>
      <c r="C69" s="96" t="s">
        <v>1174</v>
      </c>
      <c r="D69" s="83" t="s">
        <v>1213</v>
      </c>
      <c r="E69" s="83"/>
      <c r="F69" s="83" t="s">
        <v>626</v>
      </c>
      <c r="G69" s="105">
        <v>43496</v>
      </c>
      <c r="H69" s="83" t="s">
        <v>315</v>
      </c>
      <c r="I69" s="93">
        <v>1.78</v>
      </c>
      <c r="J69" s="96" t="s">
        <v>161</v>
      </c>
      <c r="K69" s="97">
        <v>6.2560000000000004E-2</v>
      </c>
      <c r="L69" s="97">
        <v>6.989999999999999E-2</v>
      </c>
      <c r="M69" s="93">
        <v>30830.25</v>
      </c>
      <c r="N69" s="95">
        <v>101.18</v>
      </c>
      <c r="O69" s="93">
        <v>113.29675</v>
      </c>
      <c r="P69" s="94">
        <f t="shared" si="1"/>
        <v>1.6560899352057588E-2</v>
      </c>
      <c r="Q69" s="94">
        <f>O69/'סכום נכסי הקרן'!$C$42</f>
        <v>5.0248285582827127E-4</v>
      </c>
    </row>
    <row r="70" spans="2:17" s="127" customFormat="1">
      <c r="B70" s="142" t="s">
        <v>1248</v>
      </c>
      <c r="C70" s="96" t="s">
        <v>1174</v>
      </c>
      <c r="D70" s="83" t="s">
        <v>1214</v>
      </c>
      <c r="E70" s="83"/>
      <c r="F70" s="83" t="s">
        <v>626</v>
      </c>
      <c r="G70" s="105">
        <v>43496</v>
      </c>
      <c r="H70" s="83" t="s">
        <v>315</v>
      </c>
      <c r="I70" s="93">
        <v>1.78</v>
      </c>
      <c r="J70" s="96" t="s">
        <v>161</v>
      </c>
      <c r="K70" s="97">
        <v>6.2560000000000004E-2</v>
      </c>
      <c r="L70" s="97">
        <v>6.9800000000000001E-2</v>
      </c>
      <c r="M70" s="93">
        <v>7054.57</v>
      </c>
      <c r="N70" s="95">
        <v>101.21</v>
      </c>
      <c r="O70" s="93">
        <v>25.932220000000001</v>
      </c>
      <c r="P70" s="94">
        <f t="shared" si="1"/>
        <v>3.7905843318137089E-3</v>
      </c>
      <c r="Q70" s="94">
        <f>O70/'סכום נכסי הקרן'!$C$42</f>
        <v>1.1501208961039934E-4</v>
      </c>
    </row>
    <row r="71" spans="2:17" s="127" customFormat="1">
      <c r="B71" s="142" t="s">
        <v>1248</v>
      </c>
      <c r="C71" s="96" t="s">
        <v>1174</v>
      </c>
      <c r="D71" s="83">
        <v>6615</v>
      </c>
      <c r="E71" s="83"/>
      <c r="F71" s="83" t="s">
        <v>626</v>
      </c>
      <c r="G71" s="105">
        <v>43496</v>
      </c>
      <c r="H71" s="83" t="s">
        <v>315</v>
      </c>
      <c r="I71" s="93">
        <v>1.78</v>
      </c>
      <c r="J71" s="96" t="s">
        <v>161</v>
      </c>
      <c r="K71" s="97">
        <v>6.2560000000000004E-2</v>
      </c>
      <c r="L71" s="97">
        <v>6.9800000000000001E-2</v>
      </c>
      <c r="M71" s="93">
        <v>4943.12</v>
      </c>
      <c r="N71" s="95">
        <v>101.21</v>
      </c>
      <c r="O71" s="93">
        <v>18.170639999999999</v>
      </c>
      <c r="P71" s="94">
        <f t="shared" si="1"/>
        <v>2.6560527129195818E-3</v>
      </c>
      <c r="Q71" s="94">
        <f>O71/'סכום נכסי הקרן'!$C$42</f>
        <v>8.0588676016102995E-5</v>
      </c>
    </row>
    <row r="72" spans="2:17" s="127" customFormat="1">
      <c r="B72" s="142" t="s">
        <v>1248</v>
      </c>
      <c r="C72" s="96" t="s">
        <v>1174</v>
      </c>
      <c r="D72" s="83" t="s">
        <v>1215</v>
      </c>
      <c r="E72" s="83"/>
      <c r="F72" s="83" t="s">
        <v>626</v>
      </c>
      <c r="G72" s="105">
        <v>43496</v>
      </c>
      <c r="H72" s="83" t="s">
        <v>315</v>
      </c>
      <c r="I72" s="93">
        <v>1.78</v>
      </c>
      <c r="J72" s="96" t="s">
        <v>161</v>
      </c>
      <c r="K72" s="97">
        <v>6.2560000000000004E-2</v>
      </c>
      <c r="L72" s="97">
        <v>6.9800000000000001E-2</v>
      </c>
      <c r="M72" s="93">
        <v>4270.9399999999996</v>
      </c>
      <c r="N72" s="95">
        <v>101.21</v>
      </c>
      <c r="O72" s="93">
        <v>15.69975</v>
      </c>
      <c r="P72" s="94">
        <f t="shared" si="1"/>
        <v>2.2948758865763237E-3</v>
      </c>
      <c r="Q72" s="94">
        <f>O72/'סכום נכסי הקרן'!$C$42</f>
        <v>6.9630022183247978E-5</v>
      </c>
    </row>
    <row r="73" spans="2:17" s="127" customFormat="1">
      <c r="B73" s="142" t="s">
        <v>1248</v>
      </c>
      <c r="C73" s="96" t="s">
        <v>1174</v>
      </c>
      <c r="D73" s="83" t="s">
        <v>1216</v>
      </c>
      <c r="E73" s="83"/>
      <c r="F73" s="83" t="s">
        <v>626</v>
      </c>
      <c r="G73" s="105">
        <v>43496</v>
      </c>
      <c r="H73" s="83" t="s">
        <v>315</v>
      </c>
      <c r="I73" s="93">
        <v>1.7799999999999998</v>
      </c>
      <c r="J73" s="96" t="s">
        <v>161</v>
      </c>
      <c r="K73" s="97">
        <v>6.2560000000000004E-2</v>
      </c>
      <c r="L73" s="97">
        <v>6.5500000000000003E-2</v>
      </c>
      <c r="M73" s="93">
        <v>1978.77</v>
      </c>
      <c r="N73" s="95">
        <v>101.94</v>
      </c>
      <c r="O73" s="93">
        <v>7.3263299999999996</v>
      </c>
      <c r="P73" s="94">
        <f t="shared" si="1"/>
        <v>1.0709099223937142E-3</v>
      </c>
      <c r="Q73" s="94">
        <f>O73/'סכום נכסי הקרן'!$C$42</f>
        <v>3.2493034629328189E-5</v>
      </c>
    </row>
    <row r="74" spans="2:17" s="127" customFormat="1">
      <c r="B74" s="142" t="s">
        <v>1248</v>
      </c>
      <c r="C74" s="96" t="s">
        <v>1174</v>
      </c>
      <c r="D74" s="83" t="s">
        <v>1217</v>
      </c>
      <c r="E74" s="83"/>
      <c r="F74" s="83" t="s">
        <v>626</v>
      </c>
      <c r="G74" s="105">
        <v>43496</v>
      </c>
      <c r="H74" s="83" t="s">
        <v>315</v>
      </c>
      <c r="I74" s="93">
        <v>1.78</v>
      </c>
      <c r="J74" s="96" t="s">
        <v>161</v>
      </c>
      <c r="K74" s="97">
        <v>6.2519000000000005E-2</v>
      </c>
      <c r="L74" s="97">
        <v>6.5799999999999997E-2</v>
      </c>
      <c r="M74" s="93">
        <v>4875.1000000000004</v>
      </c>
      <c r="N74" s="95">
        <v>101.78</v>
      </c>
      <c r="O74" s="93">
        <v>18.021549999999998</v>
      </c>
      <c r="P74" s="94">
        <f t="shared" si="1"/>
        <v>2.6342598152027607E-3</v>
      </c>
      <c r="Q74" s="94">
        <f>O74/'סכום נכסי הקרן'!$C$42</f>
        <v>7.9927446378223388E-5</v>
      </c>
    </row>
    <row r="75" spans="2:17" s="127" customFormat="1">
      <c r="B75" s="142" t="s">
        <v>1248</v>
      </c>
      <c r="C75" s="96" t="s">
        <v>1174</v>
      </c>
      <c r="D75" s="83" t="s">
        <v>1218</v>
      </c>
      <c r="E75" s="83"/>
      <c r="F75" s="83" t="s">
        <v>626</v>
      </c>
      <c r="G75" s="105">
        <v>43552</v>
      </c>
      <c r="H75" s="83" t="s">
        <v>315</v>
      </c>
      <c r="I75" s="93">
        <v>1.8</v>
      </c>
      <c r="J75" s="96" t="s">
        <v>161</v>
      </c>
      <c r="K75" s="97">
        <v>6.2244000000000001E-2</v>
      </c>
      <c r="L75" s="97">
        <v>6.9699999999999998E-2</v>
      </c>
      <c r="M75" s="93">
        <v>3414.17</v>
      </c>
      <c r="N75" s="95">
        <v>100.09</v>
      </c>
      <c r="O75" s="93">
        <v>12.41142</v>
      </c>
      <c r="P75" s="94">
        <f t="shared" si="1"/>
        <v>1.814211594208259E-3</v>
      </c>
      <c r="Q75" s="94">
        <f>O75/'סכום נכסי הקרן'!$C$42</f>
        <v>5.504593703247553E-5</v>
      </c>
    </row>
    <row r="76" spans="2:17" s="127" customFormat="1">
      <c r="B76" s="142" t="s">
        <v>1249</v>
      </c>
      <c r="C76" s="96" t="s">
        <v>1171</v>
      </c>
      <c r="D76" s="83" t="s">
        <v>1219</v>
      </c>
      <c r="E76" s="83"/>
      <c r="F76" s="83" t="s">
        <v>1209</v>
      </c>
      <c r="G76" s="105">
        <v>42978</v>
      </c>
      <c r="H76" s="83" t="s">
        <v>1169</v>
      </c>
      <c r="I76" s="93">
        <v>3.25</v>
      </c>
      <c r="J76" s="96" t="s">
        <v>162</v>
      </c>
      <c r="K76" s="97">
        <v>2.4500000000000001E-2</v>
      </c>
      <c r="L76" s="97">
        <v>2.4999999999999994E-2</v>
      </c>
      <c r="M76" s="93">
        <v>17034.34</v>
      </c>
      <c r="N76" s="95">
        <v>100.08</v>
      </c>
      <c r="O76" s="93">
        <v>17.047879999999999</v>
      </c>
      <c r="P76" s="94">
        <f t="shared" si="1"/>
        <v>2.4919357779102707E-3</v>
      </c>
      <c r="Q76" s="94">
        <f>O76/'סכום נכסי הקרן'!$C$42</f>
        <v>7.5609118780703495E-5</v>
      </c>
    </row>
    <row r="77" spans="2:17" s="127" customFormat="1">
      <c r="B77" s="142" t="s">
        <v>1249</v>
      </c>
      <c r="C77" s="96" t="s">
        <v>1171</v>
      </c>
      <c r="D77" s="83" t="s">
        <v>1220</v>
      </c>
      <c r="E77" s="83"/>
      <c r="F77" s="83" t="s">
        <v>1209</v>
      </c>
      <c r="G77" s="105">
        <v>42978</v>
      </c>
      <c r="H77" s="83" t="s">
        <v>1169</v>
      </c>
      <c r="I77" s="93">
        <v>3.2199999999999993</v>
      </c>
      <c r="J77" s="96" t="s">
        <v>162</v>
      </c>
      <c r="K77" s="97">
        <v>2.76E-2</v>
      </c>
      <c r="L77" s="97">
        <v>3.1699999999999999E-2</v>
      </c>
      <c r="M77" s="93">
        <v>39746.839999999997</v>
      </c>
      <c r="N77" s="95">
        <v>99</v>
      </c>
      <c r="O77" s="93">
        <v>39.34937</v>
      </c>
      <c r="P77" s="94">
        <f t="shared" si="1"/>
        <v>5.7518062621997037E-3</v>
      </c>
      <c r="Q77" s="94">
        <f>O77/'סכום נכסי הקרן'!$C$42</f>
        <v>1.7451854367087584E-4</v>
      </c>
    </row>
    <row r="78" spans="2:17" s="127" customFormat="1">
      <c r="B78" s="142" t="s">
        <v>1254</v>
      </c>
      <c r="C78" s="96" t="s">
        <v>1174</v>
      </c>
      <c r="D78" s="83" t="s">
        <v>1221</v>
      </c>
      <c r="E78" s="83"/>
      <c r="F78" s="83" t="s">
        <v>626</v>
      </c>
      <c r="G78" s="105">
        <v>43552</v>
      </c>
      <c r="H78" s="83" t="s">
        <v>158</v>
      </c>
      <c r="I78" s="93">
        <v>6.92</v>
      </c>
      <c r="J78" s="96" t="s">
        <v>162</v>
      </c>
      <c r="K78" s="97">
        <v>3.5499999999999997E-2</v>
      </c>
      <c r="L78" s="97">
        <v>3.7000000000000005E-2</v>
      </c>
      <c r="M78" s="93">
        <v>197714.5</v>
      </c>
      <c r="N78" s="95">
        <v>99.57</v>
      </c>
      <c r="O78" s="93">
        <v>196.86432000000002</v>
      </c>
      <c r="P78" s="94">
        <f t="shared" si="1"/>
        <v>2.8776202225847234E-2</v>
      </c>
      <c r="Q78" s="94">
        <f>O78/'סכום נכסי הקרן'!$C$42</f>
        <v>8.731137100074862E-4</v>
      </c>
    </row>
    <row r="79" spans="2:17" s="127" customFormat="1">
      <c r="B79" s="142" t="s">
        <v>1250</v>
      </c>
      <c r="C79" s="96" t="s">
        <v>1174</v>
      </c>
      <c r="D79" s="83" t="s">
        <v>1222</v>
      </c>
      <c r="E79" s="83"/>
      <c r="F79" s="83" t="s">
        <v>626</v>
      </c>
      <c r="G79" s="105">
        <v>43227</v>
      </c>
      <c r="H79" s="83" t="s">
        <v>158</v>
      </c>
      <c r="I79" s="93">
        <v>9.9999999999999992E-2</v>
      </c>
      <c r="J79" s="96" t="s">
        <v>162</v>
      </c>
      <c r="K79" s="97">
        <v>2.75E-2</v>
      </c>
      <c r="L79" s="97">
        <v>2.7800000000000002E-2</v>
      </c>
      <c r="M79" s="93">
        <v>265.7</v>
      </c>
      <c r="N79" s="95">
        <v>100.18</v>
      </c>
      <c r="O79" s="93">
        <v>0.26618000000000003</v>
      </c>
      <c r="P79" s="94">
        <f t="shared" si="1"/>
        <v>3.8908266914370347E-5</v>
      </c>
      <c r="Q79" s="94">
        <f>O79/'סכום נכסי הקרן'!$C$42</f>
        <v>1.1805359515111355E-6</v>
      </c>
    </row>
    <row r="80" spans="2:17" s="127" customFormat="1">
      <c r="B80" s="142" t="s">
        <v>1250</v>
      </c>
      <c r="C80" s="96" t="s">
        <v>1174</v>
      </c>
      <c r="D80" s="83" t="s">
        <v>1223</v>
      </c>
      <c r="E80" s="83"/>
      <c r="F80" s="83" t="s">
        <v>626</v>
      </c>
      <c r="G80" s="105">
        <v>43279</v>
      </c>
      <c r="H80" s="83" t="s">
        <v>158</v>
      </c>
      <c r="I80" s="93">
        <v>0.08</v>
      </c>
      <c r="J80" s="96" t="s">
        <v>162</v>
      </c>
      <c r="K80" s="97">
        <v>2.75E-2</v>
      </c>
      <c r="L80" s="97">
        <v>2.5600000000000001E-2</v>
      </c>
      <c r="M80" s="93">
        <v>1148.3699999999999</v>
      </c>
      <c r="N80" s="95">
        <v>100.25</v>
      </c>
      <c r="O80" s="93">
        <v>1.15124</v>
      </c>
      <c r="P80" s="94">
        <f t="shared" si="1"/>
        <v>1.6827993539146336E-4</v>
      </c>
      <c r="Q80" s="94">
        <f>O80/'סכום נכסי הקרן'!$C$42</f>
        <v>5.1058689939803129E-6</v>
      </c>
    </row>
    <row r="81" spans="2:17" s="127" customFormat="1">
      <c r="B81" s="142" t="s">
        <v>1250</v>
      </c>
      <c r="C81" s="96" t="s">
        <v>1174</v>
      </c>
      <c r="D81" s="83" t="s">
        <v>1224</v>
      </c>
      <c r="E81" s="83"/>
      <c r="F81" s="83" t="s">
        <v>626</v>
      </c>
      <c r="G81" s="105">
        <v>43321</v>
      </c>
      <c r="H81" s="83" t="s">
        <v>158</v>
      </c>
      <c r="I81" s="93">
        <v>2.9999999999999995E-2</v>
      </c>
      <c r="J81" s="96" t="s">
        <v>162</v>
      </c>
      <c r="K81" s="97">
        <v>2.75E-2</v>
      </c>
      <c r="L81" s="97">
        <v>2.6399999999999996E-2</v>
      </c>
      <c r="M81" s="93">
        <v>5069.51</v>
      </c>
      <c r="N81" s="95">
        <v>100.38</v>
      </c>
      <c r="O81" s="93">
        <v>5.0887700000000002</v>
      </c>
      <c r="P81" s="94">
        <f t="shared" si="1"/>
        <v>7.4383958759426105E-4</v>
      </c>
      <c r="Q81" s="94">
        <f>O81/'סכום נכסי הקרן'!$C$42</f>
        <v>2.2569223585435875E-5</v>
      </c>
    </row>
    <row r="82" spans="2:17" s="127" customFormat="1">
      <c r="B82" s="142" t="s">
        <v>1250</v>
      </c>
      <c r="C82" s="96" t="s">
        <v>1174</v>
      </c>
      <c r="D82" s="83" t="s">
        <v>1225</v>
      </c>
      <c r="E82" s="83"/>
      <c r="F82" s="83" t="s">
        <v>626</v>
      </c>
      <c r="G82" s="105">
        <v>43138</v>
      </c>
      <c r="H82" s="83" t="s">
        <v>158</v>
      </c>
      <c r="I82" s="93">
        <v>1.9999999999999997E-2</v>
      </c>
      <c r="J82" s="96" t="s">
        <v>162</v>
      </c>
      <c r="K82" s="97">
        <v>2.75E-2</v>
      </c>
      <c r="L82" s="97">
        <v>4.469999999999999E-2</v>
      </c>
      <c r="M82" s="93">
        <v>1090.95</v>
      </c>
      <c r="N82" s="95">
        <v>100.36</v>
      </c>
      <c r="O82" s="93">
        <v>1.0948800000000001</v>
      </c>
      <c r="P82" s="94">
        <f t="shared" si="1"/>
        <v>1.6004163828689535E-4</v>
      </c>
      <c r="Q82" s="94">
        <f>O82/'סכום נכסי הקרן'!$C$42</f>
        <v>4.8559065391483659E-6</v>
      </c>
    </row>
    <row r="83" spans="2:17" s="127" customFormat="1">
      <c r="B83" s="142" t="s">
        <v>1250</v>
      </c>
      <c r="C83" s="96" t="s">
        <v>1174</v>
      </c>
      <c r="D83" s="83" t="s">
        <v>1226</v>
      </c>
      <c r="E83" s="83"/>
      <c r="F83" s="83" t="s">
        <v>626</v>
      </c>
      <c r="G83" s="105">
        <v>43227</v>
      </c>
      <c r="H83" s="83" t="s">
        <v>158</v>
      </c>
      <c r="I83" s="93">
        <v>9.4499999999999993</v>
      </c>
      <c r="J83" s="96" t="s">
        <v>162</v>
      </c>
      <c r="K83" s="97">
        <v>2.9805999999999999E-2</v>
      </c>
      <c r="L83" s="97">
        <v>2.8999999999999995E-2</v>
      </c>
      <c r="M83" s="93">
        <v>5801.22</v>
      </c>
      <c r="N83" s="95">
        <v>100.54</v>
      </c>
      <c r="O83" s="93">
        <v>5.83256</v>
      </c>
      <c r="P83" s="94">
        <f t="shared" si="1"/>
        <v>8.5256142938642989E-4</v>
      </c>
      <c r="Q83" s="94">
        <f>O83/'סכום נכסי הקרן'!$C$42</f>
        <v>2.5868009502388565E-5</v>
      </c>
    </row>
    <row r="84" spans="2:17" s="127" customFormat="1">
      <c r="B84" s="142" t="s">
        <v>1250</v>
      </c>
      <c r="C84" s="96" t="s">
        <v>1174</v>
      </c>
      <c r="D84" s="83" t="s">
        <v>1227</v>
      </c>
      <c r="E84" s="83"/>
      <c r="F84" s="83" t="s">
        <v>626</v>
      </c>
      <c r="G84" s="105">
        <v>43279</v>
      </c>
      <c r="H84" s="83" t="s">
        <v>158</v>
      </c>
      <c r="I84" s="93">
        <v>9.49</v>
      </c>
      <c r="J84" s="96" t="s">
        <v>162</v>
      </c>
      <c r="K84" s="97">
        <v>2.9796999999999997E-2</v>
      </c>
      <c r="L84" s="97">
        <v>2.7699999999999999E-2</v>
      </c>
      <c r="M84" s="93">
        <v>6784.73</v>
      </c>
      <c r="N84" s="95">
        <v>100.82</v>
      </c>
      <c r="O84" s="93">
        <v>6.8403700000000001</v>
      </c>
      <c r="P84" s="94">
        <f t="shared" si="1"/>
        <v>9.9987580491791824E-4</v>
      </c>
      <c r="Q84" s="94">
        <f>O84/'סכום נכסי הקרן'!$C$42</f>
        <v>3.0337751546465646E-5</v>
      </c>
    </row>
    <row r="85" spans="2:17" s="127" customFormat="1">
      <c r="B85" s="142" t="s">
        <v>1250</v>
      </c>
      <c r="C85" s="96" t="s">
        <v>1174</v>
      </c>
      <c r="D85" s="83" t="s">
        <v>1228</v>
      </c>
      <c r="E85" s="83"/>
      <c r="F85" s="83" t="s">
        <v>626</v>
      </c>
      <c r="G85" s="105">
        <v>43321</v>
      </c>
      <c r="H85" s="83" t="s">
        <v>158</v>
      </c>
      <c r="I85" s="93">
        <v>9.5</v>
      </c>
      <c r="J85" s="96" t="s">
        <v>162</v>
      </c>
      <c r="K85" s="97">
        <v>3.0529000000000001E-2</v>
      </c>
      <c r="L85" s="97">
        <v>2.69E-2</v>
      </c>
      <c r="M85" s="93">
        <v>37993.279999999999</v>
      </c>
      <c r="N85" s="95">
        <v>102.3</v>
      </c>
      <c r="O85" s="93">
        <v>38.86712</v>
      </c>
      <c r="P85" s="94">
        <f t="shared" si="1"/>
        <v>5.6813144456866107E-3</v>
      </c>
      <c r="Q85" s="94">
        <f>O85/'סכום נכסי הקרן'!$C$42</f>
        <v>1.723797148234183E-4</v>
      </c>
    </row>
    <row r="86" spans="2:17" s="127" customFormat="1">
      <c r="B86" s="142" t="s">
        <v>1250</v>
      </c>
      <c r="C86" s="96" t="s">
        <v>1174</v>
      </c>
      <c r="D86" s="83" t="s">
        <v>1229</v>
      </c>
      <c r="E86" s="83"/>
      <c r="F86" s="83" t="s">
        <v>626</v>
      </c>
      <c r="G86" s="105">
        <v>43138</v>
      </c>
      <c r="H86" s="83" t="s">
        <v>158</v>
      </c>
      <c r="I86" s="93">
        <v>9.41</v>
      </c>
      <c r="J86" s="96" t="s">
        <v>162</v>
      </c>
      <c r="K86" s="97">
        <v>2.8239999999999998E-2</v>
      </c>
      <c r="L86" s="97">
        <v>3.1900000000000005E-2</v>
      </c>
      <c r="M86" s="93">
        <v>36402.639999999999</v>
      </c>
      <c r="N86" s="95">
        <v>96.35</v>
      </c>
      <c r="O86" s="93">
        <v>35.073949999999996</v>
      </c>
      <c r="P86" s="94">
        <f t="shared" si="1"/>
        <v>5.1268562940163789E-3</v>
      </c>
      <c r="Q86" s="94">
        <f>O86/'סכום נכסי הקרן'!$C$42</f>
        <v>1.5555661182847691E-4</v>
      </c>
    </row>
    <row r="87" spans="2:17" s="127" customFormat="1">
      <c r="B87" s="142" t="s">
        <v>1250</v>
      </c>
      <c r="C87" s="96" t="s">
        <v>1174</v>
      </c>
      <c r="D87" s="83" t="s">
        <v>1230</v>
      </c>
      <c r="E87" s="83"/>
      <c r="F87" s="83" t="s">
        <v>626</v>
      </c>
      <c r="G87" s="105">
        <v>43417</v>
      </c>
      <c r="H87" s="83" t="s">
        <v>158</v>
      </c>
      <c r="I87" s="93">
        <v>9.4</v>
      </c>
      <c r="J87" s="96" t="s">
        <v>162</v>
      </c>
      <c r="K87" s="97">
        <v>3.2797E-2</v>
      </c>
      <c r="L87" s="97">
        <v>2.8400000000000002E-2</v>
      </c>
      <c r="M87" s="93">
        <v>43208.42</v>
      </c>
      <c r="N87" s="95">
        <v>102.99</v>
      </c>
      <c r="O87" s="93">
        <v>44.500349999999997</v>
      </c>
      <c r="P87" s="94">
        <f t="shared" si="1"/>
        <v>6.5047392575809616E-3</v>
      </c>
      <c r="Q87" s="94">
        <f>O87/'סכום נכסי הקרן'!$C$42</f>
        <v>1.9736367506885773E-4</v>
      </c>
    </row>
    <row r="88" spans="2:17" s="127" customFormat="1">
      <c r="B88" s="142" t="s">
        <v>1250</v>
      </c>
      <c r="C88" s="96" t="s">
        <v>1174</v>
      </c>
      <c r="D88" s="83" t="s">
        <v>1206</v>
      </c>
      <c r="E88" s="83"/>
      <c r="F88" s="83" t="s">
        <v>626</v>
      </c>
      <c r="G88" s="105">
        <v>43496</v>
      </c>
      <c r="H88" s="83" t="s">
        <v>158</v>
      </c>
      <c r="I88" s="93">
        <v>9.52</v>
      </c>
      <c r="J88" s="96" t="s">
        <v>162</v>
      </c>
      <c r="K88" s="97">
        <v>3.2190999999999997E-2</v>
      </c>
      <c r="L88" s="97">
        <v>2.4900000000000002E-2</v>
      </c>
      <c r="M88" s="93">
        <v>54618.83</v>
      </c>
      <c r="N88" s="95">
        <v>105.85</v>
      </c>
      <c r="O88" s="93">
        <v>57.814029999999995</v>
      </c>
      <c r="P88" s="94">
        <f>O88/$O$10</f>
        <v>8.4508366918454227E-3</v>
      </c>
      <c r="Q88" s="94">
        <f>O88/'סכום נכסי הקרן'!$C$42</f>
        <v>2.5641122893058576E-4</v>
      </c>
    </row>
    <row r="89" spans="2:17" s="127" customFormat="1">
      <c r="B89" s="142" t="s">
        <v>1250</v>
      </c>
      <c r="C89" s="96" t="s">
        <v>1174</v>
      </c>
      <c r="D89" s="83" t="s">
        <v>1207</v>
      </c>
      <c r="E89" s="83"/>
      <c r="F89" s="83" t="s">
        <v>626</v>
      </c>
      <c r="G89" s="105">
        <v>43541</v>
      </c>
      <c r="H89" s="83" t="s">
        <v>158</v>
      </c>
      <c r="I89" s="93">
        <v>9.4999999999999982</v>
      </c>
      <c r="J89" s="96" t="s">
        <v>162</v>
      </c>
      <c r="K89" s="97">
        <v>2.9270999999999998E-2</v>
      </c>
      <c r="L89" s="97">
        <v>2.7900000000000001E-2</v>
      </c>
      <c r="M89" s="93">
        <v>4697.67</v>
      </c>
      <c r="N89" s="95">
        <v>100.19</v>
      </c>
      <c r="O89" s="93">
        <v>4.7066000000000008</v>
      </c>
      <c r="P89" s="94">
        <f>O89/$O$10</f>
        <v>6.8797674152519159E-4</v>
      </c>
      <c r="Q89" s="94">
        <f>O89/'סכום נכסי הקרן'!$C$42</f>
        <v>2.0874259934564247E-5</v>
      </c>
    </row>
    <row r="90" spans="2:17" s="127" customFormat="1">
      <c r="B90" s="142" t="s">
        <v>1251</v>
      </c>
      <c r="C90" s="96" t="s">
        <v>1174</v>
      </c>
      <c r="D90" s="83" t="s">
        <v>1231</v>
      </c>
      <c r="E90" s="83"/>
      <c r="F90" s="83" t="s">
        <v>656</v>
      </c>
      <c r="G90" s="105">
        <v>42825</v>
      </c>
      <c r="H90" s="83" t="s">
        <v>158</v>
      </c>
      <c r="I90" s="93">
        <v>7.11</v>
      </c>
      <c r="J90" s="96" t="s">
        <v>162</v>
      </c>
      <c r="K90" s="97">
        <v>2.8999999999999998E-2</v>
      </c>
      <c r="L90" s="97">
        <v>2.1999999999999999E-2</v>
      </c>
      <c r="M90" s="93">
        <v>206074.37</v>
      </c>
      <c r="N90" s="95">
        <v>106.5</v>
      </c>
      <c r="O90" s="93">
        <v>219.4692</v>
      </c>
      <c r="P90" s="94">
        <f t="shared" si="1"/>
        <v>3.2080420065682354E-2</v>
      </c>
      <c r="Q90" s="94">
        <f>O90/'סכום נכסי הקרן'!$C$42</f>
        <v>9.7336870106464683E-4</v>
      </c>
    </row>
    <row r="91" spans="2:17" s="127" customFormat="1">
      <c r="B91" s="142" t="s">
        <v>1255</v>
      </c>
      <c r="C91" s="96" t="s">
        <v>1171</v>
      </c>
      <c r="D91" s="83">
        <v>6718</v>
      </c>
      <c r="E91" s="83"/>
      <c r="F91" s="83" t="s">
        <v>1170</v>
      </c>
      <c r="G91" s="105">
        <v>43482</v>
      </c>
      <c r="H91" s="83"/>
      <c r="I91" s="93">
        <v>3.8599999999999994</v>
      </c>
      <c r="J91" s="96" t="s">
        <v>162</v>
      </c>
      <c r="K91" s="97">
        <v>4.1299999999999996E-2</v>
      </c>
      <c r="L91" s="97">
        <v>3.6299999999999999E-2</v>
      </c>
      <c r="M91" s="93">
        <v>281702.95</v>
      </c>
      <c r="N91" s="95">
        <v>102.87</v>
      </c>
      <c r="O91" s="93">
        <v>289.78784000000002</v>
      </c>
      <c r="P91" s="94">
        <f>O91/$O$10</f>
        <v>4.2359090191820756E-2</v>
      </c>
      <c r="Q91" s="94">
        <f>O91/'סכום נכסי הקרן'!$C$42</f>
        <v>1.285239174358542E-3</v>
      </c>
    </row>
    <row r="92" spans="2:17" s="127" customFormat="1">
      <c r="B92" s="82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93"/>
      <c r="N92" s="95"/>
      <c r="O92" s="83"/>
      <c r="P92" s="94"/>
      <c r="Q92" s="83"/>
    </row>
    <row r="93" spans="2:17" s="127" customFormat="1">
      <c r="B93" s="80" t="s">
        <v>37</v>
      </c>
      <c r="C93" s="81"/>
      <c r="D93" s="81"/>
      <c r="E93" s="81"/>
      <c r="F93" s="81"/>
      <c r="G93" s="81"/>
      <c r="H93" s="81"/>
      <c r="I93" s="90">
        <v>6.27</v>
      </c>
      <c r="J93" s="81"/>
      <c r="K93" s="81"/>
      <c r="L93" s="103">
        <v>4.4158480371010417E-2</v>
      </c>
      <c r="M93" s="90"/>
      <c r="N93" s="92"/>
      <c r="O93" s="90">
        <f>O94</f>
        <v>601.50116000000003</v>
      </c>
      <c r="P93" s="91">
        <f t="shared" ref="P93:P96" si="2">O93/$O$10</f>
        <v>8.7923088446101832E-2</v>
      </c>
      <c r="Q93" s="91">
        <f>O93/'סכום נכסי הקרן'!$C$42</f>
        <v>2.6677201301963023E-3</v>
      </c>
    </row>
    <row r="94" spans="2:17" s="127" customFormat="1">
      <c r="B94" s="101" t="s">
        <v>35</v>
      </c>
      <c r="C94" s="81"/>
      <c r="D94" s="81"/>
      <c r="E94" s="81"/>
      <c r="F94" s="81"/>
      <c r="G94" s="81"/>
      <c r="H94" s="81"/>
      <c r="I94" s="90">
        <v>6.27</v>
      </c>
      <c r="J94" s="81"/>
      <c r="K94" s="81"/>
      <c r="L94" s="103">
        <v>4.4158480371010417E-2</v>
      </c>
      <c r="M94" s="90"/>
      <c r="N94" s="92"/>
      <c r="O94" s="90">
        <f>O95+O96</f>
        <v>601.50116000000003</v>
      </c>
      <c r="P94" s="91">
        <f t="shared" si="2"/>
        <v>8.7923088446101832E-2</v>
      </c>
      <c r="Q94" s="91">
        <f>O94/'סכום נכסי הקרן'!$C$42</f>
        <v>2.6677201301963023E-3</v>
      </c>
    </row>
    <row r="95" spans="2:17" s="127" customFormat="1">
      <c r="B95" s="142" t="s">
        <v>1252</v>
      </c>
      <c r="C95" s="96" t="s">
        <v>1171</v>
      </c>
      <c r="D95" s="83" t="s">
        <v>1232</v>
      </c>
      <c r="E95" s="83"/>
      <c r="F95" s="83" t="s">
        <v>1182</v>
      </c>
      <c r="G95" s="105">
        <v>43186</v>
      </c>
      <c r="H95" s="83" t="s">
        <v>1169</v>
      </c>
      <c r="I95" s="93">
        <v>6.27</v>
      </c>
      <c r="J95" s="96" t="s">
        <v>161</v>
      </c>
      <c r="K95" s="97">
        <v>4.8000000000000001E-2</v>
      </c>
      <c r="L95" s="97">
        <v>4.2900000000000001E-2</v>
      </c>
      <c r="M95" s="93">
        <v>108179</v>
      </c>
      <c r="N95" s="95">
        <v>103.69</v>
      </c>
      <c r="O95" s="93">
        <v>407.40439000000003</v>
      </c>
      <c r="P95" s="94">
        <f t="shared" si="2"/>
        <v>5.955142665942683E-2</v>
      </c>
      <c r="Q95" s="94">
        <f>O95/'סכום נכסי הקרן'!$C$42</f>
        <v>1.8068807919395288E-3</v>
      </c>
    </row>
    <row r="96" spans="2:17" s="127" customFormat="1">
      <c r="B96" s="142" t="s">
        <v>1252</v>
      </c>
      <c r="C96" s="96" t="s">
        <v>1171</v>
      </c>
      <c r="D96" s="83">
        <v>6831</v>
      </c>
      <c r="E96" s="83"/>
      <c r="F96" s="83" t="s">
        <v>1182</v>
      </c>
      <c r="G96" s="105">
        <v>43552</v>
      </c>
      <c r="H96" s="83" t="s">
        <v>1169</v>
      </c>
      <c r="I96" s="93">
        <v>6.2700000000000005</v>
      </c>
      <c r="J96" s="96" t="s">
        <v>161</v>
      </c>
      <c r="K96" s="97">
        <v>4.5999999999999999E-2</v>
      </c>
      <c r="L96" s="97">
        <v>4.6799999999999994E-2</v>
      </c>
      <c r="M96" s="93">
        <v>53521.02</v>
      </c>
      <c r="N96" s="95">
        <v>99.85</v>
      </c>
      <c r="O96" s="93">
        <v>194.09676999999999</v>
      </c>
      <c r="P96" s="94">
        <f t="shared" si="2"/>
        <v>2.8371661786674995E-2</v>
      </c>
      <c r="Q96" s="94">
        <f>O96/'סכום נכסי הקרן'!$C$42</f>
        <v>8.6083933825677357E-4</v>
      </c>
    </row>
    <row r="97" spans="2:5" s="127" customFormat="1">
      <c r="B97" s="135"/>
      <c r="C97" s="135"/>
      <c r="D97" s="135"/>
      <c r="E97" s="135"/>
    </row>
    <row r="98" spans="2:5" s="127" customFormat="1">
      <c r="B98" s="135"/>
      <c r="C98" s="135"/>
      <c r="D98" s="135"/>
      <c r="E98" s="135"/>
    </row>
    <row r="99" spans="2:5" s="127" customFormat="1">
      <c r="B99" s="135"/>
      <c r="C99" s="135"/>
      <c r="D99" s="135"/>
      <c r="E99" s="135"/>
    </row>
    <row r="100" spans="2:5" s="127" customFormat="1">
      <c r="B100" s="138" t="s">
        <v>246</v>
      </c>
      <c r="C100" s="135"/>
      <c r="D100" s="135"/>
      <c r="E100" s="135"/>
    </row>
    <row r="101" spans="2:5" s="127" customFormat="1">
      <c r="B101" s="138" t="s">
        <v>110</v>
      </c>
      <c r="C101" s="135"/>
      <c r="D101" s="135"/>
      <c r="E101" s="135"/>
    </row>
    <row r="102" spans="2:5" s="127" customFormat="1">
      <c r="B102" s="138" t="s">
        <v>229</v>
      </c>
      <c r="C102" s="135"/>
      <c r="D102" s="135"/>
      <c r="E102" s="135"/>
    </row>
    <row r="103" spans="2:5" s="127" customFormat="1">
      <c r="B103" s="138" t="s">
        <v>237</v>
      </c>
      <c r="C103" s="135"/>
      <c r="D103" s="135"/>
      <c r="E103" s="135"/>
    </row>
  </sheetData>
  <sheetProtection sheet="1" objects="1" scenarios="1"/>
  <mergeCells count="1">
    <mergeCell ref="B6:Q6"/>
  </mergeCells>
  <phoneticPr fontId="6" type="noConversion"/>
  <conditionalFormatting sqref="B92:B94">
    <cfRule type="cellIs" dxfId="9" priority="15" operator="equal">
      <formula>2958465</formula>
    </cfRule>
    <cfRule type="cellIs" dxfId="8" priority="16" operator="equal">
      <formula>"NR3"</formula>
    </cfRule>
    <cfRule type="cellIs" dxfId="7" priority="17" operator="equal">
      <formula>"דירוג פנימי"</formula>
    </cfRule>
  </conditionalFormatting>
  <conditionalFormatting sqref="B92:B94">
    <cfRule type="cellIs" dxfId="6" priority="14" operator="equal">
      <formula>2958465</formula>
    </cfRule>
  </conditionalFormatting>
  <conditionalFormatting sqref="B11:B12 B32:B33">
    <cfRule type="cellIs" dxfId="5" priority="13" operator="equal">
      <formula>"NR3"</formula>
    </cfRule>
  </conditionalFormatting>
  <conditionalFormatting sqref="B13:B31">
    <cfRule type="cellIs" dxfId="4" priority="1" operator="equal">
      <formula>"NR3"</formula>
    </cfRule>
  </conditionalFormatting>
  <dataValidations count="1">
    <dataValidation allowBlank="1" showInputMessage="1" showErrorMessage="1" sqref="D1:Q9 C5:C9 B1:B9 B97:Q1048576 Y59:XFD62 A1:A1048576 R63:XFD1048576 R1:XFD58 R59:W6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177</v>
      </c>
      <c r="C1" s="77" t="s" vm="1">
        <v>247</v>
      </c>
    </row>
    <row r="2" spans="2:64">
      <c r="B2" s="56" t="s">
        <v>176</v>
      </c>
      <c r="C2" s="77" t="s">
        <v>248</v>
      </c>
    </row>
    <row r="3" spans="2:64">
      <c r="B3" s="56" t="s">
        <v>178</v>
      </c>
      <c r="C3" s="77" t="s">
        <v>249</v>
      </c>
    </row>
    <row r="4" spans="2:64">
      <c r="B4" s="56" t="s">
        <v>179</v>
      </c>
      <c r="C4" s="77">
        <v>2144</v>
      </c>
    </row>
    <row r="6" spans="2:64" ht="26.25" customHeight="1">
      <c r="B6" s="195" t="s">
        <v>210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64" s="3" customFormat="1" ht="78.75">
      <c r="B7" s="59" t="s">
        <v>114</v>
      </c>
      <c r="C7" s="60" t="s">
        <v>43</v>
      </c>
      <c r="D7" s="60" t="s">
        <v>115</v>
      </c>
      <c r="E7" s="60" t="s">
        <v>15</v>
      </c>
      <c r="F7" s="60" t="s">
        <v>61</v>
      </c>
      <c r="G7" s="60" t="s">
        <v>18</v>
      </c>
      <c r="H7" s="60" t="s">
        <v>99</v>
      </c>
      <c r="I7" s="60" t="s">
        <v>49</v>
      </c>
      <c r="J7" s="60" t="s">
        <v>19</v>
      </c>
      <c r="K7" s="60" t="s">
        <v>231</v>
      </c>
      <c r="L7" s="60" t="s">
        <v>230</v>
      </c>
      <c r="M7" s="60" t="s">
        <v>108</v>
      </c>
      <c r="N7" s="60" t="s">
        <v>180</v>
      </c>
      <c r="O7" s="62" t="s">
        <v>182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238</v>
      </c>
      <c r="L8" s="32"/>
      <c r="M8" s="32" t="s">
        <v>234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"/>
      <c r="Q10" s="1"/>
      <c r="R10" s="1"/>
      <c r="S10" s="1"/>
      <c r="T10" s="1"/>
      <c r="U10" s="1"/>
      <c r="BL10" s="1"/>
    </row>
    <row r="11" spans="2:64" ht="20.25" customHeight="1">
      <c r="B11" s="98" t="s">
        <v>246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</row>
    <row r="12" spans="2:64">
      <c r="B12" s="98" t="s">
        <v>110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</row>
    <row r="13" spans="2:64">
      <c r="B13" s="98" t="s">
        <v>229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</row>
    <row r="14" spans="2:64">
      <c r="B14" s="98" t="s">
        <v>237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spans="2:6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</row>
    <row r="16" spans="2:64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</row>
    <row r="17" spans="2:1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</sheetData>
  <sheetProtection sheet="1" objects="1" scenarios="1"/>
  <mergeCells count="1">
    <mergeCell ref="B6:O6"/>
  </mergeCells>
  <phoneticPr fontId="6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W31" sqref="W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177</v>
      </c>
      <c r="C1" s="77" t="s" vm="1">
        <v>247</v>
      </c>
    </row>
    <row r="2" spans="2:56">
      <c r="B2" s="56" t="s">
        <v>176</v>
      </c>
      <c r="C2" s="77" t="s">
        <v>248</v>
      </c>
    </row>
    <row r="3" spans="2:56">
      <c r="B3" s="56" t="s">
        <v>178</v>
      </c>
      <c r="C3" s="77" t="s">
        <v>249</v>
      </c>
    </row>
    <row r="4" spans="2:56">
      <c r="B4" s="56" t="s">
        <v>179</v>
      </c>
      <c r="C4" s="77">
        <v>2144</v>
      </c>
    </row>
    <row r="6" spans="2:56" ht="26.25" customHeight="1">
      <c r="B6" s="195" t="s">
        <v>211</v>
      </c>
      <c r="C6" s="196"/>
      <c r="D6" s="196"/>
      <c r="E6" s="196"/>
      <c r="F6" s="196"/>
      <c r="G6" s="196"/>
      <c r="H6" s="196"/>
      <c r="I6" s="196"/>
      <c r="J6" s="197"/>
    </row>
    <row r="7" spans="2:56" s="3" customFormat="1" ht="78.75">
      <c r="B7" s="59" t="s">
        <v>114</v>
      </c>
      <c r="C7" s="61" t="s">
        <v>51</v>
      </c>
      <c r="D7" s="61" t="s">
        <v>83</v>
      </c>
      <c r="E7" s="61" t="s">
        <v>52</v>
      </c>
      <c r="F7" s="61" t="s">
        <v>99</v>
      </c>
      <c r="G7" s="61" t="s">
        <v>222</v>
      </c>
      <c r="H7" s="61" t="s">
        <v>180</v>
      </c>
      <c r="I7" s="63" t="s">
        <v>181</v>
      </c>
      <c r="J7" s="76" t="s">
        <v>241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235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5"/>
      <c r="C11" s="100"/>
      <c r="D11" s="100"/>
      <c r="E11" s="100"/>
      <c r="F11" s="100"/>
      <c r="G11" s="100"/>
      <c r="H11" s="100"/>
      <c r="I11" s="100"/>
      <c r="J11" s="100"/>
    </row>
    <row r="12" spans="2:56">
      <c r="B12" s="115"/>
      <c r="C12" s="100"/>
      <c r="D12" s="100"/>
      <c r="E12" s="100"/>
      <c r="F12" s="100"/>
      <c r="G12" s="100"/>
      <c r="H12" s="100"/>
      <c r="I12" s="100"/>
      <c r="J12" s="100"/>
    </row>
    <row r="13" spans="2:56">
      <c r="B13" s="100"/>
      <c r="C13" s="100"/>
      <c r="D13" s="100"/>
      <c r="E13" s="100"/>
      <c r="F13" s="100"/>
      <c r="G13" s="100"/>
      <c r="H13" s="100"/>
      <c r="I13" s="100"/>
      <c r="J13" s="100"/>
    </row>
    <row r="14" spans="2:56">
      <c r="B14" s="100"/>
      <c r="C14" s="100"/>
      <c r="D14" s="100"/>
      <c r="E14" s="100"/>
      <c r="F14" s="100"/>
      <c r="G14" s="100"/>
      <c r="H14" s="100"/>
      <c r="I14" s="100"/>
      <c r="J14" s="100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00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00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6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177</v>
      </c>
      <c r="C1" s="77" t="s" vm="1">
        <v>247</v>
      </c>
    </row>
    <row r="2" spans="2:60">
      <c r="B2" s="56" t="s">
        <v>176</v>
      </c>
      <c r="C2" s="77" t="s">
        <v>248</v>
      </c>
    </row>
    <row r="3" spans="2:60">
      <c r="B3" s="56" t="s">
        <v>178</v>
      </c>
      <c r="C3" s="77" t="s">
        <v>249</v>
      </c>
    </row>
    <row r="4" spans="2:60">
      <c r="B4" s="56" t="s">
        <v>179</v>
      </c>
      <c r="C4" s="77">
        <v>2144</v>
      </c>
    </row>
    <row r="6" spans="2:60" ht="26.25" customHeight="1">
      <c r="B6" s="195" t="s">
        <v>212</v>
      </c>
      <c r="C6" s="196"/>
      <c r="D6" s="196"/>
      <c r="E6" s="196"/>
      <c r="F6" s="196"/>
      <c r="G6" s="196"/>
      <c r="H6" s="196"/>
      <c r="I6" s="196"/>
      <c r="J6" s="196"/>
      <c r="K6" s="197"/>
    </row>
    <row r="7" spans="2:60" s="3" customFormat="1" ht="66">
      <c r="B7" s="59" t="s">
        <v>114</v>
      </c>
      <c r="C7" s="59" t="s">
        <v>115</v>
      </c>
      <c r="D7" s="59" t="s">
        <v>15</v>
      </c>
      <c r="E7" s="59" t="s">
        <v>16</v>
      </c>
      <c r="F7" s="59" t="s">
        <v>54</v>
      </c>
      <c r="G7" s="59" t="s">
        <v>99</v>
      </c>
      <c r="H7" s="59" t="s">
        <v>50</v>
      </c>
      <c r="I7" s="59" t="s">
        <v>108</v>
      </c>
      <c r="J7" s="59" t="s">
        <v>180</v>
      </c>
      <c r="K7" s="59" t="s">
        <v>181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234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5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H10" sqref="H10:H12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177</v>
      </c>
      <c r="C1" s="77" t="s" vm="1">
        <v>247</v>
      </c>
    </row>
    <row r="2" spans="2:60">
      <c r="B2" s="56" t="s">
        <v>176</v>
      </c>
      <c r="C2" s="77" t="s">
        <v>248</v>
      </c>
    </row>
    <row r="3" spans="2:60">
      <c r="B3" s="56" t="s">
        <v>178</v>
      </c>
      <c r="C3" s="77" t="s">
        <v>249</v>
      </c>
    </row>
    <row r="4" spans="2:60">
      <c r="B4" s="56" t="s">
        <v>179</v>
      </c>
      <c r="C4" s="77">
        <v>2144</v>
      </c>
    </row>
    <row r="6" spans="2:60" ht="26.25" customHeight="1">
      <c r="B6" s="195" t="s">
        <v>213</v>
      </c>
      <c r="C6" s="196"/>
      <c r="D6" s="196"/>
      <c r="E6" s="196"/>
      <c r="F6" s="196"/>
      <c r="G6" s="196"/>
      <c r="H6" s="196"/>
      <c r="I6" s="196"/>
      <c r="J6" s="196"/>
      <c r="K6" s="197"/>
    </row>
    <row r="7" spans="2:60" s="3" customFormat="1" ht="63">
      <c r="B7" s="59" t="s">
        <v>114</v>
      </c>
      <c r="C7" s="61" t="s">
        <v>43</v>
      </c>
      <c r="D7" s="61" t="s">
        <v>15</v>
      </c>
      <c r="E7" s="61" t="s">
        <v>16</v>
      </c>
      <c r="F7" s="61" t="s">
        <v>54</v>
      </c>
      <c r="G7" s="61" t="s">
        <v>99</v>
      </c>
      <c r="H7" s="61" t="s">
        <v>50</v>
      </c>
      <c r="I7" s="61" t="s">
        <v>108</v>
      </c>
      <c r="J7" s="61" t="s">
        <v>180</v>
      </c>
      <c r="K7" s="63" t="s">
        <v>181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234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0" t="s">
        <v>53</v>
      </c>
      <c r="C10" s="121"/>
      <c r="D10" s="121"/>
      <c r="E10" s="121"/>
      <c r="F10" s="121"/>
      <c r="G10" s="121"/>
      <c r="H10" s="123">
        <v>0</v>
      </c>
      <c r="I10" s="122">
        <v>12.116782782</v>
      </c>
      <c r="J10" s="123">
        <f>I10/$I$10</f>
        <v>1</v>
      </c>
      <c r="K10" s="123">
        <f>I10/'סכום נכסי הקרן'!$C$42</f>
        <v>5.3739190362920253E-5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99"/>
    </row>
    <row r="11" spans="2:60" s="99" customFormat="1" ht="21" customHeight="1">
      <c r="B11" s="124" t="s">
        <v>228</v>
      </c>
      <c r="C11" s="121"/>
      <c r="D11" s="121"/>
      <c r="E11" s="121"/>
      <c r="F11" s="121"/>
      <c r="G11" s="121"/>
      <c r="H11" s="123">
        <v>0</v>
      </c>
      <c r="I11" s="122">
        <v>12.116782782</v>
      </c>
      <c r="J11" s="123">
        <f t="shared" ref="J11:J12" si="0">I11/$I$10</f>
        <v>1</v>
      </c>
      <c r="K11" s="123">
        <v>5.3739624524553201E-5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2" t="s">
        <v>1233</v>
      </c>
      <c r="C12" s="83" t="s">
        <v>1234</v>
      </c>
      <c r="D12" s="83" t="s">
        <v>684</v>
      </c>
      <c r="E12" s="83" t="s">
        <v>315</v>
      </c>
      <c r="F12" s="97">
        <v>0</v>
      </c>
      <c r="G12" s="96" t="s">
        <v>162</v>
      </c>
      <c r="H12" s="94">
        <v>0</v>
      </c>
      <c r="I12" s="93">
        <v>12.116782782</v>
      </c>
      <c r="J12" s="94">
        <f t="shared" si="0"/>
        <v>1</v>
      </c>
      <c r="K12" s="94">
        <v>5.3739624524553201E-5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4"/>
      <c r="C13" s="83"/>
      <c r="D13" s="83"/>
      <c r="E13" s="83"/>
      <c r="F13" s="83"/>
      <c r="G13" s="83"/>
      <c r="H13" s="94"/>
      <c r="I13" s="83"/>
      <c r="J13" s="94"/>
      <c r="K13" s="8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5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5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6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S109"/>
  <sheetViews>
    <sheetView rightToLeft="1" workbookViewId="0">
      <selection activeCell="C21" sqref="C2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6" style="3" customWidth="1"/>
    <col min="6" max="6" width="8.140625" style="3" customWidth="1"/>
    <col min="7" max="7" width="6.28515625" style="3" customWidth="1"/>
    <col min="8" max="8" width="8" style="3" customWidth="1"/>
    <col min="9" max="9" width="8.7109375" style="3" customWidth="1"/>
    <col min="10" max="10" width="10" style="3" customWidth="1"/>
    <col min="11" max="11" width="9.5703125" style="3" customWidth="1"/>
    <col min="12" max="12" width="6.140625" style="3" customWidth="1"/>
    <col min="13" max="14" width="5.7109375" style="3" customWidth="1"/>
    <col min="15" max="15" width="6.85546875" style="3" customWidth="1"/>
    <col min="16" max="16" width="6.42578125" style="1" customWidth="1"/>
    <col min="17" max="17" width="6.7109375" style="1" customWidth="1"/>
    <col min="18" max="18" width="7.28515625" style="1" customWidth="1"/>
    <col min="19" max="30" width="5.7109375" style="1" customWidth="1"/>
    <col min="31" max="16384" width="9.140625" style="1"/>
  </cols>
  <sheetData>
    <row r="1" spans="2:45">
      <c r="B1" s="56" t="s">
        <v>177</v>
      </c>
      <c r="C1" s="77" t="s" vm="1">
        <v>247</v>
      </c>
    </row>
    <row r="2" spans="2:45">
      <c r="B2" s="56" t="s">
        <v>176</v>
      </c>
      <c r="C2" s="77" t="s">
        <v>248</v>
      </c>
    </row>
    <row r="3" spans="2:45">
      <c r="B3" s="56" t="s">
        <v>178</v>
      </c>
      <c r="C3" s="77" t="s">
        <v>249</v>
      </c>
    </row>
    <row r="4" spans="2:45">
      <c r="B4" s="56" t="s">
        <v>179</v>
      </c>
      <c r="C4" s="77">
        <v>2144</v>
      </c>
    </row>
    <row r="6" spans="2:45" ht="26.25" customHeight="1">
      <c r="B6" s="195" t="s">
        <v>214</v>
      </c>
      <c r="C6" s="196"/>
      <c r="D6" s="197"/>
    </row>
    <row r="7" spans="2:45" s="3" customFormat="1" ht="33">
      <c r="B7" s="59" t="s">
        <v>114</v>
      </c>
      <c r="C7" s="64" t="s">
        <v>105</v>
      </c>
      <c r="D7" s="65" t="s">
        <v>104</v>
      </c>
    </row>
    <row r="8" spans="2:45" s="3" customFormat="1">
      <c r="B8" s="15"/>
      <c r="C8" s="32" t="s">
        <v>234</v>
      </c>
      <c r="D8" s="17" t="s">
        <v>22</v>
      </c>
    </row>
    <row r="9" spans="2:45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45" s="4" customFormat="1" ht="18" customHeight="1">
      <c r="B10" s="128" t="s">
        <v>1235</v>
      </c>
      <c r="C10" s="133">
        <f>C11+C46</f>
        <v>1026.0314800000001</v>
      </c>
      <c r="D10" s="10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45">
      <c r="B11" s="128" t="s">
        <v>1236</v>
      </c>
      <c r="C11" s="133">
        <f>SUM(C12:C44)</f>
        <v>1026.0314800000001</v>
      </c>
      <c r="D11" s="100"/>
    </row>
    <row r="12" spans="2:45">
      <c r="B12" s="143" t="s">
        <v>1256</v>
      </c>
      <c r="C12" s="131">
        <v>240.13481999999999</v>
      </c>
      <c r="D12" s="132">
        <v>44739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2:45">
      <c r="B13" s="143" t="s">
        <v>1257</v>
      </c>
      <c r="C13" s="131">
        <v>129.91766000000001</v>
      </c>
      <c r="D13" s="132">
        <v>44246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2:45">
      <c r="B14" s="143" t="s">
        <v>1258</v>
      </c>
      <c r="C14" s="131">
        <v>404.73880000000003</v>
      </c>
      <c r="D14" s="132">
        <v>46100</v>
      </c>
    </row>
    <row r="15" spans="2:45">
      <c r="B15" s="143" t="s">
        <v>1259</v>
      </c>
      <c r="C15" s="131">
        <v>116.718</v>
      </c>
      <c r="D15" s="132">
        <v>43800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2:45">
      <c r="B16" s="143" t="s">
        <v>1260</v>
      </c>
      <c r="C16" s="131">
        <v>134.5222</v>
      </c>
      <c r="D16" s="132">
        <v>44739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">
      <c r="B17" s="144"/>
      <c r="C17" s="131"/>
      <c r="D17" s="132"/>
    </row>
    <row r="18" spans="2:4">
      <c r="B18" s="100"/>
      <c r="C18" s="100"/>
      <c r="D18" s="100"/>
    </row>
    <row r="19" spans="2:4">
      <c r="B19" s="100"/>
      <c r="C19" s="100"/>
      <c r="D19" s="100"/>
    </row>
    <row r="20" spans="2:4">
      <c r="B20" s="100"/>
      <c r="C20" s="100"/>
      <c r="D20" s="100"/>
    </row>
    <row r="21" spans="2:4">
      <c r="B21" s="100"/>
      <c r="C21" s="100"/>
      <c r="D21" s="100"/>
    </row>
    <row r="22" spans="2:4">
      <c r="B22" s="100"/>
      <c r="C22" s="100"/>
      <c r="D22" s="100"/>
    </row>
    <row r="23" spans="2:4">
      <c r="B23" s="100"/>
      <c r="C23" s="100"/>
      <c r="D23" s="100"/>
    </row>
    <row r="24" spans="2:4">
      <c r="B24" s="100"/>
      <c r="C24" s="100"/>
      <c r="D24" s="100"/>
    </row>
    <row r="25" spans="2:4">
      <c r="B25" s="100"/>
      <c r="C25" s="100"/>
      <c r="D25" s="100"/>
    </row>
    <row r="26" spans="2:4">
      <c r="B26" s="100"/>
      <c r="C26" s="100"/>
      <c r="D26" s="100"/>
    </row>
    <row r="27" spans="2:4">
      <c r="B27" s="100"/>
      <c r="C27" s="100"/>
      <c r="D27" s="100"/>
    </row>
    <row r="28" spans="2:4">
      <c r="B28" s="100"/>
      <c r="C28" s="100"/>
      <c r="D28" s="100"/>
    </row>
    <row r="29" spans="2:4">
      <c r="B29" s="100"/>
      <c r="C29" s="100"/>
      <c r="D29" s="100"/>
    </row>
    <row r="30" spans="2:4">
      <c r="B30" s="100"/>
      <c r="C30" s="100"/>
      <c r="D30" s="100"/>
    </row>
    <row r="31" spans="2:4">
      <c r="B31" s="100"/>
      <c r="C31" s="100"/>
      <c r="D31" s="100"/>
    </row>
    <row r="32" spans="2:4">
      <c r="B32" s="100"/>
      <c r="C32" s="100"/>
      <c r="D32" s="100"/>
    </row>
    <row r="33" spans="2:4">
      <c r="B33" s="100"/>
      <c r="C33" s="100"/>
      <c r="D33" s="100"/>
    </row>
    <row r="34" spans="2:4">
      <c r="B34" s="100"/>
      <c r="C34" s="100"/>
      <c r="D34" s="100"/>
    </row>
    <row r="35" spans="2:4">
      <c r="B35" s="100"/>
      <c r="C35" s="100"/>
      <c r="D35" s="100"/>
    </row>
    <row r="36" spans="2:4">
      <c r="B36" s="100"/>
      <c r="C36" s="100"/>
      <c r="D36" s="100"/>
    </row>
    <row r="37" spans="2:4">
      <c r="B37" s="100"/>
      <c r="C37" s="100"/>
      <c r="D37" s="100"/>
    </row>
    <row r="38" spans="2:4">
      <c r="B38" s="100"/>
      <c r="C38" s="100"/>
      <c r="D38" s="100"/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sheetProtection sheet="1" objects="1" scenarios="1"/>
  <mergeCells count="1">
    <mergeCell ref="B6:D6"/>
  </mergeCells>
  <phoneticPr fontId="6" type="noConversion"/>
  <conditionalFormatting sqref="B12">
    <cfRule type="cellIs" dxfId="3" priority="4" operator="equal">
      <formula>"NR3"</formula>
    </cfRule>
  </conditionalFormatting>
  <conditionalFormatting sqref="B13">
    <cfRule type="cellIs" dxfId="2" priority="3" operator="equal">
      <formula>"NR3"</formula>
    </cfRule>
  </conditionalFormatting>
  <conditionalFormatting sqref="B14">
    <cfRule type="cellIs" dxfId="1" priority="2" operator="equal">
      <formula>"NR3"</formula>
    </cfRule>
  </conditionalFormatting>
  <conditionalFormatting sqref="B15">
    <cfRule type="cellIs" dxfId="0" priority="1" operator="equal">
      <formula>"NR3"</formula>
    </cfRule>
  </conditionalFormatting>
  <dataValidations count="1">
    <dataValidation allowBlank="1" showInputMessage="1" showErrorMessage="1" sqref="AF28:XFD29 A1:A1048576 C5:C1048576 B1:B13 B15:B1048576 D30:XFD1048576 D28:AD29 D1:XFD2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177</v>
      </c>
      <c r="C1" s="77" t="s" vm="1">
        <v>247</v>
      </c>
    </row>
    <row r="2" spans="2:18">
      <c r="B2" s="56" t="s">
        <v>176</v>
      </c>
      <c r="C2" s="77" t="s">
        <v>248</v>
      </c>
    </row>
    <row r="3" spans="2:18">
      <c r="B3" s="56" t="s">
        <v>178</v>
      </c>
      <c r="C3" s="77" t="s">
        <v>249</v>
      </c>
    </row>
    <row r="4" spans="2:18">
      <c r="B4" s="56" t="s">
        <v>179</v>
      </c>
      <c r="C4" s="77">
        <v>2144</v>
      </c>
    </row>
    <row r="6" spans="2:18" ht="26.25" customHeight="1">
      <c r="B6" s="195" t="s">
        <v>217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7"/>
    </row>
    <row r="7" spans="2:18" s="3" customFormat="1" ht="78.75">
      <c r="B7" s="22" t="s">
        <v>114</v>
      </c>
      <c r="C7" s="30" t="s">
        <v>43</v>
      </c>
      <c r="D7" s="30" t="s">
        <v>60</v>
      </c>
      <c r="E7" s="30" t="s">
        <v>15</v>
      </c>
      <c r="F7" s="30" t="s">
        <v>61</v>
      </c>
      <c r="G7" s="30" t="s">
        <v>100</v>
      </c>
      <c r="H7" s="30" t="s">
        <v>18</v>
      </c>
      <c r="I7" s="30" t="s">
        <v>99</v>
      </c>
      <c r="J7" s="30" t="s">
        <v>17</v>
      </c>
      <c r="K7" s="30" t="s">
        <v>215</v>
      </c>
      <c r="L7" s="30" t="s">
        <v>236</v>
      </c>
      <c r="M7" s="30" t="s">
        <v>216</v>
      </c>
      <c r="N7" s="30" t="s">
        <v>56</v>
      </c>
      <c r="O7" s="30" t="s">
        <v>180</v>
      </c>
      <c r="P7" s="31" t="s">
        <v>182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238</v>
      </c>
      <c r="M8" s="32" t="s">
        <v>234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246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110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237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topLeftCell="A4" workbookViewId="0">
      <selection activeCell="C21" sqref="C21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7">
      <c r="B1" s="156" t="s">
        <v>177</v>
      </c>
      <c r="C1" s="157" t="s" vm="1">
        <v>247</v>
      </c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</row>
    <row r="2" spans="2:17">
      <c r="B2" s="156" t="s">
        <v>176</v>
      </c>
      <c r="C2" s="157" t="s">
        <v>248</v>
      </c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</row>
    <row r="3" spans="2:17">
      <c r="B3" s="156" t="s">
        <v>178</v>
      </c>
      <c r="C3" s="157" t="s">
        <v>249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</row>
    <row r="4" spans="2:17">
      <c r="B4" s="156" t="s">
        <v>179</v>
      </c>
      <c r="C4" s="157">
        <v>2144</v>
      </c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</row>
    <row r="6" spans="2:17" ht="26.25" customHeight="1">
      <c r="B6" s="184" t="s">
        <v>206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45"/>
      <c r="N6" s="145"/>
      <c r="O6" s="145"/>
      <c r="P6" s="145"/>
      <c r="Q6" s="145"/>
    </row>
    <row r="7" spans="2:17" s="3" customFormat="1" ht="63">
      <c r="B7" s="150" t="s">
        <v>113</v>
      </c>
      <c r="C7" s="151" t="s">
        <v>43</v>
      </c>
      <c r="D7" s="151" t="s">
        <v>115</v>
      </c>
      <c r="E7" s="151" t="s">
        <v>15</v>
      </c>
      <c r="F7" s="151" t="s">
        <v>61</v>
      </c>
      <c r="G7" s="151" t="s">
        <v>99</v>
      </c>
      <c r="H7" s="151" t="s">
        <v>17</v>
      </c>
      <c r="I7" s="151" t="s">
        <v>19</v>
      </c>
      <c r="J7" s="151" t="s">
        <v>59</v>
      </c>
      <c r="K7" s="151" t="s">
        <v>180</v>
      </c>
      <c r="L7" s="151" t="s">
        <v>181</v>
      </c>
      <c r="M7" s="146"/>
      <c r="N7" s="148"/>
      <c r="O7" s="148"/>
      <c r="P7" s="148"/>
      <c r="Q7" s="148"/>
    </row>
    <row r="8" spans="2:17" s="3" customFormat="1" ht="28.5" customHeight="1">
      <c r="B8" s="152"/>
      <c r="C8" s="153"/>
      <c r="D8" s="153"/>
      <c r="E8" s="153"/>
      <c r="F8" s="153"/>
      <c r="G8" s="153"/>
      <c r="H8" s="153" t="s">
        <v>20</v>
      </c>
      <c r="I8" s="153" t="s">
        <v>20</v>
      </c>
      <c r="J8" s="153" t="s">
        <v>234</v>
      </c>
      <c r="K8" s="153" t="s">
        <v>20</v>
      </c>
      <c r="L8" s="153" t="s">
        <v>20</v>
      </c>
      <c r="M8" s="148"/>
      <c r="N8" s="148"/>
      <c r="O8" s="148"/>
      <c r="P8" s="148"/>
      <c r="Q8" s="148"/>
    </row>
    <row r="9" spans="2:17" s="4" customFormat="1" ht="18" customHeight="1">
      <c r="B9" s="154"/>
      <c r="C9" s="155" t="s">
        <v>1</v>
      </c>
      <c r="D9" s="155" t="s">
        <v>2</v>
      </c>
      <c r="E9" s="155" t="s">
        <v>3</v>
      </c>
      <c r="F9" s="155" t="s">
        <v>4</v>
      </c>
      <c r="G9" s="155" t="s">
        <v>5</v>
      </c>
      <c r="H9" s="155" t="s">
        <v>6</v>
      </c>
      <c r="I9" s="155" t="s">
        <v>7</v>
      </c>
      <c r="J9" s="155" t="s">
        <v>8</v>
      </c>
      <c r="K9" s="155" t="s">
        <v>9</v>
      </c>
      <c r="L9" s="155" t="s">
        <v>10</v>
      </c>
      <c r="M9" s="149"/>
      <c r="N9" s="149"/>
      <c r="O9" s="149"/>
      <c r="P9" s="149"/>
      <c r="Q9" s="149"/>
    </row>
    <row r="10" spans="2:17" s="4" customFormat="1" ht="18" customHeight="1">
      <c r="B10" s="173" t="s">
        <v>42</v>
      </c>
      <c r="C10" s="174"/>
      <c r="D10" s="174"/>
      <c r="E10" s="174"/>
      <c r="F10" s="174"/>
      <c r="G10" s="174"/>
      <c r="H10" s="174"/>
      <c r="I10" s="174"/>
      <c r="J10" s="175">
        <v>9772.8884383565455</v>
      </c>
      <c r="K10" s="176">
        <v>1</v>
      </c>
      <c r="L10" s="176">
        <v>4.3343775458664885E-2</v>
      </c>
      <c r="M10" s="149"/>
      <c r="N10" s="149"/>
      <c r="O10" s="149"/>
      <c r="P10" s="149"/>
      <c r="Q10" s="149"/>
    </row>
    <row r="11" spans="2:17" s="99" customFormat="1">
      <c r="B11" s="177" t="s">
        <v>228</v>
      </c>
      <c r="C11" s="174"/>
      <c r="D11" s="174"/>
      <c r="E11" s="174"/>
      <c r="F11" s="174"/>
      <c r="G11" s="174"/>
      <c r="H11" s="174"/>
      <c r="I11" s="174"/>
      <c r="J11" s="175">
        <v>9627.6084383565449</v>
      </c>
      <c r="K11" s="176">
        <v>0.98513438468919723</v>
      </c>
      <c r="L11" s="176">
        <v>4.2699443566578558E-2</v>
      </c>
      <c r="M11" s="169"/>
      <c r="N11" s="169"/>
      <c r="O11" s="169"/>
      <c r="P11" s="169"/>
      <c r="Q11" s="169"/>
    </row>
    <row r="12" spans="2:17">
      <c r="B12" s="171" t="s">
        <v>39</v>
      </c>
      <c r="C12" s="158"/>
      <c r="D12" s="158"/>
      <c r="E12" s="158"/>
      <c r="F12" s="158"/>
      <c r="G12" s="158"/>
      <c r="H12" s="158"/>
      <c r="I12" s="158"/>
      <c r="J12" s="162">
        <v>6952.1574783565447</v>
      </c>
      <c r="K12" s="163">
        <v>0.71137182443122737</v>
      </c>
      <c r="L12" s="163">
        <v>3.0833540625767899E-2</v>
      </c>
      <c r="M12" s="145"/>
      <c r="N12" s="145"/>
      <c r="O12" s="145"/>
      <c r="P12" s="145"/>
      <c r="Q12" s="145"/>
    </row>
    <row r="13" spans="2:17">
      <c r="B13" s="161" t="s">
        <v>1153</v>
      </c>
      <c r="C13" s="160" t="s">
        <v>1154</v>
      </c>
      <c r="D13" s="160">
        <v>12</v>
      </c>
      <c r="E13" s="160" t="s">
        <v>314</v>
      </c>
      <c r="F13" s="160" t="s">
        <v>315</v>
      </c>
      <c r="G13" s="166" t="s">
        <v>162</v>
      </c>
      <c r="H13" s="167">
        <v>0</v>
      </c>
      <c r="I13" s="167">
        <v>0</v>
      </c>
      <c r="J13" s="164">
        <v>127.27616895899997</v>
      </c>
      <c r="K13" s="165">
        <v>1.3023393212948958E-2</v>
      </c>
      <c r="L13" s="165">
        <v>5.6448303113195981E-4</v>
      </c>
      <c r="M13" s="145"/>
      <c r="N13" s="145"/>
      <c r="O13" s="145"/>
      <c r="P13" s="145"/>
      <c r="Q13" s="145"/>
    </row>
    <row r="14" spans="2:17">
      <c r="B14" s="161" t="s">
        <v>1155</v>
      </c>
      <c r="C14" s="160" t="s">
        <v>1156</v>
      </c>
      <c r="D14" s="160">
        <v>10</v>
      </c>
      <c r="E14" s="160" t="s">
        <v>314</v>
      </c>
      <c r="F14" s="160" t="s">
        <v>315</v>
      </c>
      <c r="G14" s="166" t="s">
        <v>162</v>
      </c>
      <c r="H14" s="167">
        <v>0</v>
      </c>
      <c r="I14" s="167">
        <v>0</v>
      </c>
      <c r="J14" s="164">
        <v>852.15646980999998</v>
      </c>
      <c r="K14" s="165">
        <v>8.7195968232427978E-2</v>
      </c>
      <c r="L14" s="165">
        <v>3.7794024679672347E-3</v>
      </c>
      <c r="M14" s="145"/>
      <c r="N14" s="145"/>
      <c r="O14" s="145"/>
      <c r="P14" s="145"/>
      <c r="Q14" s="145"/>
    </row>
    <row r="15" spans="2:17">
      <c r="B15" s="161" t="s">
        <v>1155</v>
      </c>
      <c r="C15" s="160" t="s">
        <v>1157</v>
      </c>
      <c r="D15" s="160">
        <v>10</v>
      </c>
      <c r="E15" s="160" t="s">
        <v>314</v>
      </c>
      <c r="F15" s="160" t="s">
        <v>315</v>
      </c>
      <c r="G15" s="166" t="s">
        <v>162</v>
      </c>
      <c r="H15" s="167">
        <v>0</v>
      </c>
      <c r="I15" s="167">
        <v>0</v>
      </c>
      <c r="J15" s="164">
        <v>6010.5123341645449</v>
      </c>
      <c r="K15" s="165">
        <v>0.61501902657299756</v>
      </c>
      <c r="L15" s="165">
        <v>2.6657246590586658E-2</v>
      </c>
      <c r="M15" s="145"/>
      <c r="N15" s="145"/>
      <c r="O15" s="145"/>
      <c r="P15" s="145"/>
      <c r="Q15" s="180"/>
    </row>
    <row r="16" spans="2:17">
      <c r="B16" s="161" t="s">
        <v>1158</v>
      </c>
      <c r="C16" s="160" t="s">
        <v>1159</v>
      </c>
      <c r="D16" s="160">
        <v>20</v>
      </c>
      <c r="E16" s="160" t="s">
        <v>314</v>
      </c>
      <c r="F16" s="160" t="s">
        <v>315</v>
      </c>
      <c r="G16" s="166" t="s">
        <v>162</v>
      </c>
      <c r="H16" s="167">
        <v>0</v>
      </c>
      <c r="I16" s="167">
        <v>0</v>
      </c>
      <c r="J16" s="164">
        <v>298.16965736900005</v>
      </c>
      <c r="K16" s="165">
        <v>3.0509880395108824E-2</v>
      </c>
      <c r="L16" s="165">
        <v>1.3224134051163187E-3</v>
      </c>
      <c r="M16" s="145"/>
      <c r="N16" s="145"/>
      <c r="O16" s="145"/>
      <c r="P16" s="145"/>
      <c r="Q16" s="145"/>
    </row>
    <row r="17" spans="2:12">
      <c r="B17" s="161" t="s">
        <v>1160</v>
      </c>
      <c r="C17" s="160" t="s">
        <v>1161</v>
      </c>
      <c r="D17" s="160">
        <v>11</v>
      </c>
      <c r="E17" s="160" t="s">
        <v>351</v>
      </c>
      <c r="F17" s="160" t="s">
        <v>315</v>
      </c>
      <c r="G17" s="166" t="s">
        <v>162</v>
      </c>
      <c r="H17" s="167">
        <v>0</v>
      </c>
      <c r="I17" s="167">
        <v>0</v>
      </c>
      <c r="J17" s="164">
        <v>261.44284805400002</v>
      </c>
      <c r="K17" s="165">
        <v>2.6751850254208516E-2</v>
      </c>
      <c r="L17" s="165">
        <v>1.1595261905222411E-3</v>
      </c>
    </row>
    <row r="18" spans="2:12">
      <c r="B18" s="161" t="s">
        <v>1162</v>
      </c>
      <c r="C18" s="160" t="s">
        <v>1163</v>
      </c>
      <c r="D18" s="160">
        <v>26</v>
      </c>
      <c r="E18" s="160" t="s">
        <v>351</v>
      </c>
      <c r="F18" s="160" t="s">
        <v>315</v>
      </c>
      <c r="G18" s="166" t="s">
        <v>162</v>
      </c>
      <c r="H18" s="167">
        <v>0</v>
      </c>
      <c r="I18" s="167">
        <v>0</v>
      </c>
      <c r="J18" s="164">
        <v>-597.4</v>
      </c>
      <c r="K18" s="165">
        <v>-6.1128294236464396E-2</v>
      </c>
      <c r="L18" s="165">
        <v>-2.6495310595565117E-3</v>
      </c>
    </row>
    <row r="19" spans="2:12">
      <c r="B19" s="159"/>
      <c r="C19" s="160"/>
      <c r="D19" s="160"/>
      <c r="E19" s="160"/>
      <c r="F19" s="160"/>
      <c r="G19" s="160"/>
      <c r="H19" s="160"/>
      <c r="I19" s="160"/>
      <c r="J19" s="160"/>
      <c r="K19" s="165"/>
      <c r="L19" s="160"/>
    </row>
    <row r="20" spans="2:12">
      <c r="B20" s="171" t="s">
        <v>40</v>
      </c>
      <c r="C20" s="158"/>
      <c r="D20" s="158"/>
      <c r="E20" s="158"/>
      <c r="F20" s="158"/>
      <c r="G20" s="158"/>
      <c r="H20" s="158"/>
      <c r="I20" s="158"/>
      <c r="J20" s="162">
        <v>2675.4509600000001</v>
      </c>
      <c r="K20" s="163">
        <v>0.2737625602579698</v>
      </c>
      <c r="L20" s="163">
        <v>1.1865902940810658E-2</v>
      </c>
    </row>
    <row r="21" spans="2:12">
      <c r="B21" s="161" t="s">
        <v>1155</v>
      </c>
      <c r="C21" s="160" t="s">
        <v>1164</v>
      </c>
      <c r="D21" s="160">
        <v>10</v>
      </c>
      <c r="E21" s="160" t="s">
        <v>314</v>
      </c>
      <c r="F21" s="160" t="s">
        <v>315</v>
      </c>
      <c r="G21" s="166" t="s">
        <v>161</v>
      </c>
      <c r="H21" s="167">
        <v>0</v>
      </c>
      <c r="I21" s="167">
        <v>0</v>
      </c>
      <c r="J21" s="164">
        <v>2675.4</v>
      </c>
      <c r="K21" s="165">
        <v>0.27375734583233491</v>
      </c>
      <c r="L21" s="165">
        <v>1.1865676927916792E-2</v>
      </c>
    </row>
    <row r="22" spans="2:12">
      <c r="B22" s="161" t="s">
        <v>1155</v>
      </c>
      <c r="C22" s="160" t="s">
        <v>1165</v>
      </c>
      <c r="D22" s="160">
        <v>10</v>
      </c>
      <c r="E22" s="160" t="s">
        <v>314</v>
      </c>
      <c r="F22" s="160" t="s">
        <v>315</v>
      </c>
      <c r="G22" s="166" t="s">
        <v>163</v>
      </c>
      <c r="H22" s="167">
        <v>0</v>
      </c>
      <c r="I22" s="167">
        <v>0</v>
      </c>
      <c r="J22" s="164">
        <v>4.6700000000000005E-2</v>
      </c>
      <c r="K22" s="165">
        <v>4.7785258467406897E-6</v>
      </c>
      <c r="L22" s="165">
        <v>2.0711935132455493E-7</v>
      </c>
    </row>
    <row r="23" spans="2:12">
      <c r="B23" s="161" t="s">
        <v>1155</v>
      </c>
      <c r="C23" s="160" t="s">
        <v>1166</v>
      </c>
      <c r="D23" s="160">
        <v>10</v>
      </c>
      <c r="E23" s="160" t="s">
        <v>314</v>
      </c>
      <c r="F23" s="160" t="s">
        <v>315</v>
      </c>
      <c r="G23" s="166" t="s">
        <v>164</v>
      </c>
      <c r="H23" s="167">
        <v>0</v>
      </c>
      <c r="I23" s="167">
        <v>0</v>
      </c>
      <c r="J23" s="164">
        <v>4.2599999999999999E-3</v>
      </c>
      <c r="K23" s="165">
        <v>4.358997881609279E-7</v>
      </c>
      <c r="L23" s="165">
        <v>1.8893542540526849E-8</v>
      </c>
    </row>
    <row r="24" spans="2:12">
      <c r="B24" s="159"/>
      <c r="C24" s="160"/>
      <c r="D24" s="160"/>
      <c r="E24" s="160"/>
      <c r="F24" s="160"/>
      <c r="G24" s="160"/>
      <c r="H24" s="160"/>
      <c r="I24" s="160"/>
      <c r="J24" s="160"/>
      <c r="K24" s="165"/>
      <c r="L24" s="160"/>
    </row>
    <row r="25" spans="2:12" s="99" customFormat="1">
      <c r="B25" s="177" t="s">
        <v>227</v>
      </c>
      <c r="C25" s="174"/>
      <c r="D25" s="174"/>
      <c r="E25" s="174"/>
      <c r="F25" s="174"/>
      <c r="G25" s="174"/>
      <c r="H25" s="174"/>
      <c r="I25" s="174"/>
      <c r="J25" s="175">
        <v>145.28</v>
      </c>
      <c r="K25" s="176">
        <v>1.4865615310802726E-2</v>
      </c>
      <c r="L25" s="176">
        <v>6.4433189208632413E-4</v>
      </c>
    </row>
    <row r="26" spans="2:12" s="99" customFormat="1">
      <c r="B26" s="178" t="s">
        <v>41</v>
      </c>
      <c r="C26" s="174"/>
      <c r="D26" s="174"/>
      <c r="E26" s="174"/>
      <c r="F26" s="174"/>
      <c r="G26" s="174"/>
      <c r="H26" s="179">
        <v>0</v>
      </c>
      <c r="I26" s="179">
        <v>0</v>
      </c>
      <c r="J26" s="175">
        <v>145.28</v>
      </c>
      <c r="K26" s="176">
        <v>1.4865615310802726E-2</v>
      </c>
      <c r="L26" s="176">
        <v>6.4433189208632413E-4</v>
      </c>
    </row>
    <row r="27" spans="2:12">
      <c r="B27" s="161" t="s">
        <v>1167</v>
      </c>
      <c r="C27" s="160" t="s">
        <v>1168</v>
      </c>
      <c r="D27" s="160"/>
      <c r="E27" s="160" t="s">
        <v>252</v>
      </c>
      <c r="F27" s="160" t="s">
        <v>1169</v>
      </c>
      <c r="G27" s="166"/>
      <c r="H27" s="167">
        <v>0</v>
      </c>
      <c r="I27" s="167">
        <v>0</v>
      </c>
      <c r="J27" s="164">
        <v>145.28</v>
      </c>
      <c r="K27" s="165">
        <v>1.4865615310802726E-2</v>
      </c>
      <c r="L27" s="165">
        <v>6.4433189208632413E-4</v>
      </c>
    </row>
    <row r="28" spans="2:12">
      <c r="B28" s="159"/>
      <c r="C28" s="160"/>
      <c r="D28" s="160"/>
      <c r="E28" s="160"/>
      <c r="F28" s="160"/>
      <c r="G28" s="160"/>
      <c r="H28" s="160"/>
      <c r="I28" s="160"/>
      <c r="J28" s="160"/>
      <c r="K28" s="165"/>
      <c r="L28" s="160"/>
    </row>
    <row r="29" spans="2:12"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0"/>
    </row>
    <row r="30" spans="2:12"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</row>
    <row r="31" spans="2:12">
      <c r="B31" s="168" t="s">
        <v>246</v>
      </c>
      <c r="C31" s="170"/>
      <c r="D31" s="170"/>
      <c r="E31" s="170"/>
      <c r="F31" s="170"/>
      <c r="G31" s="170"/>
      <c r="H31" s="170"/>
      <c r="I31" s="170"/>
      <c r="J31" s="170"/>
      <c r="K31" s="170"/>
      <c r="L31" s="170"/>
    </row>
    <row r="32" spans="2:12">
      <c r="B32" s="172"/>
      <c r="C32" s="170"/>
      <c r="D32" s="170"/>
      <c r="E32" s="170"/>
      <c r="F32" s="170"/>
      <c r="G32" s="170"/>
      <c r="H32" s="170"/>
      <c r="I32" s="170"/>
      <c r="J32" s="170"/>
      <c r="K32" s="170"/>
      <c r="L32" s="170"/>
    </row>
    <row r="33" spans="2:12"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</row>
    <row r="34" spans="2:12">
      <c r="B34" s="170"/>
      <c r="C34" s="170"/>
      <c r="D34" s="170"/>
      <c r="E34" s="170"/>
      <c r="F34" s="170"/>
      <c r="G34" s="170"/>
      <c r="H34" s="170"/>
      <c r="I34" s="170"/>
      <c r="J34" s="170"/>
      <c r="K34" s="170"/>
      <c r="L34" s="170"/>
    </row>
    <row r="35" spans="2:12"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/>
    </row>
    <row r="36" spans="2:12"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</row>
    <row r="37" spans="2:12"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</row>
    <row r="38" spans="2:12"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</row>
    <row r="39" spans="2:12"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</row>
    <row r="40" spans="2:12"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</row>
    <row r="41" spans="2:12"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</row>
    <row r="42" spans="2:12"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/>
    </row>
    <row r="43" spans="2:12"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</row>
    <row r="44" spans="2:12"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</row>
    <row r="45" spans="2:12">
      <c r="B45" s="170"/>
      <c r="C45" s="170"/>
      <c r="D45" s="170"/>
      <c r="E45" s="170"/>
      <c r="F45" s="170"/>
      <c r="G45" s="170"/>
      <c r="H45" s="170"/>
      <c r="I45" s="170"/>
      <c r="J45" s="170"/>
      <c r="K45" s="170"/>
      <c r="L45" s="170"/>
    </row>
    <row r="46" spans="2:12"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</row>
    <row r="47" spans="2:12"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</row>
    <row r="48" spans="2:12"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</row>
    <row r="49" spans="2:12"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</row>
    <row r="50" spans="2:12">
      <c r="B50" s="170"/>
      <c r="C50" s="170"/>
      <c r="D50" s="170"/>
      <c r="E50" s="170"/>
      <c r="F50" s="170"/>
      <c r="G50" s="170"/>
      <c r="H50" s="170"/>
      <c r="I50" s="170"/>
      <c r="J50" s="170"/>
      <c r="K50" s="170"/>
      <c r="L50" s="170"/>
    </row>
    <row r="51" spans="2:12">
      <c r="B51" s="170"/>
      <c r="C51" s="170"/>
      <c r="D51" s="170"/>
      <c r="E51" s="170"/>
      <c r="F51" s="170"/>
      <c r="G51" s="170"/>
      <c r="H51" s="170"/>
      <c r="I51" s="170"/>
      <c r="J51" s="170"/>
      <c r="K51" s="170"/>
      <c r="L51" s="170"/>
    </row>
    <row r="52" spans="2:12">
      <c r="B52" s="170"/>
      <c r="C52" s="170"/>
      <c r="D52" s="170"/>
      <c r="E52" s="170"/>
      <c r="F52" s="170"/>
      <c r="G52" s="170"/>
      <c r="H52" s="170"/>
      <c r="I52" s="170"/>
      <c r="J52" s="170"/>
      <c r="K52" s="170"/>
      <c r="L52" s="170"/>
    </row>
    <row r="53" spans="2:12"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</row>
    <row r="54" spans="2:12">
      <c r="B54" s="170"/>
      <c r="C54" s="170"/>
      <c r="D54" s="170"/>
      <c r="E54" s="170"/>
      <c r="F54" s="170"/>
      <c r="G54" s="170"/>
      <c r="H54" s="170"/>
      <c r="I54" s="170"/>
      <c r="J54" s="170"/>
      <c r="K54" s="170"/>
      <c r="L54" s="170"/>
    </row>
    <row r="55" spans="2:12"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</row>
    <row r="56" spans="2:12"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/>
    </row>
    <row r="57" spans="2:12"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</row>
    <row r="58" spans="2:12"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</row>
    <row r="59" spans="2:12"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</row>
    <row r="60" spans="2:12">
      <c r="B60" s="170"/>
      <c r="C60" s="170"/>
      <c r="D60" s="170"/>
      <c r="E60" s="170"/>
      <c r="F60" s="170"/>
      <c r="G60" s="170"/>
      <c r="H60" s="170"/>
      <c r="I60" s="170"/>
      <c r="J60" s="170"/>
      <c r="K60" s="170"/>
      <c r="L60" s="170"/>
    </row>
    <row r="61" spans="2:12">
      <c r="B61" s="170"/>
      <c r="C61" s="170"/>
      <c r="D61" s="170"/>
      <c r="E61" s="170"/>
      <c r="F61" s="170"/>
      <c r="G61" s="170"/>
      <c r="H61" s="170"/>
      <c r="I61" s="170"/>
      <c r="J61" s="170"/>
      <c r="K61" s="170"/>
      <c r="L61" s="170"/>
    </row>
    <row r="62" spans="2:12"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</row>
    <row r="63" spans="2:12"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</row>
    <row r="64" spans="2:12"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</row>
    <row r="65" spans="2:12">
      <c r="B65" s="170"/>
      <c r="C65" s="170"/>
      <c r="D65" s="170"/>
      <c r="E65" s="170"/>
      <c r="F65" s="170"/>
      <c r="G65" s="170"/>
      <c r="H65" s="170"/>
      <c r="I65" s="170"/>
      <c r="J65" s="170"/>
      <c r="K65" s="170"/>
      <c r="L65" s="170"/>
    </row>
    <row r="66" spans="2:12"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</row>
    <row r="67" spans="2:12"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</row>
    <row r="68" spans="2:12"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/>
    </row>
    <row r="69" spans="2:12">
      <c r="B69" s="170"/>
      <c r="C69" s="170"/>
      <c r="D69" s="170"/>
      <c r="E69" s="170"/>
      <c r="F69" s="170"/>
      <c r="G69" s="170"/>
      <c r="H69" s="170"/>
      <c r="I69" s="170"/>
      <c r="J69" s="170"/>
      <c r="K69" s="170"/>
      <c r="L69" s="170"/>
    </row>
    <row r="70" spans="2:12">
      <c r="B70" s="170"/>
      <c r="C70" s="170"/>
      <c r="D70" s="170"/>
      <c r="E70" s="170"/>
      <c r="F70" s="170"/>
      <c r="G70" s="170"/>
      <c r="H70" s="170"/>
      <c r="I70" s="170"/>
      <c r="J70" s="170"/>
      <c r="K70" s="170"/>
      <c r="L70" s="170"/>
    </row>
    <row r="71" spans="2:12">
      <c r="B71" s="170"/>
      <c r="C71" s="170"/>
      <c r="D71" s="170"/>
      <c r="E71" s="170"/>
      <c r="F71" s="170"/>
      <c r="G71" s="170"/>
      <c r="H71" s="170"/>
      <c r="I71" s="170"/>
      <c r="J71" s="170"/>
      <c r="K71" s="170"/>
      <c r="L71" s="170"/>
    </row>
    <row r="72" spans="2:12">
      <c r="B72" s="170"/>
      <c r="C72" s="170"/>
      <c r="D72" s="170"/>
      <c r="E72" s="170"/>
      <c r="F72" s="170"/>
      <c r="G72" s="170"/>
      <c r="H72" s="170"/>
      <c r="I72" s="170"/>
      <c r="J72" s="170"/>
      <c r="K72" s="170"/>
      <c r="L72" s="170"/>
    </row>
    <row r="73" spans="2:12">
      <c r="B73" s="170"/>
      <c r="C73" s="170"/>
      <c r="D73" s="170"/>
      <c r="E73" s="170"/>
      <c r="F73" s="170"/>
      <c r="G73" s="170"/>
      <c r="H73" s="170"/>
      <c r="I73" s="170"/>
      <c r="J73" s="170"/>
      <c r="K73" s="170"/>
      <c r="L73" s="170"/>
    </row>
    <row r="74" spans="2:12">
      <c r="B74" s="170"/>
      <c r="C74" s="170"/>
      <c r="D74" s="170"/>
      <c r="E74" s="170"/>
      <c r="F74" s="170"/>
      <c r="G74" s="170"/>
      <c r="H74" s="170"/>
      <c r="I74" s="170"/>
      <c r="J74" s="170"/>
      <c r="K74" s="170"/>
      <c r="L74" s="170"/>
    </row>
    <row r="75" spans="2:12"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</row>
    <row r="76" spans="2:12">
      <c r="B76" s="170"/>
      <c r="C76" s="170"/>
      <c r="D76" s="170"/>
      <c r="E76" s="170"/>
      <c r="F76" s="170"/>
      <c r="G76" s="170"/>
      <c r="H76" s="170"/>
      <c r="I76" s="170"/>
      <c r="J76" s="170"/>
      <c r="K76" s="170"/>
      <c r="L76" s="170"/>
    </row>
    <row r="77" spans="2:12">
      <c r="B77" s="170"/>
      <c r="C77" s="170"/>
      <c r="D77" s="170"/>
      <c r="E77" s="170"/>
      <c r="F77" s="170"/>
      <c r="G77" s="170"/>
      <c r="H77" s="170"/>
      <c r="I77" s="170"/>
      <c r="J77" s="170"/>
      <c r="K77" s="170"/>
      <c r="L77" s="170"/>
    </row>
    <row r="78" spans="2:12">
      <c r="B78" s="170"/>
      <c r="C78" s="170"/>
      <c r="D78" s="170"/>
      <c r="E78" s="170"/>
      <c r="F78" s="170"/>
      <c r="G78" s="170"/>
      <c r="H78" s="170"/>
      <c r="I78" s="170"/>
      <c r="J78" s="170"/>
      <c r="K78" s="170"/>
      <c r="L78" s="170"/>
    </row>
    <row r="79" spans="2:12">
      <c r="B79" s="170"/>
      <c r="C79" s="170"/>
      <c r="D79" s="170"/>
      <c r="E79" s="170"/>
      <c r="F79" s="170"/>
      <c r="G79" s="170"/>
      <c r="H79" s="170"/>
      <c r="I79" s="170"/>
      <c r="J79" s="170"/>
      <c r="K79" s="170"/>
      <c r="L79" s="170"/>
    </row>
    <row r="80" spans="2:12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</row>
    <row r="81" spans="2:12">
      <c r="B81" s="170"/>
      <c r="C81" s="170"/>
      <c r="D81" s="170"/>
      <c r="E81" s="170"/>
      <c r="F81" s="170"/>
      <c r="G81" s="170"/>
      <c r="H81" s="170"/>
      <c r="I81" s="170"/>
      <c r="J81" s="170"/>
      <c r="K81" s="170"/>
      <c r="L81" s="170"/>
    </row>
    <row r="82" spans="2:12">
      <c r="B82" s="170"/>
      <c r="C82" s="170"/>
      <c r="D82" s="170"/>
      <c r="E82" s="170"/>
      <c r="F82" s="170"/>
      <c r="G82" s="170"/>
      <c r="H82" s="170"/>
      <c r="I82" s="170"/>
      <c r="J82" s="170"/>
      <c r="K82" s="170"/>
      <c r="L82" s="170"/>
    </row>
    <row r="83" spans="2:12">
      <c r="B83" s="170"/>
      <c r="C83" s="170"/>
      <c r="D83" s="170"/>
      <c r="E83" s="170"/>
      <c r="F83" s="170"/>
      <c r="G83" s="170"/>
      <c r="H83" s="170"/>
      <c r="I83" s="170"/>
      <c r="J83" s="170"/>
      <c r="K83" s="170"/>
      <c r="L83" s="170"/>
    </row>
    <row r="84" spans="2:12">
      <c r="B84" s="170"/>
      <c r="C84" s="170"/>
      <c r="D84" s="170"/>
      <c r="E84" s="170"/>
      <c r="F84" s="170"/>
      <c r="G84" s="170"/>
      <c r="H84" s="170"/>
      <c r="I84" s="170"/>
      <c r="J84" s="170"/>
      <c r="K84" s="170"/>
      <c r="L84" s="170"/>
    </row>
    <row r="85" spans="2:12">
      <c r="B85" s="170"/>
      <c r="C85" s="170"/>
      <c r="D85" s="170"/>
      <c r="E85" s="170"/>
      <c r="F85" s="170"/>
      <c r="G85" s="170"/>
      <c r="H85" s="170"/>
      <c r="I85" s="170"/>
      <c r="J85" s="170"/>
      <c r="K85" s="170"/>
      <c r="L85" s="170"/>
    </row>
    <row r="86" spans="2:12">
      <c r="B86" s="170"/>
      <c r="C86" s="170"/>
      <c r="D86" s="170"/>
      <c r="E86" s="170"/>
      <c r="F86" s="170"/>
      <c r="G86" s="170"/>
      <c r="H86" s="170"/>
      <c r="I86" s="170"/>
      <c r="J86" s="170"/>
      <c r="K86" s="170"/>
      <c r="L86" s="170"/>
    </row>
    <row r="87" spans="2:12">
      <c r="B87" s="170"/>
      <c r="C87" s="170"/>
      <c r="D87" s="170"/>
      <c r="E87" s="170"/>
      <c r="F87" s="170"/>
      <c r="G87" s="170"/>
      <c r="H87" s="170"/>
      <c r="I87" s="170"/>
      <c r="J87" s="170"/>
      <c r="K87" s="170"/>
      <c r="L87" s="170"/>
    </row>
    <row r="88" spans="2:12">
      <c r="B88" s="170"/>
      <c r="C88" s="170"/>
      <c r="D88" s="170"/>
      <c r="E88" s="170"/>
      <c r="F88" s="170"/>
      <c r="G88" s="170"/>
      <c r="H88" s="170"/>
      <c r="I88" s="170"/>
      <c r="J88" s="170"/>
      <c r="K88" s="170"/>
      <c r="L88" s="170"/>
    </row>
    <row r="89" spans="2:12">
      <c r="B89" s="170"/>
      <c r="C89" s="170"/>
      <c r="D89" s="170"/>
      <c r="E89" s="170"/>
      <c r="F89" s="170"/>
      <c r="G89" s="170"/>
      <c r="H89" s="170"/>
      <c r="I89" s="170"/>
      <c r="J89" s="170"/>
      <c r="K89" s="170"/>
      <c r="L89" s="170"/>
    </row>
    <row r="90" spans="2:12"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</row>
    <row r="91" spans="2:12">
      <c r="B91" s="170"/>
      <c r="C91" s="170"/>
      <c r="D91" s="170"/>
      <c r="E91" s="170"/>
      <c r="F91" s="170"/>
      <c r="G91" s="170"/>
      <c r="H91" s="170"/>
      <c r="I91" s="170"/>
      <c r="J91" s="170"/>
      <c r="K91" s="170"/>
      <c r="L91" s="170"/>
    </row>
    <row r="92" spans="2:12">
      <c r="B92" s="170"/>
      <c r="C92" s="170"/>
      <c r="D92" s="170"/>
      <c r="E92" s="170"/>
      <c r="F92" s="170"/>
      <c r="G92" s="170"/>
      <c r="H92" s="170"/>
      <c r="I92" s="170"/>
      <c r="J92" s="170"/>
      <c r="K92" s="170"/>
      <c r="L92" s="170"/>
    </row>
    <row r="93" spans="2:12"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70"/>
    </row>
    <row r="94" spans="2:12">
      <c r="B94" s="170"/>
      <c r="C94" s="170"/>
      <c r="D94" s="170"/>
      <c r="E94" s="170"/>
      <c r="F94" s="170"/>
      <c r="G94" s="170"/>
      <c r="H94" s="170"/>
      <c r="I94" s="170"/>
      <c r="J94" s="170"/>
      <c r="K94" s="170"/>
      <c r="L94" s="170"/>
    </row>
    <row r="95" spans="2:12">
      <c r="B95" s="170"/>
      <c r="C95" s="170"/>
      <c r="D95" s="170"/>
      <c r="E95" s="170"/>
      <c r="F95" s="170"/>
      <c r="G95" s="170"/>
      <c r="H95" s="170"/>
      <c r="I95" s="170"/>
      <c r="J95" s="170"/>
      <c r="K95" s="170"/>
      <c r="L95" s="170"/>
    </row>
    <row r="96" spans="2:12">
      <c r="B96" s="170"/>
      <c r="C96" s="170"/>
      <c r="D96" s="170"/>
      <c r="E96" s="170"/>
      <c r="F96" s="170"/>
      <c r="G96" s="170"/>
      <c r="H96" s="170"/>
      <c r="I96" s="170"/>
      <c r="J96" s="170"/>
      <c r="K96" s="170"/>
      <c r="L96" s="170"/>
    </row>
    <row r="97" spans="2:12">
      <c r="B97" s="170"/>
      <c r="C97" s="170"/>
      <c r="D97" s="170"/>
      <c r="E97" s="170"/>
      <c r="F97" s="170"/>
      <c r="G97" s="170"/>
      <c r="H97" s="170"/>
      <c r="I97" s="170"/>
      <c r="J97" s="170"/>
      <c r="K97" s="170"/>
      <c r="L97" s="170"/>
    </row>
    <row r="98" spans="2:12">
      <c r="B98" s="170"/>
      <c r="C98" s="170"/>
      <c r="D98" s="170"/>
      <c r="E98" s="170"/>
      <c r="F98" s="170"/>
      <c r="G98" s="170"/>
      <c r="H98" s="170"/>
      <c r="I98" s="170"/>
      <c r="J98" s="170"/>
      <c r="K98" s="170"/>
      <c r="L98" s="170"/>
    </row>
    <row r="99" spans="2:12">
      <c r="B99" s="170"/>
      <c r="C99" s="170"/>
      <c r="D99" s="170"/>
      <c r="E99" s="170"/>
      <c r="F99" s="170"/>
      <c r="G99" s="170"/>
      <c r="H99" s="170"/>
      <c r="I99" s="170"/>
      <c r="J99" s="170"/>
      <c r="K99" s="170"/>
      <c r="L99" s="170"/>
    </row>
    <row r="100" spans="2:12">
      <c r="B100" s="170"/>
      <c r="C100" s="170"/>
      <c r="D100" s="170"/>
      <c r="E100" s="170"/>
      <c r="F100" s="170"/>
      <c r="G100" s="170"/>
      <c r="H100" s="170"/>
      <c r="I100" s="170"/>
      <c r="J100" s="170"/>
      <c r="K100" s="170"/>
      <c r="L100" s="170"/>
    </row>
    <row r="101" spans="2:12">
      <c r="B101" s="170"/>
      <c r="C101" s="170"/>
      <c r="D101" s="170"/>
      <c r="E101" s="170"/>
      <c r="F101" s="170"/>
      <c r="G101" s="170"/>
      <c r="H101" s="170"/>
      <c r="I101" s="170"/>
      <c r="J101" s="170"/>
      <c r="K101" s="170"/>
      <c r="L101" s="170"/>
    </row>
    <row r="102" spans="2:12">
      <c r="B102" s="170"/>
      <c r="C102" s="170"/>
      <c r="D102" s="170"/>
      <c r="E102" s="170"/>
      <c r="F102" s="170"/>
      <c r="G102" s="170"/>
      <c r="H102" s="170"/>
      <c r="I102" s="170"/>
      <c r="J102" s="170"/>
      <c r="K102" s="170"/>
      <c r="L102" s="170"/>
    </row>
    <row r="103" spans="2:12">
      <c r="B103" s="170"/>
      <c r="C103" s="170"/>
      <c r="D103" s="170"/>
      <c r="E103" s="170"/>
      <c r="F103" s="170"/>
      <c r="G103" s="170"/>
      <c r="H103" s="170"/>
      <c r="I103" s="170"/>
      <c r="J103" s="170"/>
      <c r="K103" s="170"/>
      <c r="L103" s="170"/>
    </row>
    <row r="104" spans="2:12">
      <c r="B104" s="170"/>
      <c r="C104" s="170"/>
      <c r="D104" s="170"/>
      <c r="E104" s="170"/>
      <c r="F104" s="170"/>
      <c r="G104" s="170"/>
      <c r="H104" s="170"/>
      <c r="I104" s="170"/>
      <c r="J104" s="170"/>
      <c r="K104" s="170"/>
      <c r="L104" s="170"/>
    </row>
    <row r="105" spans="2:12">
      <c r="B105" s="170"/>
      <c r="C105" s="170"/>
      <c r="D105" s="170"/>
      <c r="E105" s="170"/>
      <c r="F105" s="170"/>
      <c r="G105" s="170"/>
      <c r="H105" s="170"/>
      <c r="I105" s="170"/>
      <c r="J105" s="170"/>
      <c r="K105" s="170"/>
      <c r="L105" s="170"/>
    </row>
    <row r="106" spans="2:12">
      <c r="B106" s="170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</row>
    <row r="107" spans="2:12">
      <c r="B107" s="170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</row>
    <row r="108" spans="2:12">
      <c r="B108" s="170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</row>
    <row r="109" spans="2:12">
      <c r="B109" s="170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</row>
    <row r="110" spans="2:12">
      <c r="B110" s="170"/>
      <c r="C110" s="170"/>
      <c r="D110" s="170"/>
      <c r="E110" s="170"/>
      <c r="F110" s="170"/>
      <c r="G110" s="170"/>
      <c r="H110" s="170"/>
      <c r="I110" s="170"/>
      <c r="J110" s="170"/>
      <c r="K110" s="170"/>
      <c r="L110" s="170"/>
    </row>
    <row r="111" spans="2:12">
      <c r="B111" s="170"/>
      <c r="C111" s="170"/>
      <c r="D111" s="170"/>
      <c r="E111" s="170"/>
      <c r="F111" s="170"/>
      <c r="G111" s="170"/>
      <c r="H111" s="170"/>
      <c r="I111" s="170"/>
      <c r="J111" s="170"/>
      <c r="K111" s="170"/>
      <c r="L111" s="170"/>
    </row>
    <row r="112" spans="2:12">
      <c r="B112" s="170"/>
      <c r="C112" s="170"/>
      <c r="D112" s="170"/>
      <c r="E112" s="170"/>
      <c r="F112" s="170"/>
      <c r="G112" s="170"/>
      <c r="H112" s="170"/>
      <c r="I112" s="170"/>
      <c r="J112" s="170"/>
      <c r="K112" s="170"/>
      <c r="L112" s="170"/>
    </row>
    <row r="113" spans="2:12">
      <c r="B113" s="170"/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</row>
    <row r="114" spans="2:12">
      <c r="B114" s="170"/>
      <c r="C114" s="170"/>
      <c r="D114" s="170"/>
      <c r="E114" s="170"/>
      <c r="F114" s="170"/>
      <c r="G114" s="170"/>
      <c r="H114" s="170"/>
      <c r="I114" s="170"/>
      <c r="J114" s="170"/>
      <c r="K114" s="170"/>
      <c r="L114" s="170"/>
    </row>
    <row r="115" spans="2:12">
      <c r="B115" s="170"/>
      <c r="C115" s="170"/>
      <c r="D115" s="170"/>
      <c r="E115" s="170"/>
      <c r="F115" s="170"/>
      <c r="G115" s="170"/>
      <c r="H115" s="170"/>
      <c r="I115" s="170"/>
      <c r="J115" s="170"/>
      <c r="K115" s="170"/>
      <c r="L115" s="170"/>
    </row>
    <row r="116" spans="2:12">
      <c r="B116" s="170"/>
      <c r="C116" s="170"/>
      <c r="D116" s="170"/>
      <c r="E116" s="170"/>
      <c r="F116" s="170"/>
      <c r="G116" s="170"/>
      <c r="H116" s="170"/>
      <c r="I116" s="170"/>
      <c r="J116" s="170"/>
      <c r="K116" s="170"/>
      <c r="L116" s="170"/>
    </row>
    <row r="117" spans="2:12">
      <c r="B117" s="170"/>
      <c r="C117" s="170"/>
      <c r="D117" s="170"/>
      <c r="E117" s="170"/>
      <c r="F117" s="170"/>
      <c r="G117" s="170"/>
      <c r="H117" s="170"/>
      <c r="I117" s="170"/>
      <c r="J117" s="170"/>
      <c r="K117" s="170"/>
      <c r="L117" s="170"/>
    </row>
    <row r="118" spans="2:12">
      <c r="B118" s="170"/>
      <c r="C118" s="170"/>
      <c r="D118" s="170"/>
      <c r="E118" s="170"/>
      <c r="F118" s="170"/>
      <c r="G118" s="170"/>
      <c r="H118" s="170"/>
      <c r="I118" s="170"/>
      <c r="J118" s="170"/>
      <c r="K118" s="170"/>
      <c r="L118" s="170"/>
    </row>
    <row r="119" spans="2:12">
      <c r="B119" s="170"/>
      <c r="C119" s="170"/>
      <c r="D119" s="170"/>
      <c r="E119" s="170"/>
      <c r="F119" s="170"/>
      <c r="G119" s="170"/>
      <c r="H119" s="170"/>
      <c r="I119" s="170"/>
      <c r="J119" s="170"/>
      <c r="K119" s="170"/>
      <c r="L119" s="170"/>
    </row>
    <row r="120" spans="2:12">
      <c r="B120" s="170"/>
      <c r="C120" s="170"/>
      <c r="D120" s="170"/>
      <c r="E120" s="170"/>
      <c r="F120" s="170"/>
      <c r="G120" s="170"/>
      <c r="H120" s="170"/>
      <c r="I120" s="170"/>
      <c r="J120" s="170"/>
      <c r="K120" s="170"/>
      <c r="L120" s="170"/>
    </row>
    <row r="121" spans="2:12">
      <c r="B121" s="170"/>
      <c r="C121" s="170"/>
      <c r="D121" s="170"/>
      <c r="E121" s="170"/>
      <c r="F121" s="170"/>
      <c r="G121" s="170"/>
      <c r="H121" s="170"/>
      <c r="I121" s="170"/>
      <c r="J121" s="170"/>
      <c r="K121" s="170"/>
      <c r="L121" s="170"/>
    </row>
    <row r="122" spans="2:12">
      <c r="B122" s="170"/>
      <c r="C122" s="170"/>
      <c r="D122" s="170"/>
      <c r="E122" s="170"/>
      <c r="F122" s="170"/>
      <c r="G122" s="170"/>
      <c r="H122" s="170"/>
      <c r="I122" s="170"/>
      <c r="J122" s="170"/>
      <c r="K122" s="170"/>
      <c r="L122" s="170"/>
    </row>
    <row r="123" spans="2:12">
      <c r="B123" s="170"/>
      <c r="C123" s="170"/>
      <c r="D123" s="170"/>
      <c r="E123" s="170"/>
      <c r="F123" s="170"/>
      <c r="G123" s="170"/>
      <c r="H123" s="170"/>
      <c r="I123" s="170"/>
      <c r="J123" s="170"/>
      <c r="K123" s="170"/>
      <c r="L123" s="170"/>
    </row>
    <row r="124" spans="2:12">
      <c r="B124" s="170"/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</row>
    <row r="125" spans="2:12">
      <c r="B125" s="170"/>
      <c r="C125" s="170"/>
      <c r="D125" s="170"/>
      <c r="E125" s="170"/>
      <c r="F125" s="170"/>
      <c r="G125" s="170"/>
      <c r="H125" s="170"/>
      <c r="I125" s="170"/>
      <c r="J125" s="170"/>
      <c r="K125" s="170"/>
      <c r="L125" s="170"/>
    </row>
    <row r="126" spans="2:12">
      <c r="B126" s="170"/>
      <c r="C126" s="170"/>
      <c r="D126" s="170"/>
      <c r="E126" s="170"/>
      <c r="F126" s="170"/>
      <c r="G126" s="170"/>
      <c r="H126" s="170"/>
      <c r="I126" s="170"/>
      <c r="J126" s="170"/>
      <c r="K126" s="170"/>
      <c r="L126" s="170"/>
    </row>
    <row r="127" spans="2:12">
      <c r="B127" s="170"/>
      <c r="C127" s="170"/>
      <c r="D127" s="170"/>
      <c r="E127" s="170"/>
      <c r="F127" s="170"/>
      <c r="G127" s="170"/>
      <c r="H127" s="170"/>
      <c r="I127" s="170"/>
      <c r="J127" s="170"/>
      <c r="K127" s="170"/>
      <c r="L127" s="170"/>
    </row>
    <row r="128" spans="2:12">
      <c r="B128" s="145"/>
      <c r="C128" s="145"/>
      <c r="D128" s="146"/>
      <c r="E128" s="145"/>
      <c r="F128" s="145"/>
      <c r="G128" s="145"/>
      <c r="H128" s="145"/>
      <c r="I128" s="145"/>
      <c r="J128" s="145"/>
      <c r="K128" s="145"/>
      <c r="L128" s="145"/>
    </row>
    <row r="129" spans="4:4">
      <c r="D129" s="146"/>
    </row>
    <row r="130" spans="4:4">
      <c r="D130" s="146"/>
    </row>
    <row r="131" spans="4:4">
      <c r="D131" s="146"/>
    </row>
    <row r="132" spans="4:4">
      <c r="D132" s="146"/>
    </row>
    <row r="133" spans="4:4">
      <c r="D133" s="146"/>
    </row>
    <row r="134" spans="4:4">
      <c r="D134" s="146"/>
    </row>
    <row r="135" spans="4:4">
      <c r="D135" s="146"/>
    </row>
    <row r="136" spans="4:4">
      <c r="D136" s="146"/>
    </row>
    <row r="137" spans="4:4">
      <c r="D137" s="146"/>
    </row>
    <row r="138" spans="4:4">
      <c r="D138" s="146"/>
    </row>
    <row r="139" spans="4:4">
      <c r="D139" s="146"/>
    </row>
    <row r="140" spans="4:4">
      <c r="D140" s="146"/>
    </row>
    <row r="141" spans="4:4">
      <c r="D141" s="146"/>
    </row>
    <row r="142" spans="4:4">
      <c r="D142" s="146"/>
    </row>
    <row r="143" spans="4:4">
      <c r="D143" s="146"/>
    </row>
    <row r="144" spans="4:4">
      <c r="D144" s="146"/>
    </row>
    <row r="145" spans="4:4">
      <c r="D145" s="146"/>
    </row>
    <row r="146" spans="4:4">
      <c r="D146" s="146"/>
    </row>
    <row r="147" spans="4:4">
      <c r="D147" s="146"/>
    </row>
    <row r="148" spans="4:4">
      <c r="D148" s="146"/>
    </row>
    <row r="149" spans="4:4">
      <c r="D149" s="146"/>
    </row>
    <row r="150" spans="4:4">
      <c r="D150" s="146"/>
    </row>
    <row r="151" spans="4:4">
      <c r="D151" s="146"/>
    </row>
    <row r="152" spans="4:4">
      <c r="D152" s="146"/>
    </row>
    <row r="153" spans="4:4">
      <c r="D153" s="146"/>
    </row>
    <row r="154" spans="4:4">
      <c r="D154" s="146"/>
    </row>
    <row r="155" spans="4:4">
      <c r="D155" s="146"/>
    </row>
    <row r="156" spans="4:4">
      <c r="D156" s="146"/>
    </row>
    <row r="157" spans="4:4">
      <c r="D157" s="146"/>
    </row>
    <row r="158" spans="4:4">
      <c r="D158" s="146"/>
    </row>
    <row r="159" spans="4:4">
      <c r="D159" s="146"/>
    </row>
    <row r="160" spans="4:4">
      <c r="D160" s="146"/>
    </row>
    <row r="161" spans="4:4">
      <c r="D161" s="146"/>
    </row>
    <row r="162" spans="4:4">
      <c r="D162" s="146"/>
    </row>
    <row r="163" spans="4:4">
      <c r="D163" s="146"/>
    </row>
    <row r="164" spans="4:4">
      <c r="D164" s="146"/>
    </row>
    <row r="165" spans="4:4">
      <c r="D165" s="146"/>
    </row>
    <row r="166" spans="4:4">
      <c r="D166" s="146"/>
    </row>
    <row r="167" spans="4:4">
      <c r="D167" s="146"/>
    </row>
    <row r="168" spans="4:4">
      <c r="D168" s="146"/>
    </row>
    <row r="169" spans="4:4">
      <c r="D169" s="146"/>
    </row>
    <row r="170" spans="4:4">
      <c r="D170" s="146"/>
    </row>
    <row r="171" spans="4:4">
      <c r="D171" s="146"/>
    </row>
    <row r="172" spans="4:4">
      <c r="D172" s="146"/>
    </row>
    <row r="173" spans="4:4">
      <c r="D173" s="146"/>
    </row>
    <row r="174" spans="4:4">
      <c r="D174" s="146"/>
    </row>
    <row r="175" spans="4:4">
      <c r="D175" s="146"/>
    </row>
    <row r="176" spans="4:4">
      <c r="D176" s="146"/>
    </row>
    <row r="177" spans="4:4">
      <c r="D177" s="146"/>
    </row>
    <row r="178" spans="4:4">
      <c r="D178" s="146"/>
    </row>
    <row r="179" spans="4:4">
      <c r="D179" s="146"/>
    </row>
    <row r="180" spans="4:4">
      <c r="D180" s="146"/>
    </row>
    <row r="181" spans="4:4">
      <c r="D181" s="146"/>
    </row>
    <row r="182" spans="4:4">
      <c r="D182" s="146"/>
    </row>
    <row r="183" spans="4:4">
      <c r="D183" s="146"/>
    </row>
    <row r="184" spans="4:4">
      <c r="D184" s="146"/>
    </row>
    <row r="185" spans="4:4">
      <c r="D185" s="146"/>
    </row>
    <row r="186" spans="4:4">
      <c r="D186" s="146"/>
    </row>
    <row r="187" spans="4:4">
      <c r="D187" s="146"/>
    </row>
    <row r="188" spans="4:4">
      <c r="D188" s="146"/>
    </row>
    <row r="189" spans="4:4">
      <c r="D189" s="146"/>
    </row>
    <row r="190" spans="4:4">
      <c r="D190" s="146"/>
    </row>
    <row r="191" spans="4:4">
      <c r="D191" s="146"/>
    </row>
    <row r="192" spans="4:4">
      <c r="D192" s="146"/>
    </row>
    <row r="193" spans="4:4">
      <c r="D193" s="146"/>
    </row>
    <row r="194" spans="4:4">
      <c r="D194" s="146"/>
    </row>
    <row r="195" spans="4:4">
      <c r="D195" s="146"/>
    </row>
    <row r="196" spans="4:4">
      <c r="D196" s="146"/>
    </row>
    <row r="197" spans="4:4">
      <c r="D197" s="146"/>
    </row>
    <row r="198" spans="4:4">
      <c r="D198" s="146"/>
    </row>
    <row r="199" spans="4:4">
      <c r="D199" s="146"/>
    </row>
    <row r="200" spans="4:4">
      <c r="D200" s="146"/>
    </row>
    <row r="201" spans="4:4">
      <c r="D201" s="146"/>
    </row>
    <row r="202" spans="4:4">
      <c r="D202" s="146"/>
    </row>
    <row r="203" spans="4:4">
      <c r="D203" s="146"/>
    </row>
    <row r="204" spans="4:4">
      <c r="D204" s="146"/>
    </row>
    <row r="205" spans="4:4">
      <c r="D205" s="146"/>
    </row>
    <row r="206" spans="4:4">
      <c r="D206" s="146"/>
    </row>
    <row r="207" spans="4:4">
      <c r="D207" s="146"/>
    </row>
    <row r="208" spans="4:4">
      <c r="D208" s="146"/>
    </row>
    <row r="209" spans="4:4">
      <c r="D209" s="146"/>
    </row>
    <row r="210" spans="4:4">
      <c r="D210" s="146"/>
    </row>
    <row r="211" spans="4:4">
      <c r="D211" s="146"/>
    </row>
    <row r="212" spans="4:4">
      <c r="D212" s="146"/>
    </row>
    <row r="213" spans="4:4">
      <c r="D213" s="146"/>
    </row>
    <row r="214" spans="4:4">
      <c r="D214" s="146"/>
    </row>
    <row r="215" spans="4:4">
      <c r="D215" s="146"/>
    </row>
    <row r="216" spans="4:4">
      <c r="D216" s="146"/>
    </row>
    <row r="217" spans="4:4">
      <c r="D217" s="146"/>
    </row>
    <row r="218" spans="4:4">
      <c r="D218" s="146"/>
    </row>
    <row r="219" spans="4:4">
      <c r="D219" s="146"/>
    </row>
    <row r="220" spans="4:4">
      <c r="D220" s="146"/>
    </row>
    <row r="221" spans="4:4">
      <c r="D221" s="146"/>
    </row>
    <row r="222" spans="4:4">
      <c r="D222" s="146"/>
    </row>
    <row r="223" spans="4:4">
      <c r="D223" s="146"/>
    </row>
    <row r="224" spans="4:4">
      <c r="D224" s="146"/>
    </row>
    <row r="225" spans="4:4">
      <c r="D225" s="146"/>
    </row>
    <row r="226" spans="4:4">
      <c r="D226" s="146"/>
    </row>
    <row r="227" spans="4:4">
      <c r="D227" s="146"/>
    </row>
    <row r="228" spans="4:4">
      <c r="D228" s="146"/>
    </row>
    <row r="229" spans="4:4">
      <c r="D229" s="146"/>
    </row>
    <row r="230" spans="4:4">
      <c r="D230" s="146"/>
    </row>
    <row r="231" spans="4:4">
      <c r="D231" s="146"/>
    </row>
    <row r="232" spans="4:4">
      <c r="D232" s="146"/>
    </row>
    <row r="233" spans="4:4">
      <c r="D233" s="146"/>
    </row>
    <row r="234" spans="4:4">
      <c r="D234" s="146"/>
    </row>
    <row r="235" spans="4:4">
      <c r="D235" s="146"/>
    </row>
    <row r="236" spans="4:4">
      <c r="D236" s="146"/>
    </row>
    <row r="237" spans="4:4">
      <c r="D237" s="146"/>
    </row>
    <row r="238" spans="4:4">
      <c r="D238" s="146"/>
    </row>
    <row r="239" spans="4:4">
      <c r="D239" s="146"/>
    </row>
    <row r="240" spans="4:4">
      <c r="D240" s="146"/>
    </row>
    <row r="241" spans="4:4">
      <c r="D241" s="146"/>
    </row>
    <row r="242" spans="4:4">
      <c r="D242" s="146"/>
    </row>
    <row r="243" spans="4:4">
      <c r="D243" s="146"/>
    </row>
    <row r="244" spans="4:4">
      <c r="D244" s="146"/>
    </row>
    <row r="245" spans="4:4">
      <c r="D245" s="146"/>
    </row>
    <row r="246" spans="4:4">
      <c r="D246" s="146"/>
    </row>
    <row r="247" spans="4:4">
      <c r="D247" s="146"/>
    </row>
    <row r="248" spans="4:4">
      <c r="D248" s="146"/>
    </row>
    <row r="249" spans="4:4">
      <c r="D249" s="146"/>
    </row>
    <row r="250" spans="4:4">
      <c r="D250" s="146"/>
    </row>
    <row r="251" spans="4:4">
      <c r="D251" s="146"/>
    </row>
    <row r="252" spans="4:4">
      <c r="D252" s="146"/>
    </row>
    <row r="253" spans="4:4">
      <c r="D253" s="146"/>
    </row>
    <row r="254" spans="4:4">
      <c r="D254" s="146"/>
    </row>
    <row r="255" spans="4:4">
      <c r="D255" s="146"/>
    </row>
    <row r="256" spans="4:4">
      <c r="D256" s="146"/>
    </row>
    <row r="257" spans="4:4">
      <c r="D257" s="146"/>
    </row>
    <row r="258" spans="4:4">
      <c r="D258" s="146"/>
    </row>
    <row r="259" spans="4:4">
      <c r="D259" s="146"/>
    </row>
    <row r="260" spans="4:4">
      <c r="D260" s="146"/>
    </row>
    <row r="261" spans="4:4">
      <c r="D261" s="146"/>
    </row>
    <row r="262" spans="4:4">
      <c r="D262" s="146"/>
    </row>
    <row r="263" spans="4:4">
      <c r="D263" s="146"/>
    </row>
    <row r="264" spans="4:4">
      <c r="D264" s="146"/>
    </row>
    <row r="265" spans="4:4">
      <c r="D265" s="146"/>
    </row>
    <row r="266" spans="4:4">
      <c r="D266" s="146"/>
    </row>
    <row r="267" spans="4:4">
      <c r="D267" s="146"/>
    </row>
    <row r="268" spans="4:4">
      <c r="D268" s="146"/>
    </row>
    <row r="269" spans="4:4">
      <c r="D269" s="146"/>
    </row>
    <row r="270" spans="4:4">
      <c r="D270" s="146"/>
    </row>
    <row r="271" spans="4:4">
      <c r="D271" s="146"/>
    </row>
    <row r="272" spans="4:4">
      <c r="D272" s="146"/>
    </row>
    <row r="273" spans="4:4">
      <c r="D273" s="146"/>
    </row>
    <row r="274" spans="4:4">
      <c r="D274" s="146"/>
    </row>
    <row r="275" spans="4:4">
      <c r="D275" s="146"/>
    </row>
    <row r="276" spans="4:4">
      <c r="D276" s="146"/>
    </row>
    <row r="277" spans="4:4">
      <c r="D277" s="146"/>
    </row>
    <row r="278" spans="4:4">
      <c r="D278" s="146"/>
    </row>
    <row r="279" spans="4:4">
      <c r="D279" s="146"/>
    </row>
    <row r="280" spans="4:4">
      <c r="D280" s="146"/>
    </row>
    <row r="281" spans="4:4">
      <c r="D281" s="146"/>
    </row>
    <row r="282" spans="4:4">
      <c r="D282" s="146"/>
    </row>
    <row r="283" spans="4:4">
      <c r="D283" s="146"/>
    </row>
    <row r="284" spans="4:4">
      <c r="D284" s="146"/>
    </row>
    <row r="285" spans="4:4">
      <c r="D285" s="146"/>
    </row>
    <row r="286" spans="4:4">
      <c r="D286" s="146"/>
    </row>
    <row r="287" spans="4:4">
      <c r="D287" s="146"/>
    </row>
    <row r="288" spans="4:4">
      <c r="D288" s="146"/>
    </row>
    <row r="289" spans="4:4">
      <c r="D289" s="146"/>
    </row>
    <row r="290" spans="4:4">
      <c r="D290" s="146"/>
    </row>
    <row r="291" spans="4:4">
      <c r="D291" s="146"/>
    </row>
    <row r="292" spans="4:4">
      <c r="D292" s="146"/>
    </row>
    <row r="293" spans="4:4">
      <c r="D293" s="146"/>
    </row>
    <row r="294" spans="4:4">
      <c r="D294" s="146"/>
    </row>
    <row r="295" spans="4:4">
      <c r="D295" s="146"/>
    </row>
    <row r="296" spans="4:4">
      <c r="D296" s="146"/>
    </row>
    <row r="297" spans="4:4">
      <c r="D297" s="146"/>
    </row>
    <row r="298" spans="4:4">
      <c r="D298" s="146"/>
    </row>
    <row r="299" spans="4:4">
      <c r="D299" s="146"/>
    </row>
    <row r="300" spans="4:4">
      <c r="D300" s="146"/>
    </row>
    <row r="301" spans="4:4">
      <c r="D301" s="146"/>
    </row>
    <row r="302" spans="4:4">
      <c r="D302" s="146"/>
    </row>
    <row r="303" spans="4:4">
      <c r="D303" s="146"/>
    </row>
    <row r="304" spans="4:4">
      <c r="D304" s="146"/>
    </row>
    <row r="305" spans="4:4">
      <c r="D305" s="146"/>
    </row>
    <row r="306" spans="4:4">
      <c r="D306" s="146"/>
    </row>
    <row r="307" spans="4:4">
      <c r="D307" s="146"/>
    </row>
    <row r="308" spans="4:4">
      <c r="D308" s="146"/>
    </row>
    <row r="309" spans="4:4">
      <c r="D309" s="146"/>
    </row>
    <row r="310" spans="4:4">
      <c r="D310" s="146"/>
    </row>
    <row r="311" spans="4:4">
      <c r="D311" s="146"/>
    </row>
    <row r="312" spans="4:4">
      <c r="D312" s="146"/>
    </row>
    <row r="313" spans="4:4">
      <c r="D313" s="146"/>
    </row>
    <row r="314" spans="4:4">
      <c r="D314" s="146"/>
    </row>
    <row r="315" spans="4:4">
      <c r="D315" s="146"/>
    </row>
    <row r="316" spans="4:4">
      <c r="D316" s="146"/>
    </row>
    <row r="317" spans="4:4">
      <c r="D317" s="146"/>
    </row>
    <row r="318" spans="4:4">
      <c r="D318" s="146"/>
    </row>
    <row r="319" spans="4:4">
      <c r="D319" s="146"/>
    </row>
    <row r="320" spans="4:4">
      <c r="D320" s="146"/>
    </row>
    <row r="321" spans="4:4">
      <c r="D321" s="146"/>
    </row>
    <row r="322" spans="4:4">
      <c r="D322" s="146"/>
    </row>
    <row r="323" spans="4:4">
      <c r="D323" s="146"/>
    </row>
    <row r="324" spans="4:4">
      <c r="D324" s="146"/>
    </row>
    <row r="325" spans="4:4">
      <c r="D325" s="146"/>
    </row>
    <row r="326" spans="4:4">
      <c r="D326" s="146"/>
    </row>
    <row r="327" spans="4:4">
      <c r="D327" s="146"/>
    </row>
    <row r="328" spans="4:4">
      <c r="D328" s="146"/>
    </row>
    <row r="329" spans="4:4">
      <c r="D329" s="146"/>
    </row>
    <row r="330" spans="4:4">
      <c r="D330" s="146"/>
    </row>
    <row r="331" spans="4:4">
      <c r="D331" s="146"/>
    </row>
    <row r="332" spans="4:4">
      <c r="D332" s="146"/>
    </row>
    <row r="333" spans="4:4">
      <c r="D333" s="146"/>
    </row>
    <row r="334" spans="4:4">
      <c r="D334" s="146"/>
    </row>
    <row r="335" spans="4:4">
      <c r="D335" s="146"/>
    </row>
    <row r="336" spans="4:4">
      <c r="D336" s="146"/>
    </row>
    <row r="337" spans="4:4">
      <c r="D337" s="146"/>
    </row>
    <row r="338" spans="4:4">
      <c r="D338" s="146"/>
    </row>
    <row r="339" spans="4:4">
      <c r="D339" s="146"/>
    </row>
    <row r="340" spans="4:4">
      <c r="D340" s="146"/>
    </row>
    <row r="341" spans="4:4">
      <c r="D341" s="146"/>
    </row>
    <row r="342" spans="4:4">
      <c r="D342" s="146"/>
    </row>
    <row r="343" spans="4:4">
      <c r="D343" s="146"/>
    </row>
    <row r="344" spans="4:4">
      <c r="D344" s="146"/>
    </row>
    <row r="345" spans="4:4">
      <c r="D345" s="146"/>
    </row>
    <row r="346" spans="4:4">
      <c r="D346" s="146"/>
    </row>
    <row r="347" spans="4:4">
      <c r="D347" s="146"/>
    </row>
    <row r="348" spans="4:4">
      <c r="D348" s="146"/>
    </row>
    <row r="349" spans="4:4">
      <c r="D349" s="146"/>
    </row>
    <row r="350" spans="4:4">
      <c r="D350" s="146"/>
    </row>
    <row r="351" spans="4:4">
      <c r="D351" s="146"/>
    </row>
    <row r="352" spans="4:4">
      <c r="D352" s="146"/>
    </row>
    <row r="353" spans="4:4">
      <c r="D353" s="146"/>
    </row>
    <row r="354" spans="4:4">
      <c r="D354" s="146"/>
    </row>
    <row r="355" spans="4:4">
      <c r="D355" s="146"/>
    </row>
    <row r="356" spans="4:4">
      <c r="D356" s="146"/>
    </row>
    <row r="357" spans="4:4">
      <c r="D357" s="146"/>
    </row>
    <row r="358" spans="4:4">
      <c r="D358" s="146"/>
    </row>
    <row r="359" spans="4:4">
      <c r="D359" s="146"/>
    </row>
    <row r="360" spans="4:4">
      <c r="D360" s="146"/>
    </row>
    <row r="361" spans="4:4">
      <c r="D361" s="146"/>
    </row>
    <row r="362" spans="4:4">
      <c r="D362" s="146"/>
    </row>
    <row r="363" spans="4:4">
      <c r="D363" s="146"/>
    </row>
    <row r="364" spans="4:4">
      <c r="D364" s="146"/>
    </row>
    <row r="365" spans="4:4">
      <c r="D365" s="146"/>
    </row>
    <row r="366" spans="4:4">
      <c r="D366" s="146"/>
    </row>
    <row r="367" spans="4:4">
      <c r="D367" s="146"/>
    </row>
    <row r="368" spans="4:4">
      <c r="D368" s="146"/>
    </row>
    <row r="369" spans="4:4">
      <c r="D369" s="146"/>
    </row>
    <row r="370" spans="4:4">
      <c r="D370" s="146"/>
    </row>
    <row r="371" spans="4:4">
      <c r="D371" s="146"/>
    </row>
    <row r="372" spans="4:4">
      <c r="D372" s="146"/>
    </row>
    <row r="373" spans="4:4">
      <c r="D373" s="146"/>
    </row>
    <row r="374" spans="4:4">
      <c r="D374" s="146"/>
    </row>
    <row r="375" spans="4:4">
      <c r="D375" s="146"/>
    </row>
    <row r="376" spans="4:4">
      <c r="D376" s="146"/>
    </row>
    <row r="377" spans="4:4">
      <c r="D377" s="146"/>
    </row>
    <row r="378" spans="4:4">
      <c r="D378" s="146"/>
    </row>
    <row r="379" spans="4:4">
      <c r="D379" s="146"/>
    </row>
    <row r="380" spans="4:4">
      <c r="D380" s="146"/>
    </row>
    <row r="381" spans="4:4">
      <c r="D381" s="146"/>
    </row>
    <row r="382" spans="4:4">
      <c r="D382" s="146"/>
    </row>
    <row r="383" spans="4:4">
      <c r="D383" s="146"/>
    </row>
    <row r="384" spans="4:4">
      <c r="D384" s="146"/>
    </row>
    <row r="385" spans="4:4">
      <c r="D385" s="146"/>
    </row>
    <row r="386" spans="4:4">
      <c r="D386" s="146"/>
    </row>
    <row r="387" spans="4:4">
      <c r="D387" s="146"/>
    </row>
    <row r="388" spans="4:4">
      <c r="D388" s="146"/>
    </row>
    <row r="389" spans="4:4">
      <c r="D389" s="146"/>
    </row>
    <row r="390" spans="4:4">
      <c r="D390" s="146"/>
    </row>
    <row r="391" spans="4:4">
      <c r="D391" s="146"/>
    </row>
    <row r="392" spans="4:4">
      <c r="D392" s="146"/>
    </row>
    <row r="393" spans="4:4">
      <c r="D393" s="146"/>
    </row>
    <row r="394" spans="4:4">
      <c r="D394" s="146"/>
    </row>
    <row r="395" spans="4:4">
      <c r="D395" s="146"/>
    </row>
    <row r="396" spans="4:4">
      <c r="D396" s="146"/>
    </row>
    <row r="397" spans="4:4">
      <c r="D397" s="146"/>
    </row>
    <row r="398" spans="4:4">
      <c r="D398" s="146"/>
    </row>
    <row r="399" spans="4:4">
      <c r="D399" s="146"/>
    </row>
    <row r="400" spans="4:4">
      <c r="D400" s="146"/>
    </row>
    <row r="401" spans="4:4">
      <c r="D401" s="146"/>
    </row>
    <row r="402" spans="4:4">
      <c r="D402" s="146"/>
    </row>
    <row r="403" spans="4:4">
      <c r="D403" s="146"/>
    </row>
    <row r="404" spans="4:4">
      <c r="D404" s="146"/>
    </row>
    <row r="405" spans="4:4">
      <c r="D405" s="146"/>
    </row>
    <row r="406" spans="4:4">
      <c r="D406" s="146"/>
    </row>
    <row r="407" spans="4:4">
      <c r="D407" s="146"/>
    </row>
    <row r="408" spans="4:4">
      <c r="D408" s="146"/>
    </row>
    <row r="409" spans="4:4">
      <c r="D409" s="146"/>
    </row>
    <row r="410" spans="4:4">
      <c r="D410" s="146"/>
    </row>
    <row r="411" spans="4:4">
      <c r="D411" s="146"/>
    </row>
    <row r="412" spans="4:4">
      <c r="D412" s="146"/>
    </row>
    <row r="413" spans="4:4">
      <c r="D413" s="146"/>
    </row>
    <row r="414" spans="4:4">
      <c r="D414" s="146"/>
    </row>
    <row r="415" spans="4:4">
      <c r="D415" s="146"/>
    </row>
    <row r="416" spans="4:4">
      <c r="D416" s="146"/>
    </row>
    <row r="417" spans="4:4">
      <c r="D417" s="146"/>
    </row>
    <row r="418" spans="4:4">
      <c r="D418" s="146"/>
    </row>
    <row r="419" spans="4:4">
      <c r="D419" s="146"/>
    </row>
    <row r="420" spans="4:4">
      <c r="D420" s="146"/>
    </row>
    <row r="421" spans="4:4">
      <c r="D421" s="146"/>
    </row>
    <row r="422" spans="4:4">
      <c r="D422" s="146"/>
    </row>
    <row r="423" spans="4:4">
      <c r="D423" s="146"/>
    </row>
    <row r="424" spans="4:4">
      <c r="D424" s="146"/>
    </row>
    <row r="425" spans="4:4">
      <c r="D425" s="146"/>
    </row>
    <row r="426" spans="4:4">
      <c r="D426" s="146"/>
    </row>
    <row r="427" spans="4:4">
      <c r="D427" s="146"/>
    </row>
    <row r="428" spans="4:4">
      <c r="D428" s="146"/>
    </row>
    <row r="429" spans="4:4">
      <c r="D429" s="146"/>
    </row>
    <row r="430" spans="4:4">
      <c r="D430" s="146"/>
    </row>
    <row r="431" spans="4:4">
      <c r="D431" s="146"/>
    </row>
    <row r="432" spans="4:4">
      <c r="D432" s="146"/>
    </row>
    <row r="433" spans="4:4">
      <c r="D433" s="146"/>
    </row>
    <row r="434" spans="4:4">
      <c r="D434" s="146"/>
    </row>
    <row r="435" spans="4:4">
      <c r="D435" s="146"/>
    </row>
    <row r="436" spans="4:4">
      <c r="D436" s="146"/>
    </row>
    <row r="437" spans="4:4">
      <c r="D437" s="146"/>
    </row>
    <row r="438" spans="4:4">
      <c r="D438" s="146"/>
    </row>
    <row r="439" spans="4:4">
      <c r="D439" s="146"/>
    </row>
    <row r="440" spans="4:4">
      <c r="D440" s="146"/>
    </row>
    <row r="441" spans="4:4">
      <c r="D441" s="146"/>
    </row>
    <row r="442" spans="4:4">
      <c r="D442" s="146"/>
    </row>
    <row r="443" spans="4:4">
      <c r="D443" s="146"/>
    </row>
    <row r="444" spans="4:4">
      <c r="D444" s="146"/>
    </row>
    <row r="445" spans="4:4">
      <c r="D445" s="146"/>
    </row>
    <row r="446" spans="4:4">
      <c r="D446" s="146"/>
    </row>
    <row r="447" spans="4:4">
      <c r="D447" s="146"/>
    </row>
    <row r="448" spans="4:4">
      <c r="D448" s="146"/>
    </row>
    <row r="449" spans="4:4">
      <c r="D449" s="146"/>
    </row>
    <row r="450" spans="4:4">
      <c r="D450" s="146"/>
    </row>
    <row r="451" spans="4:4">
      <c r="D451" s="146"/>
    </row>
    <row r="452" spans="4:4">
      <c r="D452" s="146"/>
    </row>
    <row r="453" spans="4:4">
      <c r="D453" s="146"/>
    </row>
    <row r="454" spans="4:4">
      <c r="D454" s="146"/>
    </row>
    <row r="455" spans="4:4">
      <c r="D455" s="146"/>
    </row>
    <row r="456" spans="4:4">
      <c r="D456" s="146"/>
    </row>
    <row r="457" spans="4:4">
      <c r="D457" s="146"/>
    </row>
    <row r="458" spans="4:4">
      <c r="D458" s="146"/>
    </row>
    <row r="459" spans="4:4">
      <c r="D459" s="146"/>
    </row>
    <row r="460" spans="4:4">
      <c r="D460" s="146"/>
    </row>
    <row r="461" spans="4:4">
      <c r="D461" s="146"/>
    </row>
    <row r="462" spans="4:4">
      <c r="D462" s="146"/>
    </row>
    <row r="463" spans="4:4">
      <c r="D463" s="146"/>
    </row>
    <row r="464" spans="4:4">
      <c r="D464" s="146"/>
    </row>
    <row r="465" spans="4:4">
      <c r="D465" s="146"/>
    </row>
    <row r="466" spans="4:4">
      <c r="D466" s="146"/>
    </row>
    <row r="467" spans="4:4">
      <c r="D467" s="146"/>
    </row>
    <row r="468" spans="4:4">
      <c r="D468" s="146"/>
    </row>
    <row r="469" spans="4:4">
      <c r="D469" s="146"/>
    </row>
    <row r="470" spans="4:4">
      <c r="D470" s="146"/>
    </row>
    <row r="471" spans="4:4">
      <c r="D471" s="146"/>
    </row>
    <row r="472" spans="4:4">
      <c r="D472" s="146"/>
    </row>
    <row r="473" spans="4:4">
      <c r="D473" s="146"/>
    </row>
    <row r="474" spans="4:4">
      <c r="D474" s="146"/>
    </row>
    <row r="475" spans="4:4">
      <c r="D475" s="146"/>
    </row>
    <row r="476" spans="4:4">
      <c r="D476" s="146"/>
    </row>
    <row r="477" spans="4:4">
      <c r="D477" s="146"/>
    </row>
    <row r="478" spans="4:4">
      <c r="D478" s="146"/>
    </row>
    <row r="479" spans="4:4">
      <c r="D479" s="146"/>
    </row>
    <row r="480" spans="4:4">
      <c r="D480" s="146"/>
    </row>
    <row r="481" spans="4:4">
      <c r="D481" s="146"/>
    </row>
    <row r="482" spans="4:4">
      <c r="D482" s="146"/>
    </row>
    <row r="483" spans="4:4">
      <c r="D483" s="146"/>
    </row>
    <row r="484" spans="4:4">
      <c r="D484" s="146"/>
    </row>
    <row r="485" spans="4:4">
      <c r="D485" s="146"/>
    </row>
    <row r="486" spans="4:4">
      <c r="D486" s="146"/>
    </row>
    <row r="487" spans="4:4">
      <c r="D487" s="146"/>
    </row>
    <row r="488" spans="4:4">
      <c r="D488" s="146"/>
    </row>
    <row r="489" spans="4:4">
      <c r="D489" s="146"/>
    </row>
    <row r="490" spans="4:4">
      <c r="D490" s="146"/>
    </row>
    <row r="491" spans="4:4">
      <c r="D491" s="146"/>
    </row>
    <row r="492" spans="4:4">
      <c r="D492" s="146"/>
    </row>
    <row r="493" spans="4:4">
      <c r="D493" s="146"/>
    </row>
    <row r="494" spans="4:4">
      <c r="D494" s="146"/>
    </row>
    <row r="495" spans="4:4">
      <c r="D495" s="146"/>
    </row>
    <row r="496" spans="4:4">
      <c r="D496" s="146"/>
    </row>
    <row r="497" spans="4:4">
      <c r="D497" s="146"/>
    </row>
    <row r="498" spans="4:4">
      <c r="D498" s="146"/>
    </row>
    <row r="499" spans="4:4">
      <c r="D499" s="146"/>
    </row>
    <row r="500" spans="4:4">
      <c r="D500" s="146"/>
    </row>
    <row r="501" spans="4:4">
      <c r="D501" s="146"/>
    </row>
    <row r="502" spans="4:4">
      <c r="D502" s="146"/>
    </row>
    <row r="503" spans="4:4">
      <c r="D503" s="146"/>
    </row>
    <row r="504" spans="4:4">
      <c r="D504" s="146"/>
    </row>
    <row r="505" spans="4:4">
      <c r="D505" s="146"/>
    </row>
    <row r="506" spans="4:4">
      <c r="D506" s="146"/>
    </row>
    <row r="507" spans="4:4">
      <c r="D507" s="146"/>
    </row>
    <row r="508" spans="4:4">
      <c r="D508" s="146"/>
    </row>
    <row r="509" spans="4:4">
      <c r="D509" s="146"/>
    </row>
    <row r="510" spans="4:4">
      <c r="D510" s="146"/>
    </row>
    <row r="511" spans="4:4">
      <c r="D511" s="146"/>
    </row>
    <row r="512" spans="4:4">
      <c r="D512" s="146"/>
    </row>
    <row r="513" spans="4:5">
      <c r="D513" s="146"/>
      <c r="E513" s="145"/>
    </row>
    <row r="514" spans="4:5">
      <c r="D514" s="146"/>
      <c r="E514" s="145"/>
    </row>
    <row r="515" spans="4:5">
      <c r="D515" s="146"/>
      <c r="E515" s="145"/>
    </row>
    <row r="516" spans="4:5">
      <c r="D516" s="146"/>
      <c r="E516" s="145"/>
    </row>
    <row r="517" spans="4:5">
      <c r="D517" s="145"/>
      <c r="E517" s="147"/>
    </row>
  </sheetData>
  <sheetProtection sheet="1" objects="1" scenarios="1"/>
  <mergeCells count="1">
    <mergeCell ref="B6:L6"/>
  </mergeCells>
  <phoneticPr fontId="6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177</v>
      </c>
      <c r="C1" s="77" t="s" vm="1">
        <v>247</v>
      </c>
    </row>
    <row r="2" spans="2:18">
      <c r="B2" s="56" t="s">
        <v>176</v>
      </c>
      <c r="C2" s="77" t="s">
        <v>248</v>
      </c>
    </row>
    <row r="3" spans="2:18">
      <c r="B3" s="56" t="s">
        <v>178</v>
      </c>
      <c r="C3" s="77" t="s">
        <v>249</v>
      </c>
    </row>
    <row r="4" spans="2:18">
      <c r="B4" s="56" t="s">
        <v>179</v>
      </c>
      <c r="C4" s="77">
        <v>2144</v>
      </c>
    </row>
    <row r="6" spans="2:18" ht="26.25" customHeight="1">
      <c r="B6" s="195" t="s">
        <v>218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7"/>
    </row>
    <row r="7" spans="2:18" s="3" customFormat="1" ht="78.75">
      <c r="B7" s="22" t="s">
        <v>114</v>
      </c>
      <c r="C7" s="30" t="s">
        <v>43</v>
      </c>
      <c r="D7" s="30" t="s">
        <v>60</v>
      </c>
      <c r="E7" s="30" t="s">
        <v>15</v>
      </c>
      <c r="F7" s="30" t="s">
        <v>61</v>
      </c>
      <c r="G7" s="30" t="s">
        <v>100</v>
      </c>
      <c r="H7" s="30" t="s">
        <v>18</v>
      </c>
      <c r="I7" s="30" t="s">
        <v>99</v>
      </c>
      <c r="J7" s="30" t="s">
        <v>17</v>
      </c>
      <c r="K7" s="30" t="s">
        <v>215</v>
      </c>
      <c r="L7" s="30" t="s">
        <v>231</v>
      </c>
      <c r="M7" s="30" t="s">
        <v>216</v>
      </c>
      <c r="N7" s="30" t="s">
        <v>56</v>
      </c>
      <c r="O7" s="30" t="s">
        <v>180</v>
      </c>
      <c r="P7" s="31" t="s">
        <v>182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238</v>
      </c>
      <c r="M8" s="32" t="s">
        <v>234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246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110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237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177</v>
      </c>
      <c r="C1" s="77" t="s" vm="1">
        <v>247</v>
      </c>
    </row>
    <row r="2" spans="2:18">
      <c r="B2" s="56" t="s">
        <v>176</v>
      </c>
      <c r="C2" s="77" t="s">
        <v>248</v>
      </c>
    </row>
    <row r="3" spans="2:18">
      <c r="B3" s="56" t="s">
        <v>178</v>
      </c>
      <c r="C3" s="77" t="s">
        <v>249</v>
      </c>
    </row>
    <row r="4" spans="2:18">
      <c r="B4" s="56" t="s">
        <v>179</v>
      </c>
      <c r="C4" s="77">
        <v>2144</v>
      </c>
    </row>
    <row r="6" spans="2:18" ht="26.25" customHeight="1">
      <c r="B6" s="195" t="s">
        <v>220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7"/>
    </row>
    <row r="7" spans="2:18" s="3" customFormat="1" ht="78.75">
      <c r="B7" s="22" t="s">
        <v>114</v>
      </c>
      <c r="C7" s="30" t="s">
        <v>43</v>
      </c>
      <c r="D7" s="30" t="s">
        <v>60</v>
      </c>
      <c r="E7" s="30" t="s">
        <v>15</v>
      </c>
      <c r="F7" s="30" t="s">
        <v>61</v>
      </c>
      <c r="G7" s="30" t="s">
        <v>100</v>
      </c>
      <c r="H7" s="30" t="s">
        <v>18</v>
      </c>
      <c r="I7" s="30" t="s">
        <v>99</v>
      </c>
      <c r="J7" s="30" t="s">
        <v>17</v>
      </c>
      <c r="K7" s="30" t="s">
        <v>215</v>
      </c>
      <c r="L7" s="30" t="s">
        <v>231</v>
      </c>
      <c r="M7" s="30" t="s">
        <v>216</v>
      </c>
      <c r="N7" s="30" t="s">
        <v>56</v>
      </c>
      <c r="O7" s="30" t="s">
        <v>180</v>
      </c>
      <c r="P7" s="31" t="s">
        <v>182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238</v>
      </c>
      <c r="M8" s="32" t="s">
        <v>234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246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110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237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6" t="s">
        <v>177</v>
      </c>
      <c r="C1" s="77" t="s" vm="1">
        <v>247</v>
      </c>
    </row>
    <row r="2" spans="2:53">
      <c r="B2" s="56" t="s">
        <v>176</v>
      </c>
      <c r="C2" s="77" t="s">
        <v>248</v>
      </c>
    </row>
    <row r="3" spans="2:53">
      <c r="B3" s="56" t="s">
        <v>178</v>
      </c>
      <c r="C3" s="77" t="s">
        <v>249</v>
      </c>
    </row>
    <row r="4" spans="2:53">
      <c r="B4" s="56" t="s">
        <v>179</v>
      </c>
      <c r="C4" s="77">
        <v>2144</v>
      </c>
    </row>
    <row r="6" spans="2:53" ht="21.75" customHeight="1">
      <c r="B6" s="186" t="s">
        <v>207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8"/>
    </row>
    <row r="7" spans="2:53" ht="27.75" customHeight="1">
      <c r="B7" s="189" t="s">
        <v>84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1"/>
      <c r="AU7" s="3"/>
      <c r="AV7" s="3"/>
    </row>
    <row r="8" spans="2:53" s="3" customFormat="1" ht="66" customHeight="1">
      <c r="B8" s="22" t="s">
        <v>113</v>
      </c>
      <c r="C8" s="30" t="s">
        <v>43</v>
      </c>
      <c r="D8" s="30" t="s">
        <v>117</v>
      </c>
      <c r="E8" s="30" t="s">
        <v>15</v>
      </c>
      <c r="F8" s="30" t="s">
        <v>61</v>
      </c>
      <c r="G8" s="30" t="s">
        <v>100</v>
      </c>
      <c r="H8" s="30" t="s">
        <v>18</v>
      </c>
      <c r="I8" s="30" t="s">
        <v>99</v>
      </c>
      <c r="J8" s="30" t="s">
        <v>17</v>
      </c>
      <c r="K8" s="30" t="s">
        <v>19</v>
      </c>
      <c r="L8" s="30" t="s">
        <v>231</v>
      </c>
      <c r="M8" s="30" t="s">
        <v>230</v>
      </c>
      <c r="N8" s="30" t="s">
        <v>245</v>
      </c>
      <c r="O8" s="30" t="s">
        <v>59</v>
      </c>
      <c r="P8" s="30" t="s">
        <v>233</v>
      </c>
      <c r="Q8" s="30" t="s">
        <v>180</v>
      </c>
      <c r="R8" s="71" t="s">
        <v>182</v>
      </c>
      <c r="AM8" s="1"/>
      <c r="AU8" s="1"/>
      <c r="AV8" s="1"/>
      <c r="AW8" s="1"/>
    </row>
    <row r="9" spans="2:53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238</v>
      </c>
      <c r="M9" s="32"/>
      <c r="N9" s="16" t="s">
        <v>234</v>
      </c>
      <c r="O9" s="32" t="s">
        <v>239</v>
      </c>
      <c r="P9" s="32" t="s">
        <v>20</v>
      </c>
      <c r="Q9" s="32" t="s">
        <v>20</v>
      </c>
      <c r="R9" s="33" t="s">
        <v>20</v>
      </c>
      <c r="AU9" s="1"/>
      <c r="AV9" s="1"/>
    </row>
    <row r="10" spans="2:53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111</v>
      </c>
      <c r="R10" s="20" t="s">
        <v>112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26</v>
      </c>
      <c r="C11" s="79"/>
      <c r="D11" s="79"/>
      <c r="E11" s="79"/>
      <c r="F11" s="79"/>
      <c r="G11" s="79"/>
      <c r="H11" s="87">
        <v>5.8441970003402881</v>
      </c>
      <c r="I11" s="79"/>
      <c r="J11" s="79"/>
      <c r="K11" s="88">
        <v>5.3504030626085322E-3</v>
      </c>
      <c r="L11" s="87"/>
      <c r="M11" s="89"/>
      <c r="N11" s="79"/>
      <c r="O11" s="87">
        <v>66956.687518799998</v>
      </c>
      <c r="P11" s="79"/>
      <c r="Q11" s="88">
        <f>O11/$O$11</f>
        <v>1</v>
      </c>
      <c r="R11" s="88">
        <f>O11/'סכום נכסי הקרן'!$C$42</f>
        <v>0.29695986479089459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228</v>
      </c>
      <c r="C12" s="81"/>
      <c r="D12" s="81"/>
      <c r="E12" s="81"/>
      <c r="F12" s="81"/>
      <c r="G12" s="81"/>
      <c r="H12" s="90">
        <v>5.8441970003402881</v>
      </c>
      <c r="I12" s="81"/>
      <c r="J12" s="81"/>
      <c r="K12" s="91">
        <v>5.350403062608533E-3</v>
      </c>
      <c r="L12" s="90"/>
      <c r="M12" s="92"/>
      <c r="N12" s="81"/>
      <c r="O12" s="90">
        <v>66956.687518799998</v>
      </c>
      <c r="P12" s="81"/>
      <c r="Q12" s="91">
        <f t="shared" ref="Q12:Q26" si="0">O12/$O$11</f>
        <v>1</v>
      </c>
      <c r="R12" s="91">
        <f>O12/'סכום נכסי הקרן'!$C$42</f>
        <v>0.29695986479089459</v>
      </c>
      <c r="AW12" s="4"/>
    </row>
    <row r="13" spans="2:53" s="99" customFormat="1">
      <c r="B13" s="125" t="s">
        <v>25</v>
      </c>
      <c r="C13" s="121"/>
      <c r="D13" s="121"/>
      <c r="E13" s="121"/>
      <c r="F13" s="121"/>
      <c r="G13" s="121"/>
      <c r="H13" s="122">
        <v>5.7861130952199185</v>
      </c>
      <c r="I13" s="121"/>
      <c r="J13" s="121"/>
      <c r="K13" s="123">
        <v>-5.1186871813859213E-3</v>
      </c>
      <c r="L13" s="122"/>
      <c r="M13" s="126"/>
      <c r="N13" s="121"/>
      <c r="O13" s="122">
        <v>26548.840287218998</v>
      </c>
      <c r="P13" s="121"/>
      <c r="Q13" s="123">
        <f t="shared" si="0"/>
        <v>0.39650767191499214</v>
      </c>
      <c r="R13" s="123">
        <f>O13/'סכום נכסי הקרן'!$C$42</f>
        <v>0.11774686464042845</v>
      </c>
    </row>
    <row r="14" spans="2:53">
      <c r="B14" s="84" t="s">
        <v>24</v>
      </c>
      <c r="C14" s="81"/>
      <c r="D14" s="81"/>
      <c r="E14" s="81"/>
      <c r="F14" s="81"/>
      <c r="G14" s="81"/>
      <c r="H14" s="90">
        <v>5.7861130952199185</v>
      </c>
      <c r="I14" s="81"/>
      <c r="J14" s="81"/>
      <c r="K14" s="91">
        <v>-5.1186871813859213E-3</v>
      </c>
      <c r="L14" s="90"/>
      <c r="M14" s="92"/>
      <c r="N14" s="81"/>
      <c r="O14" s="90">
        <v>26548.840287218998</v>
      </c>
      <c r="P14" s="81"/>
      <c r="Q14" s="91">
        <f t="shared" si="0"/>
        <v>0.39650767191499214</v>
      </c>
      <c r="R14" s="91">
        <f>O14/'סכום נכסי הקרן'!$C$42</f>
        <v>0.11774686464042845</v>
      </c>
    </row>
    <row r="15" spans="2:53">
      <c r="B15" s="85" t="s">
        <v>250</v>
      </c>
      <c r="C15" s="83" t="s">
        <v>251</v>
      </c>
      <c r="D15" s="96" t="s">
        <v>118</v>
      </c>
      <c r="E15" s="83" t="s">
        <v>252</v>
      </c>
      <c r="F15" s="83"/>
      <c r="G15" s="83"/>
      <c r="H15" s="93">
        <v>2.2299999999998708</v>
      </c>
      <c r="I15" s="96" t="s">
        <v>162</v>
      </c>
      <c r="J15" s="97">
        <v>0.04</v>
      </c>
      <c r="K15" s="94">
        <v>-1.1700000000000092E-2</v>
      </c>
      <c r="L15" s="93">
        <v>2218701.225691</v>
      </c>
      <c r="M15" s="95">
        <v>150.09</v>
      </c>
      <c r="N15" s="83"/>
      <c r="O15" s="93">
        <v>3330.048636641</v>
      </c>
      <c r="P15" s="94">
        <v>1.4270187594243999E-4</v>
      </c>
      <c r="Q15" s="94">
        <f t="shared" si="0"/>
        <v>4.973436948633389E-2</v>
      </c>
      <c r="R15" s="94">
        <f>O15/'סכום נכסי הקרן'!$C$42</f>
        <v>1.4769111638122107E-2</v>
      </c>
    </row>
    <row r="16" spans="2:53" ht="20.25">
      <c r="B16" s="85" t="s">
        <v>253</v>
      </c>
      <c r="C16" s="83" t="s">
        <v>254</v>
      </c>
      <c r="D16" s="96" t="s">
        <v>118</v>
      </c>
      <c r="E16" s="83" t="s">
        <v>252</v>
      </c>
      <c r="F16" s="83"/>
      <c r="G16" s="83"/>
      <c r="H16" s="93">
        <v>4.8599999999995509</v>
      </c>
      <c r="I16" s="96" t="s">
        <v>162</v>
      </c>
      <c r="J16" s="97">
        <v>0.04</v>
      </c>
      <c r="K16" s="94">
        <v>-4.6999999999980356E-3</v>
      </c>
      <c r="L16" s="93">
        <v>908812.32254199998</v>
      </c>
      <c r="M16" s="95">
        <v>156.80000000000001</v>
      </c>
      <c r="N16" s="83"/>
      <c r="O16" s="93">
        <v>1425.017765324</v>
      </c>
      <c r="P16" s="94">
        <v>7.8225220727784226E-5</v>
      </c>
      <c r="Q16" s="94">
        <f t="shared" si="0"/>
        <v>2.1282680164306005E-2</v>
      </c>
      <c r="R16" s="94">
        <f>O16/'סכום נכסי הקרן'!$C$42</f>
        <v>6.3201018239801652E-3</v>
      </c>
      <c r="AU16" s="4"/>
    </row>
    <row r="17" spans="2:48" ht="20.25">
      <c r="B17" s="85" t="s">
        <v>255</v>
      </c>
      <c r="C17" s="83" t="s">
        <v>256</v>
      </c>
      <c r="D17" s="96" t="s">
        <v>118</v>
      </c>
      <c r="E17" s="83" t="s">
        <v>252</v>
      </c>
      <c r="F17" s="83"/>
      <c r="G17" s="83"/>
      <c r="H17" s="93">
        <v>7.9200000000008339</v>
      </c>
      <c r="I17" s="96" t="s">
        <v>162</v>
      </c>
      <c r="J17" s="97">
        <v>7.4999999999999997E-3</v>
      </c>
      <c r="K17" s="94">
        <v>-4.0000000000067824E-4</v>
      </c>
      <c r="L17" s="93">
        <v>3812672.3939979998</v>
      </c>
      <c r="M17" s="95">
        <v>108.29</v>
      </c>
      <c r="N17" s="83"/>
      <c r="O17" s="93">
        <v>4128.7430028679992</v>
      </c>
      <c r="P17" s="94">
        <v>2.7353803387171661E-4</v>
      </c>
      <c r="Q17" s="94">
        <f t="shared" si="0"/>
        <v>6.1662892175015929E-2</v>
      </c>
      <c r="R17" s="94">
        <f>O17/'סכום נכסי הקרן'!$C$42</f>
        <v>1.8311404122908242E-2</v>
      </c>
      <c r="AV17" s="4"/>
    </row>
    <row r="18" spans="2:48">
      <c r="B18" s="85" t="s">
        <v>257</v>
      </c>
      <c r="C18" s="83" t="s">
        <v>258</v>
      </c>
      <c r="D18" s="96" t="s">
        <v>118</v>
      </c>
      <c r="E18" s="83" t="s">
        <v>252</v>
      </c>
      <c r="F18" s="83"/>
      <c r="G18" s="83"/>
      <c r="H18" s="93">
        <v>13.360000000000351</v>
      </c>
      <c r="I18" s="96" t="s">
        <v>162</v>
      </c>
      <c r="J18" s="97">
        <v>0.04</v>
      </c>
      <c r="K18" s="94">
        <v>8.7000000000006603E-3</v>
      </c>
      <c r="L18" s="93">
        <v>1828565.306389</v>
      </c>
      <c r="M18" s="95">
        <v>182.1</v>
      </c>
      <c r="N18" s="83"/>
      <c r="O18" s="93">
        <v>3329.8173346939998</v>
      </c>
      <c r="P18" s="94">
        <v>1.1272408197814976E-4</v>
      </c>
      <c r="Q18" s="94">
        <f t="shared" si="0"/>
        <v>4.9730914985288942E-2</v>
      </c>
      <c r="R18" s="94">
        <f>O18/'סכום נכסי הקרן'!$C$42</f>
        <v>1.4768085789958878E-2</v>
      </c>
      <c r="AU18" s="3"/>
    </row>
    <row r="19" spans="2:48">
      <c r="B19" s="85" t="s">
        <v>259</v>
      </c>
      <c r="C19" s="83" t="s">
        <v>260</v>
      </c>
      <c r="D19" s="96" t="s">
        <v>118</v>
      </c>
      <c r="E19" s="83" t="s">
        <v>252</v>
      </c>
      <c r="F19" s="83"/>
      <c r="G19" s="83"/>
      <c r="H19" s="93">
        <v>17.589999999986336</v>
      </c>
      <c r="I19" s="96" t="s">
        <v>162</v>
      </c>
      <c r="J19" s="97">
        <v>2.75E-2</v>
      </c>
      <c r="K19" s="94">
        <v>1.19999999999878E-2</v>
      </c>
      <c r="L19" s="93">
        <v>348248.776664</v>
      </c>
      <c r="M19" s="95">
        <v>141.22999999999999</v>
      </c>
      <c r="N19" s="83"/>
      <c r="O19" s="93">
        <v>491.831774908</v>
      </c>
      <c r="P19" s="94">
        <v>1.9702826397433176E-5</v>
      </c>
      <c r="Q19" s="94">
        <f t="shared" si="0"/>
        <v>7.3455213083816941E-3</v>
      </c>
      <c r="R19" s="94">
        <f>O19/'סכום נכסי הקרן'!$C$42</f>
        <v>2.1813250145556631E-3</v>
      </c>
      <c r="AV19" s="3"/>
    </row>
    <row r="20" spans="2:48">
      <c r="B20" s="85" t="s">
        <v>261</v>
      </c>
      <c r="C20" s="83" t="s">
        <v>262</v>
      </c>
      <c r="D20" s="96" t="s">
        <v>118</v>
      </c>
      <c r="E20" s="83" t="s">
        <v>252</v>
      </c>
      <c r="F20" s="83"/>
      <c r="G20" s="83"/>
      <c r="H20" s="93">
        <v>4.3400000000010399</v>
      </c>
      <c r="I20" s="96" t="s">
        <v>162</v>
      </c>
      <c r="J20" s="97">
        <v>1.7500000000000002E-2</v>
      </c>
      <c r="K20" s="94">
        <v>-6.3000000000034686E-3</v>
      </c>
      <c r="L20" s="93">
        <v>1521229.965327</v>
      </c>
      <c r="M20" s="95">
        <v>113.75</v>
      </c>
      <c r="N20" s="83"/>
      <c r="O20" s="93">
        <v>1730.39910478</v>
      </c>
      <c r="P20" s="94">
        <v>1.0622313158832993E-4</v>
      </c>
      <c r="Q20" s="94">
        <f t="shared" si="0"/>
        <v>2.5843559006621126E-2</v>
      </c>
      <c r="R20" s="94">
        <f>O20/'סכום נכסי הקרן'!$C$42</f>
        <v>7.6744997883217156E-3</v>
      </c>
    </row>
    <row r="21" spans="2:48">
      <c r="B21" s="85" t="s">
        <v>263</v>
      </c>
      <c r="C21" s="83" t="s">
        <v>264</v>
      </c>
      <c r="D21" s="96" t="s">
        <v>118</v>
      </c>
      <c r="E21" s="83" t="s">
        <v>252</v>
      </c>
      <c r="F21" s="83"/>
      <c r="G21" s="83"/>
      <c r="H21" s="93">
        <v>0.58000000000028806</v>
      </c>
      <c r="I21" s="96" t="s">
        <v>162</v>
      </c>
      <c r="J21" s="97">
        <v>0.03</v>
      </c>
      <c r="K21" s="94">
        <v>-2.0599999999998005E-2</v>
      </c>
      <c r="L21" s="93">
        <v>785474.9665199999</v>
      </c>
      <c r="M21" s="95">
        <v>114.9</v>
      </c>
      <c r="N21" s="83"/>
      <c r="O21" s="93">
        <v>902.51068470300004</v>
      </c>
      <c r="P21" s="94">
        <v>5.1236901250004966E-5</v>
      </c>
      <c r="Q21" s="94">
        <f t="shared" si="0"/>
        <v>1.347902230751177E-2</v>
      </c>
      <c r="R21" s="94">
        <f>O21/'סכום נכסי הקרן'!$C$42</f>
        <v>4.0027286419521474E-3</v>
      </c>
    </row>
    <row r="22" spans="2:48">
      <c r="B22" s="85" t="s">
        <v>265</v>
      </c>
      <c r="C22" s="83" t="s">
        <v>266</v>
      </c>
      <c r="D22" s="96" t="s">
        <v>118</v>
      </c>
      <c r="E22" s="83" t="s">
        <v>252</v>
      </c>
      <c r="F22" s="83"/>
      <c r="G22" s="83"/>
      <c r="H22" s="93">
        <v>1.5799999999998937</v>
      </c>
      <c r="I22" s="96" t="s">
        <v>162</v>
      </c>
      <c r="J22" s="97">
        <v>1E-3</v>
      </c>
      <c r="K22" s="94">
        <v>-1.3499999999998959E-2</v>
      </c>
      <c r="L22" s="93">
        <v>4187068.4606590001</v>
      </c>
      <c r="M22" s="95">
        <v>103.3</v>
      </c>
      <c r="N22" s="83"/>
      <c r="O22" s="93">
        <v>4325.2417011869993</v>
      </c>
      <c r="P22" s="94">
        <v>2.7627497036931758E-4</v>
      </c>
      <c r="Q22" s="94">
        <f t="shared" si="0"/>
        <v>6.4597605727920226E-2</v>
      </c>
      <c r="R22" s="94">
        <f>O22/'סכום נכסי הקרן'!$C$42</f>
        <v>1.9182896262778706E-2</v>
      </c>
    </row>
    <row r="23" spans="2:48">
      <c r="B23" s="85" t="s">
        <v>267</v>
      </c>
      <c r="C23" s="83" t="s">
        <v>268</v>
      </c>
      <c r="D23" s="96" t="s">
        <v>118</v>
      </c>
      <c r="E23" s="83" t="s">
        <v>252</v>
      </c>
      <c r="F23" s="83"/>
      <c r="G23" s="83"/>
      <c r="H23" s="93">
        <v>6.4400000000008548</v>
      </c>
      <c r="I23" s="96" t="s">
        <v>162</v>
      </c>
      <c r="J23" s="97">
        <v>7.4999999999999997E-3</v>
      </c>
      <c r="K23" s="94">
        <v>-2.7000000000021386E-3</v>
      </c>
      <c r="L23" s="93">
        <v>1086390.6697730001</v>
      </c>
      <c r="M23" s="95">
        <v>107.6</v>
      </c>
      <c r="N23" s="83"/>
      <c r="O23" s="93">
        <v>1168.9564296250001</v>
      </c>
      <c r="P23" s="94">
        <v>7.8482712884160637E-5</v>
      </c>
      <c r="Q23" s="94">
        <f t="shared" si="0"/>
        <v>1.7458396956939997E-2</v>
      </c>
      <c r="R23" s="94">
        <f>O23/'סכום נכסי הקרן'!$C$42</f>
        <v>5.1844431997986667E-3</v>
      </c>
    </row>
    <row r="24" spans="2:48">
      <c r="B24" s="85" t="s">
        <v>269</v>
      </c>
      <c r="C24" s="83" t="s">
        <v>270</v>
      </c>
      <c r="D24" s="96" t="s">
        <v>118</v>
      </c>
      <c r="E24" s="83" t="s">
        <v>252</v>
      </c>
      <c r="F24" s="83"/>
      <c r="G24" s="83"/>
      <c r="H24" s="93">
        <v>9.9399999999956226</v>
      </c>
      <c r="I24" s="96" t="s">
        <v>162</v>
      </c>
      <c r="J24" s="97">
        <v>5.0000000000000001E-3</v>
      </c>
      <c r="K24" s="94">
        <v>2.5999999999963071E-3</v>
      </c>
      <c r="L24" s="93">
        <v>739399.61219799996</v>
      </c>
      <c r="M24" s="95">
        <v>102.54</v>
      </c>
      <c r="N24" s="83"/>
      <c r="O24" s="93">
        <v>758.18030312799999</v>
      </c>
      <c r="P24" s="94">
        <v>3.5476865760632268E-4</v>
      </c>
      <c r="Q24" s="94">
        <f t="shared" si="0"/>
        <v>1.1323444023647664E-2</v>
      </c>
      <c r="R24" s="94">
        <f>O24/'סכום נכסי הקרן'!$C$42</f>
        <v>3.3626084062296736E-3</v>
      </c>
    </row>
    <row r="25" spans="2:48">
      <c r="B25" s="85" t="s">
        <v>271</v>
      </c>
      <c r="C25" s="83" t="s">
        <v>272</v>
      </c>
      <c r="D25" s="96" t="s">
        <v>118</v>
      </c>
      <c r="E25" s="83" t="s">
        <v>252</v>
      </c>
      <c r="F25" s="83"/>
      <c r="G25" s="83"/>
      <c r="H25" s="93">
        <v>22.74000000001497</v>
      </c>
      <c r="I25" s="96" t="s">
        <v>162</v>
      </c>
      <c r="J25" s="97">
        <v>0.01</v>
      </c>
      <c r="K25" s="94">
        <v>1.4800000000015879E-2</v>
      </c>
      <c r="L25" s="93">
        <v>386068.64364199998</v>
      </c>
      <c r="M25" s="95">
        <v>91.35</v>
      </c>
      <c r="N25" s="83"/>
      <c r="O25" s="93">
        <v>352.67370532799998</v>
      </c>
      <c r="P25" s="94">
        <v>3.2425938897211838E-5</v>
      </c>
      <c r="Q25" s="94">
        <f t="shared" si="0"/>
        <v>5.2671916487651337E-3</v>
      </c>
      <c r="R25" s="94">
        <f>O25/'סכום נכסי הקרן'!$C$42</f>
        <v>1.5641445198450231E-3</v>
      </c>
    </row>
    <row r="26" spans="2:48">
      <c r="B26" s="85" t="s">
        <v>273</v>
      </c>
      <c r="C26" s="83" t="s">
        <v>274</v>
      </c>
      <c r="D26" s="96" t="s">
        <v>118</v>
      </c>
      <c r="E26" s="83" t="s">
        <v>252</v>
      </c>
      <c r="F26" s="83"/>
      <c r="G26" s="83"/>
      <c r="H26" s="93">
        <v>3.3600000000002432</v>
      </c>
      <c r="I26" s="96" t="s">
        <v>162</v>
      </c>
      <c r="J26" s="97">
        <v>2.75E-2</v>
      </c>
      <c r="K26" s="94">
        <v>-8.6000000000013462E-3</v>
      </c>
      <c r="L26" s="93">
        <v>3887086.3042060002</v>
      </c>
      <c r="M26" s="95">
        <v>118.48</v>
      </c>
      <c r="N26" s="83"/>
      <c r="O26" s="93">
        <v>4605.4198440330001</v>
      </c>
      <c r="P26" s="94">
        <v>2.3442675603308318E-4</v>
      </c>
      <c r="Q26" s="94">
        <f t="shared" si="0"/>
        <v>6.8782074124259768E-2</v>
      </c>
      <c r="R26" s="94">
        <f>O26/'סכום נכסי הקרן'!$C$42</f>
        <v>2.0425515431977469E-2</v>
      </c>
    </row>
    <row r="27" spans="2:48">
      <c r="B27" s="86"/>
      <c r="C27" s="83"/>
      <c r="D27" s="83"/>
      <c r="E27" s="83"/>
      <c r="F27" s="83"/>
      <c r="G27" s="83"/>
      <c r="H27" s="83"/>
      <c r="I27" s="83"/>
      <c r="J27" s="83"/>
      <c r="K27" s="94"/>
      <c r="L27" s="93"/>
      <c r="M27" s="95"/>
      <c r="N27" s="83"/>
      <c r="O27" s="83"/>
      <c r="P27" s="83"/>
      <c r="Q27" s="94"/>
      <c r="R27" s="83"/>
    </row>
    <row r="28" spans="2:48" s="99" customFormat="1">
      <c r="B28" s="125" t="s">
        <v>44</v>
      </c>
      <c r="C28" s="121"/>
      <c r="D28" s="121"/>
      <c r="E28" s="121"/>
      <c r="F28" s="121"/>
      <c r="G28" s="121"/>
      <c r="H28" s="122">
        <v>5.8823593976454704</v>
      </c>
      <c r="I28" s="121"/>
      <c r="J28" s="121"/>
      <c r="K28" s="123">
        <v>1.2228824554537549E-2</v>
      </c>
      <c r="L28" s="122"/>
      <c r="M28" s="126"/>
      <c r="N28" s="121"/>
      <c r="O28" s="122">
        <v>40407.847231581</v>
      </c>
      <c r="P28" s="121"/>
      <c r="Q28" s="123">
        <f t="shared" ref="Q28:Q46" si="1">O28/$O$11</f>
        <v>0.60349232808500786</v>
      </c>
      <c r="R28" s="123">
        <f>O28/'סכום נכסי הקרן'!$C$42</f>
        <v>0.17921300015046612</v>
      </c>
    </row>
    <row r="29" spans="2:48">
      <c r="B29" s="84" t="s">
        <v>23</v>
      </c>
      <c r="C29" s="81"/>
      <c r="D29" s="81"/>
      <c r="E29" s="81"/>
      <c r="F29" s="81"/>
      <c r="G29" s="81"/>
      <c r="H29" s="90">
        <v>5.8823593976454704</v>
      </c>
      <c r="I29" s="81"/>
      <c r="J29" s="81"/>
      <c r="K29" s="91">
        <v>1.2228824554537549E-2</v>
      </c>
      <c r="L29" s="90"/>
      <c r="M29" s="92"/>
      <c r="N29" s="81"/>
      <c r="O29" s="90">
        <v>40407.847231581</v>
      </c>
      <c r="P29" s="81"/>
      <c r="Q29" s="91">
        <f t="shared" si="1"/>
        <v>0.60349232808500786</v>
      </c>
      <c r="R29" s="91">
        <f>O29/'סכום נכסי הקרן'!$C$42</f>
        <v>0.17921300015046612</v>
      </c>
    </row>
    <row r="30" spans="2:48">
      <c r="B30" s="85" t="s">
        <v>275</v>
      </c>
      <c r="C30" s="83" t="s">
        <v>276</v>
      </c>
      <c r="D30" s="96" t="s">
        <v>118</v>
      </c>
      <c r="E30" s="83" t="s">
        <v>252</v>
      </c>
      <c r="F30" s="83"/>
      <c r="G30" s="83"/>
      <c r="H30" s="93">
        <v>6.3499999999983219</v>
      </c>
      <c r="I30" s="96" t="s">
        <v>162</v>
      </c>
      <c r="J30" s="97">
        <v>6.25E-2</v>
      </c>
      <c r="K30" s="94">
        <v>1.5199999999998381E-2</v>
      </c>
      <c r="L30" s="93">
        <v>1267897.3946819999</v>
      </c>
      <c r="M30" s="95">
        <v>136.28</v>
      </c>
      <c r="N30" s="83"/>
      <c r="O30" s="93">
        <v>1727.8905660139999</v>
      </c>
      <c r="P30" s="94">
        <v>7.4747563634266248E-5</v>
      </c>
      <c r="Q30" s="94">
        <f t="shared" si="1"/>
        <v>2.5806093910019749E-2</v>
      </c>
      <c r="R30" s="94">
        <f>O30/'סכום נכסי הקרן'!$C$42</f>
        <v>7.6633741583005928E-3</v>
      </c>
    </row>
    <row r="31" spans="2:48">
      <c r="B31" s="85" t="s">
        <v>277</v>
      </c>
      <c r="C31" s="83" t="s">
        <v>278</v>
      </c>
      <c r="D31" s="96" t="s">
        <v>118</v>
      </c>
      <c r="E31" s="83" t="s">
        <v>252</v>
      </c>
      <c r="F31" s="83"/>
      <c r="G31" s="83"/>
      <c r="H31" s="93">
        <v>4.6799999999995006</v>
      </c>
      <c r="I31" s="96" t="s">
        <v>162</v>
      </c>
      <c r="J31" s="97">
        <v>3.7499999999999999E-2</v>
      </c>
      <c r="K31" s="94">
        <v>1.1100000000001504E-2</v>
      </c>
      <c r="L31" s="93">
        <v>1351830.2120000003</v>
      </c>
      <c r="M31" s="95">
        <v>112.79</v>
      </c>
      <c r="N31" s="83"/>
      <c r="O31" s="93">
        <v>1524.7292961070002</v>
      </c>
      <c r="P31" s="94">
        <v>8.3307535484408517E-5</v>
      </c>
      <c r="Q31" s="94">
        <f t="shared" si="1"/>
        <v>2.2771874664183307E-2</v>
      </c>
      <c r="R31" s="94">
        <f>O31/'סכום נכסי הקרן'!$C$42</f>
        <v>6.7623328213110723E-3</v>
      </c>
    </row>
    <row r="32" spans="2:48">
      <c r="B32" s="85" t="s">
        <v>279</v>
      </c>
      <c r="C32" s="83" t="s">
        <v>280</v>
      </c>
      <c r="D32" s="96" t="s">
        <v>118</v>
      </c>
      <c r="E32" s="83" t="s">
        <v>252</v>
      </c>
      <c r="F32" s="83"/>
      <c r="G32" s="83"/>
      <c r="H32" s="93">
        <v>18.409999999999837</v>
      </c>
      <c r="I32" s="96" t="s">
        <v>162</v>
      </c>
      <c r="J32" s="97">
        <v>3.7499999999999999E-2</v>
      </c>
      <c r="K32" s="94">
        <v>3.1000000000000281E-2</v>
      </c>
      <c r="L32" s="93">
        <v>3210594.4875099999</v>
      </c>
      <c r="M32" s="95">
        <v>112.1</v>
      </c>
      <c r="N32" s="83"/>
      <c r="O32" s="93">
        <v>3599.0764204989996</v>
      </c>
      <c r="P32" s="94">
        <v>3.0417612264592561E-4</v>
      </c>
      <c r="Q32" s="94">
        <f t="shared" si="1"/>
        <v>5.3752306959457284E-2</v>
      </c>
      <c r="R32" s="94">
        <f>O32/'סכום נכסי הקרן'!$C$42</f>
        <v>1.5962277806879095E-2</v>
      </c>
    </row>
    <row r="33" spans="2:18">
      <c r="B33" s="85" t="s">
        <v>281</v>
      </c>
      <c r="C33" s="83" t="s">
        <v>282</v>
      </c>
      <c r="D33" s="96" t="s">
        <v>118</v>
      </c>
      <c r="E33" s="83" t="s">
        <v>252</v>
      </c>
      <c r="F33" s="83"/>
      <c r="G33" s="83"/>
      <c r="H33" s="93">
        <v>0.1599999999994216</v>
      </c>
      <c r="I33" s="96" t="s">
        <v>162</v>
      </c>
      <c r="J33" s="97">
        <v>2.2499999999999999E-2</v>
      </c>
      <c r="K33" s="94">
        <v>2.399999999991324E-3</v>
      </c>
      <c r="L33" s="93">
        <v>541285.20703399996</v>
      </c>
      <c r="M33" s="95">
        <v>102.21</v>
      </c>
      <c r="N33" s="83"/>
      <c r="O33" s="93">
        <v>553.247624202</v>
      </c>
      <c r="P33" s="94">
        <v>3.6343109336667244E-5</v>
      </c>
      <c r="Q33" s="94">
        <f t="shared" si="1"/>
        <v>8.2627687345892074E-3</v>
      </c>
      <c r="R33" s="94">
        <f>O33/'סכום נכסי הקרן'!$C$42</f>
        <v>2.4537106862220419E-3</v>
      </c>
    </row>
    <row r="34" spans="2:18">
      <c r="B34" s="85" t="s">
        <v>283</v>
      </c>
      <c r="C34" s="83" t="s">
        <v>284</v>
      </c>
      <c r="D34" s="96" t="s">
        <v>118</v>
      </c>
      <c r="E34" s="83" t="s">
        <v>252</v>
      </c>
      <c r="F34" s="83"/>
      <c r="G34" s="83"/>
      <c r="H34" s="93">
        <v>0.66000000000008319</v>
      </c>
      <c r="I34" s="96" t="s">
        <v>162</v>
      </c>
      <c r="J34" s="97">
        <v>0</v>
      </c>
      <c r="K34" s="94">
        <v>3.2000000000016651E-3</v>
      </c>
      <c r="L34" s="93">
        <v>1444398.41282</v>
      </c>
      <c r="M34" s="95">
        <v>99.79</v>
      </c>
      <c r="N34" s="83"/>
      <c r="O34" s="93">
        <v>1441.3651761680001</v>
      </c>
      <c r="P34" s="94">
        <v>1.2588721323194248E-3</v>
      </c>
      <c r="Q34" s="94">
        <f t="shared" si="1"/>
        <v>2.152682920228537E-2</v>
      </c>
      <c r="R34" s="94">
        <f>O34/'סכום נכסי הקרן'!$C$42</f>
        <v>6.3926042892873446E-3</v>
      </c>
    </row>
    <row r="35" spans="2:18">
      <c r="B35" s="85" t="s">
        <v>285</v>
      </c>
      <c r="C35" s="83" t="s">
        <v>286</v>
      </c>
      <c r="D35" s="96" t="s">
        <v>118</v>
      </c>
      <c r="E35" s="83" t="s">
        <v>252</v>
      </c>
      <c r="F35" s="83"/>
      <c r="G35" s="83"/>
      <c r="H35" s="93">
        <v>3.600000000001002</v>
      </c>
      <c r="I35" s="96" t="s">
        <v>162</v>
      </c>
      <c r="J35" s="97">
        <v>1.2500000000000001E-2</v>
      </c>
      <c r="K35" s="94">
        <v>8.6999999999987816E-3</v>
      </c>
      <c r="L35" s="93">
        <v>1371821.958845</v>
      </c>
      <c r="M35" s="95">
        <v>101.77</v>
      </c>
      <c r="N35" s="83"/>
      <c r="O35" s="93">
        <v>1396.1032563910003</v>
      </c>
      <c r="P35" s="94">
        <v>1.180750352190941E-4</v>
      </c>
      <c r="Q35" s="94">
        <f t="shared" si="1"/>
        <v>2.0850841165029325E-2</v>
      </c>
      <c r="R35" s="94">
        <f>O35/'סכום נכסי הקרן'!$C$42</f>
        <v>6.1918629731435278E-3</v>
      </c>
    </row>
    <row r="36" spans="2:18">
      <c r="B36" s="85" t="s">
        <v>287</v>
      </c>
      <c r="C36" s="83" t="s">
        <v>288</v>
      </c>
      <c r="D36" s="96" t="s">
        <v>118</v>
      </c>
      <c r="E36" s="83" t="s">
        <v>252</v>
      </c>
      <c r="F36" s="83"/>
      <c r="G36" s="83"/>
      <c r="H36" s="93">
        <v>4.5200000000013931</v>
      </c>
      <c r="I36" s="96" t="s">
        <v>162</v>
      </c>
      <c r="J36" s="97">
        <v>1.4999999999999999E-2</v>
      </c>
      <c r="K36" s="94">
        <v>1.080000000001702E-2</v>
      </c>
      <c r="L36" s="93">
        <v>252509.79323499999</v>
      </c>
      <c r="M36" s="95">
        <v>102.39</v>
      </c>
      <c r="N36" s="83"/>
      <c r="O36" s="93">
        <v>258.54477800699999</v>
      </c>
      <c r="P36" s="94">
        <v>3.5335274421989804E-5</v>
      </c>
      <c r="Q36" s="94">
        <f t="shared" si="1"/>
        <v>3.8613734876655325E-3</v>
      </c>
      <c r="R36" s="94">
        <f>O36/'סכום נכסי הקרן'!$C$42</f>
        <v>1.1466729488043017E-3</v>
      </c>
    </row>
    <row r="37" spans="2:18">
      <c r="B37" s="85" t="s">
        <v>289</v>
      </c>
      <c r="C37" s="83" t="s">
        <v>290</v>
      </c>
      <c r="D37" s="96" t="s">
        <v>118</v>
      </c>
      <c r="E37" s="83" t="s">
        <v>252</v>
      </c>
      <c r="F37" s="83"/>
      <c r="G37" s="83"/>
      <c r="H37" s="93">
        <v>1.8300000000001506</v>
      </c>
      <c r="I37" s="96" t="s">
        <v>162</v>
      </c>
      <c r="J37" s="97">
        <v>5.0000000000000001E-3</v>
      </c>
      <c r="K37" s="94">
        <v>4.8000000000016545E-3</v>
      </c>
      <c r="L37" s="93">
        <v>3379581.6113629998</v>
      </c>
      <c r="M37" s="95">
        <v>100.12</v>
      </c>
      <c r="N37" s="83"/>
      <c r="O37" s="93">
        <v>3383.6371741030002</v>
      </c>
      <c r="P37" s="94">
        <v>2.4225441564140816E-4</v>
      </c>
      <c r="Q37" s="94">
        <f t="shared" si="1"/>
        <v>5.0534715791502496E-2</v>
      </c>
      <c r="R37" s="94">
        <f>O37/'סכום נכסי הקרן'!$C$42</f>
        <v>1.5006782368690866E-2</v>
      </c>
    </row>
    <row r="38" spans="2:18">
      <c r="B38" s="85" t="s">
        <v>291</v>
      </c>
      <c r="C38" s="83" t="s">
        <v>292</v>
      </c>
      <c r="D38" s="96" t="s">
        <v>118</v>
      </c>
      <c r="E38" s="83" t="s">
        <v>252</v>
      </c>
      <c r="F38" s="83"/>
      <c r="G38" s="83"/>
      <c r="H38" s="93">
        <v>2.7000000000002298</v>
      </c>
      <c r="I38" s="96" t="s">
        <v>162</v>
      </c>
      <c r="J38" s="97">
        <v>5.5E-2</v>
      </c>
      <c r="K38" s="94">
        <v>6.800000000000344E-3</v>
      </c>
      <c r="L38" s="93">
        <v>3036789.5524860001</v>
      </c>
      <c r="M38" s="95">
        <v>114.42</v>
      </c>
      <c r="N38" s="83"/>
      <c r="O38" s="93">
        <v>3474.6946392660006</v>
      </c>
      <c r="P38" s="94">
        <v>1.6911166356904756E-4</v>
      </c>
      <c r="Q38" s="94">
        <f t="shared" si="1"/>
        <v>5.1894661579403568E-2</v>
      </c>
      <c r="R38" s="94">
        <f>O38/'סכום נכסי הקרן'!$C$42</f>
        <v>1.5410631685988916E-2</v>
      </c>
    </row>
    <row r="39" spans="2:18">
      <c r="B39" s="85" t="s">
        <v>293</v>
      </c>
      <c r="C39" s="83" t="s">
        <v>294</v>
      </c>
      <c r="D39" s="96" t="s">
        <v>118</v>
      </c>
      <c r="E39" s="83" t="s">
        <v>252</v>
      </c>
      <c r="F39" s="83"/>
      <c r="G39" s="83"/>
      <c r="H39" s="93">
        <v>15.099999999998712</v>
      </c>
      <c r="I39" s="96" t="s">
        <v>162</v>
      </c>
      <c r="J39" s="97">
        <v>5.5E-2</v>
      </c>
      <c r="K39" s="94">
        <v>2.7699999999997151E-2</v>
      </c>
      <c r="L39" s="93">
        <v>2541224.0913559999</v>
      </c>
      <c r="M39" s="95">
        <v>146.6</v>
      </c>
      <c r="N39" s="83"/>
      <c r="O39" s="93">
        <v>3725.4345074780003</v>
      </c>
      <c r="P39" s="94">
        <v>1.3898906548165008E-4</v>
      </c>
      <c r="Q39" s="94">
        <f t="shared" si="1"/>
        <v>5.5639468521079073E-2</v>
      </c>
      <c r="R39" s="94">
        <f>O39/'סכום נכסי הקרן'!$C$42</f>
        <v>1.6522689049056877E-2</v>
      </c>
    </row>
    <row r="40" spans="2:18">
      <c r="B40" s="85" t="s">
        <v>295</v>
      </c>
      <c r="C40" s="83" t="s">
        <v>296</v>
      </c>
      <c r="D40" s="96" t="s">
        <v>118</v>
      </c>
      <c r="E40" s="83" t="s">
        <v>252</v>
      </c>
      <c r="F40" s="83"/>
      <c r="G40" s="83"/>
      <c r="H40" s="93">
        <v>3.7800000000010887</v>
      </c>
      <c r="I40" s="96" t="s">
        <v>162</v>
      </c>
      <c r="J40" s="97">
        <v>4.2500000000000003E-2</v>
      </c>
      <c r="K40" s="94">
        <v>9.4000000000000004E-3</v>
      </c>
      <c r="L40" s="93">
        <v>813231.89570200001</v>
      </c>
      <c r="M40" s="95">
        <v>112.96</v>
      </c>
      <c r="N40" s="83"/>
      <c r="O40" s="93">
        <v>918.62674939999999</v>
      </c>
      <c r="P40" s="94">
        <v>4.5391299923190016E-5</v>
      </c>
      <c r="Q40" s="94">
        <f t="shared" si="1"/>
        <v>1.371971618431795E-2</v>
      </c>
      <c r="R40" s="94">
        <f>O40/'סכום נכסי הקרן'!$C$42</f>
        <v>4.0742050630645068E-3</v>
      </c>
    </row>
    <row r="41" spans="2:18">
      <c r="B41" s="85" t="s">
        <v>297</v>
      </c>
      <c r="C41" s="83" t="s">
        <v>298</v>
      </c>
      <c r="D41" s="96" t="s">
        <v>118</v>
      </c>
      <c r="E41" s="83" t="s">
        <v>252</v>
      </c>
      <c r="F41" s="83"/>
      <c r="G41" s="83"/>
      <c r="H41" s="93">
        <v>7.4800000000003912</v>
      </c>
      <c r="I41" s="96" t="s">
        <v>162</v>
      </c>
      <c r="J41" s="97">
        <v>0.02</v>
      </c>
      <c r="K41" s="94">
        <v>1.6200000000000974E-2</v>
      </c>
      <c r="L41" s="93">
        <v>3387280.1780519998</v>
      </c>
      <c r="M41" s="95">
        <v>102.81</v>
      </c>
      <c r="N41" s="83"/>
      <c r="O41" s="93">
        <v>3482.4627510429996</v>
      </c>
      <c r="P41" s="94">
        <v>2.3746605713674139E-4</v>
      </c>
      <c r="Q41" s="94">
        <f t="shared" si="1"/>
        <v>5.2010678545965985E-2</v>
      </c>
      <c r="R41" s="94">
        <f>O41/'סכום נכסי הקרן'!$C$42</f>
        <v>1.5445084068692742E-2</v>
      </c>
    </row>
    <row r="42" spans="2:18">
      <c r="B42" s="85" t="s">
        <v>299</v>
      </c>
      <c r="C42" s="83" t="s">
        <v>300</v>
      </c>
      <c r="D42" s="96" t="s">
        <v>118</v>
      </c>
      <c r="E42" s="83" t="s">
        <v>252</v>
      </c>
      <c r="F42" s="83"/>
      <c r="G42" s="83"/>
      <c r="H42" s="93">
        <v>2.0500000000003666</v>
      </c>
      <c r="I42" s="96" t="s">
        <v>162</v>
      </c>
      <c r="J42" s="97">
        <v>0.01</v>
      </c>
      <c r="K42" s="94">
        <v>5.1000000000003473E-3</v>
      </c>
      <c r="L42" s="93">
        <v>2542093.0676770001</v>
      </c>
      <c r="M42" s="95">
        <v>101.93</v>
      </c>
      <c r="N42" s="83"/>
      <c r="O42" s="93">
        <v>2591.1555768409999</v>
      </c>
      <c r="P42" s="94">
        <v>1.7455110989203702E-4</v>
      </c>
      <c r="Q42" s="94">
        <f t="shared" si="1"/>
        <v>3.8698980981002967E-2</v>
      </c>
      <c r="R42" s="94">
        <f>O42/'סכום נכסי הקרן'!$C$42</f>
        <v>1.1492044159664042E-2</v>
      </c>
    </row>
    <row r="43" spans="2:18">
      <c r="B43" s="85" t="s">
        <v>301</v>
      </c>
      <c r="C43" s="83" t="s">
        <v>302</v>
      </c>
      <c r="D43" s="96" t="s">
        <v>118</v>
      </c>
      <c r="E43" s="83" t="s">
        <v>252</v>
      </c>
      <c r="F43" s="83"/>
      <c r="G43" s="83"/>
      <c r="H43" s="93">
        <v>0.41000000000008596</v>
      </c>
      <c r="I43" s="96" t="s">
        <v>162</v>
      </c>
      <c r="J43" s="97">
        <v>0</v>
      </c>
      <c r="K43" s="94">
        <v>2.8999999999991398E-3</v>
      </c>
      <c r="L43" s="93">
        <v>2328590.6</v>
      </c>
      <c r="M43" s="95">
        <v>99.88</v>
      </c>
      <c r="N43" s="83"/>
      <c r="O43" s="93">
        <v>2325.7962912799999</v>
      </c>
      <c r="P43" s="94">
        <v>1.0653688750535866E-3</v>
      </c>
      <c r="Q43" s="94">
        <f t="shared" si="1"/>
        <v>3.4735832632505396E-2</v>
      </c>
      <c r="R43" s="94">
        <f>O43/'סכום נכסי הקרן'!$C$42</f>
        <v>1.0315148161947948E-2</v>
      </c>
    </row>
    <row r="44" spans="2:18">
      <c r="B44" s="85" t="s">
        <v>303</v>
      </c>
      <c r="C44" s="83" t="s">
        <v>304</v>
      </c>
      <c r="D44" s="96" t="s">
        <v>118</v>
      </c>
      <c r="E44" s="83" t="s">
        <v>252</v>
      </c>
      <c r="F44" s="83"/>
      <c r="G44" s="83"/>
      <c r="H44" s="93">
        <v>6.0799999999989689</v>
      </c>
      <c r="I44" s="96" t="s">
        <v>162</v>
      </c>
      <c r="J44" s="97">
        <v>1.7500000000000002E-2</v>
      </c>
      <c r="K44" s="94">
        <v>1.3999999999998338E-2</v>
      </c>
      <c r="L44" s="93">
        <v>2331742.9949909998</v>
      </c>
      <c r="M44" s="95">
        <v>103.15</v>
      </c>
      <c r="N44" s="83"/>
      <c r="O44" s="93">
        <v>2405.1929664059999</v>
      </c>
      <c r="P44" s="94">
        <v>1.2682672064635888E-4</v>
      </c>
      <c r="Q44" s="94">
        <f t="shared" si="1"/>
        <v>3.5921624195203408E-2</v>
      </c>
      <c r="R44" s="94">
        <f>O44/'סכום נכסי הקרן'!$C$42</f>
        <v>1.066728066407693E-2</v>
      </c>
    </row>
    <row r="45" spans="2:18">
      <c r="B45" s="85" t="s">
        <v>305</v>
      </c>
      <c r="C45" s="83" t="s">
        <v>306</v>
      </c>
      <c r="D45" s="96" t="s">
        <v>118</v>
      </c>
      <c r="E45" s="83" t="s">
        <v>252</v>
      </c>
      <c r="F45" s="83"/>
      <c r="G45" s="83"/>
      <c r="H45" s="93">
        <v>8.5899999999995398</v>
      </c>
      <c r="I45" s="96" t="s">
        <v>162</v>
      </c>
      <c r="J45" s="97">
        <v>2.2499999999999999E-2</v>
      </c>
      <c r="K45" s="94">
        <v>1.829999999999787E-2</v>
      </c>
      <c r="L45" s="93">
        <v>2151804.001648</v>
      </c>
      <c r="M45" s="95">
        <v>104.76</v>
      </c>
      <c r="N45" s="83"/>
      <c r="O45" s="93">
        <v>2254.2298249559999</v>
      </c>
      <c r="P45" s="94">
        <v>2.323152530526813E-4</v>
      </c>
      <c r="Q45" s="94">
        <f t="shared" si="1"/>
        <v>3.3666985457174246E-2</v>
      </c>
      <c r="R45" s="94">
        <f>O45/'סכום נכסי הקרן'!$C$42</f>
        <v>9.9977434492794781E-3</v>
      </c>
    </row>
    <row r="46" spans="2:18">
      <c r="B46" s="85" t="s">
        <v>307</v>
      </c>
      <c r="C46" s="83" t="s">
        <v>308</v>
      </c>
      <c r="D46" s="96" t="s">
        <v>118</v>
      </c>
      <c r="E46" s="83" t="s">
        <v>252</v>
      </c>
      <c r="F46" s="83"/>
      <c r="G46" s="83"/>
      <c r="H46" s="93">
        <v>0.84000000000003749</v>
      </c>
      <c r="I46" s="96" t="s">
        <v>162</v>
      </c>
      <c r="J46" s="97">
        <v>0.05</v>
      </c>
      <c r="K46" s="94">
        <v>2.9000000000003741E-3</v>
      </c>
      <c r="L46" s="93">
        <v>5103255.0600140002</v>
      </c>
      <c r="M46" s="95">
        <v>104.75</v>
      </c>
      <c r="N46" s="83"/>
      <c r="O46" s="93">
        <v>5345.6596334199994</v>
      </c>
      <c r="P46" s="94">
        <v>2.7571495966669494E-4</v>
      </c>
      <c r="Q46" s="94">
        <f t="shared" si="1"/>
        <v>7.9837576073623018E-2</v>
      </c>
      <c r="R46" s="94">
        <f>O46/'סכום נכסי הקרן'!$C$42</f>
        <v>2.3708555796055852E-2</v>
      </c>
    </row>
    <row r="47" spans="2:18">
      <c r="C47" s="1"/>
      <c r="D47" s="1"/>
    </row>
    <row r="48" spans="2:18">
      <c r="C48" s="1"/>
      <c r="D48" s="1"/>
    </row>
    <row r="49" spans="2:4">
      <c r="C49" s="1"/>
      <c r="D49" s="1"/>
    </row>
    <row r="50" spans="2:4">
      <c r="B50" s="98" t="s">
        <v>110</v>
      </c>
      <c r="C50" s="99"/>
      <c r="D50" s="99"/>
    </row>
    <row r="51" spans="2:4">
      <c r="B51" s="98" t="s">
        <v>229</v>
      </c>
      <c r="C51" s="99"/>
      <c r="D51" s="99"/>
    </row>
    <row r="52" spans="2:4">
      <c r="B52" s="192" t="s">
        <v>237</v>
      </c>
      <c r="C52" s="192"/>
      <c r="D52" s="192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2:D52"/>
  </mergeCells>
  <phoneticPr fontId="6" type="noConversion"/>
  <dataValidations count="1">
    <dataValidation allowBlank="1" showInputMessage="1" showErrorMessage="1" sqref="N10:Q10 N9 N1:N7 N32:N1048576 C5:C29 O1:Q9 O11:Q1048576 B53:B1048576 J1:M1048576 E1:I30 B50:B52 D1:D29 R1:AF1048576 AJ1:XFD1048576 AG1:AI27 AG31:AI1048576 C50:D51 A1:A1048576 B1:B49 E32:I1048576 C32:D49 C53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G19" sqref="G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177</v>
      </c>
      <c r="C1" s="77" t="s" vm="1">
        <v>247</v>
      </c>
    </row>
    <row r="2" spans="2:67">
      <c r="B2" s="56" t="s">
        <v>176</v>
      </c>
      <c r="C2" s="77" t="s">
        <v>248</v>
      </c>
    </row>
    <row r="3" spans="2:67">
      <c r="B3" s="56" t="s">
        <v>178</v>
      </c>
      <c r="C3" s="77" t="s">
        <v>249</v>
      </c>
    </row>
    <row r="4" spans="2:67">
      <c r="B4" s="56" t="s">
        <v>179</v>
      </c>
      <c r="C4" s="77">
        <v>2144</v>
      </c>
    </row>
    <row r="6" spans="2:67" ht="26.25" customHeight="1">
      <c r="B6" s="189" t="s">
        <v>207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4"/>
      <c r="BO6" s="3"/>
    </row>
    <row r="7" spans="2:67" ht="26.25" customHeight="1">
      <c r="B7" s="189" t="s">
        <v>85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4"/>
      <c r="AZ7" s="43"/>
      <c r="BJ7" s="3"/>
      <c r="BO7" s="3"/>
    </row>
    <row r="8" spans="2:67" s="3" customFormat="1" ht="78.75">
      <c r="B8" s="37" t="s">
        <v>113</v>
      </c>
      <c r="C8" s="13" t="s">
        <v>43</v>
      </c>
      <c r="D8" s="13" t="s">
        <v>117</v>
      </c>
      <c r="E8" s="13" t="s">
        <v>223</v>
      </c>
      <c r="F8" s="13" t="s">
        <v>115</v>
      </c>
      <c r="G8" s="13" t="s">
        <v>60</v>
      </c>
      <c r="H8" s="13" t="s">
        <v>15</v>
      </c>
      <c r="I8" s="13" t="s">
        <v>61</v>
      </c>
      <c r="J8" s="13" t="s">
        <v>100</v>
      </c>
      <c r="K8" s="13" t="s">
        <v>18</v>
      </c>
      <c r="L8" s="13" t="s">
        <v>99</v>
      </c>
      <c r="M8" s="13" t="s">
        <v>17</v>
      </c>
      <c r="N8" s="13" t="s">
        <v>19</v>
      </c>
      <c r="O8" s="13" t="s">
        <v>231</v>
      </c>
      <c r="P8" s="13" t="s">
        <v>230</v>
      </c>
      <c r="Q8" s="13" t="s">
        <v>59</v>
      </c>
      <c r="R8" s="13" t="s">
        <v>56</v>
      </c>
      <c r="S8" s="13" t="s">
        <v>180</v>
      </c>
      <c r="T8" s="38" t="s">
        <v>182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238</v>
      </c>
      <c r="P9" s="16"/>
      <c r="Q9" s="16" t="s">
        <v>234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111</v>
      </c>
      <c r="R10" s="19" t="s">
        <v>112</v>
      </c>
      <c r="S10" s="45" t="s">
        <v>183</v>
      </c>
      <c r="T10" s="72" t="s">
        <v>224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246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110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229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237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6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A830"/>
  <sheetViews>
    <sheetView rightToLeft="1" workbookViewId="0">
      <selection activeCell="N164" sqref="N164"/>
    </sheetView>
  </sheetViews>
  <sheetFormatPr defaultColWidth="9.140625" defaultRowHeight="18"/>
  <cols>
    <col min="1" max="1" width="6.28515625" style="1" customWidth="1"/>
    <col min="2" max="2" width="34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3.140625" style="1" bestFit="1" customWidth="1"/>
    <col min="16" max="16" width="7.28515625" style="1" bestFit="1" customWidth="1"/>
    <col min="17" max="17" width="8.28515625" style="1" bestFit="1" customWidth="1"/>
    <col min="18" max="18" width="10.140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3">
      <c r="B1" s="56" t="s">
        <v>177</v>
      </c>
      <c r="C1" s="77" t="s" vm="1">
        <v>247</v>
      </c>
    </row>
    <row r="2" spans="2:53">
      <c r="B2" s="56" t="s">
        <v>176</v>
      </c>
      <c r="C2" s="77" t="s">
        <v>248</v>
      </c>
    </row>
    <row r="3" spans="2:53">
      <c r="B3" s="56" t="s">
        <v>178</v>
      </c>
      <c r="C3" s="77" t="s">
        <v>249</v>
      </c>
    </row>
    <row r="4" spans="2:53">
      <c r="B4" s="56" t="s">
        <v>179</v>
      </c>
      <c r="C4" s="77">
        <v>2144</v>
      </c>
    </row>
    <row r="6" spans="2:53" ht="26.25" customHeight="1">
      <c r="B6" s="195" t="s">
        <v>207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7"/>
    </row>
    <row r="7" spans="2:53" ht="26.25" customHeight="1">
      <c r="B7" s="195" t="s">
        <v>86</v>
      </c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7"/>
      <c r="BA7" s="3"/>
    </row>
    <row r="8" spans="2:53" s="3" customFormat="1" ht="78.75">
      <c r="B8" s="22" t="s">
        <v>113</v>
      </c>
      <c r="C8" s="30" t="s">
        <v>43</v>
      </c>
      <c r="D8" s="30" t="s">
        <v>117</v>
      </c>
      <c r="E8" s="30" t="s">
        <v>223</v>
      </c>
      <c r="F8" s="30" t="s">
        <v>115</v>
      </c>
      <c r="G8" s="30" t="s">
        <v>60</v>
      </c>
      <c r="H8" s="30" t="s">
        <v>15</v>
      </c>
      <c r="I8" s="30" t="s">
        <v>61</v>
      </c>
      <c r="J8" s="30" t="s">
        <v>100</v>
      </c>
      <c r="K8" s="30" t="s">
        <v>18</v>
      </c>
      <c r="L8" s="30" t="s">
        <v>99</v>
      </c>
      <c r="M8" s="30" t="s">
        <v>17</v>
      </c>
      <c r="N8" s="30" t="s">
        <v>19</v>
      </c>
      <c r="O8" s="13" t="s">
        <v>231</v>
      </c>
      <c r="P8" s="30" t="s">
        <v>230</v>
      </c>
      <c r="Q8" s="30" t="s">
        <v>245</v>
      </c>
      <c r="R8" s="30" t="s">
        <v>59</v>
      </c>
      <c r="S8" s="13" t="s">
        <v>56</v>
      </c>
      <c r="T8" s="30" t="s">
        <v>180</v>
      </c>
      <c r="U8" s="14" t="s">
        <v>182</v>
      </c>
      <c r="AW8" s="1"/>
      <c r="AX8" s="1"/>
    </row>
    <row r="9" spans="2:53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238</v>
      </c>
      <c r="P9" s="32"/>
      <c r="Q9" s="16" t="s">
        <v>234</v>
      </c>
      <c r="R9" s="32" t="s">
        <v>234</v>
      </c>
      <c r="S9" s="16" t="s">
        <v>20</v>
      </c>
      <c r="T9" s="32" t="s">
        <v>234</v>
      </c>
      <c r="U9" s="17" t="s">
        <v>20</v>
      </c>
      <c r="AV9" s="1"/>
      <c r="AW9" s="1"/>
      <c r="AX9" s="1"/>
      <c r="BA9" s="4"/>
    </row>
    <row r="10" spans="2:5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111</v>
      </c>
      <c r="R10" s="19" t="s">
        <v>112</v>
      </c>
      <c r="S10" s="19" t="s">
        <v>183</v>
      </c>
      <c r="T10" s="20" t="s">
        <v>224</v>
      </c>
      <c r="U10" s="20" t="s">
        <v>240</v>
      </c>
      <c r="AV10" s="1"/>
      <c r="AW10" s="3"/>
      <c r="AX10" s="1"/>
    </row>
    <row r="11" spans="2:53" s="4" customFormat="1" ht="18" customHeight="1">
      <c r="B11" s="78" t="s">
        <v>31</v>
      </c>
      <c r="C11" s="79"/>
      <c r="D11" s="79"/>
      <c r="E11" s="79"/>
      <c r="F11" s="79"/>
      <c r="G11" s="79"/>
      <c r="H11" s="79"/>
      <c r="I11" s="79"/>
      <c r="J11" s="79"/>
      <c r="K11" s="87">
        <v>4.0843183157478782</v>
      </c>
      <c r="L11" s="79"/>
      <c r="M11" s="79"/>
      <c r="N11" s="102">
        <v>1.099575720534721E-2</v>
      </c>
      <c r="O11" s="87"/>
      <c r="P11" s="89"/>
      <c r="Q11" s="87">
        <v>111.07860065500002</v>
      </c>
      <c r="R11" s="87">
        <v>55277.365049615961</v>
      </c>
      <c r="S11" s="79"/>
      <c r="T11" s="88">
        <f>R11/$R$11</f>
        <v>1</v>
      </c>
      <c r="U11" s="88">
        <f>R11/'סכום נכסי הקרן'!$C$42</f>
        <v>0.24516085635989465</v>
      </c>
      <c r="AV11" s="1"/>
      <c r="AW11" s="3"/>
      <c r="AX11" s="1"/>
      <c r="BA11" s="1"/>
    </row>
    <row r="12" spans="2:53">
      <c r="B12" s="80" t="s">
        <v>228</v>
      </c>
      <c r="C12" s="81"/>
      <c r="D12" s="81"/>
      <c r="E12" s="81"/>
      <c r="F12" s="81"/>
      <c r="G12" s="81"/>
      <c r="H12" s="81"/>
      <c r="I12" s="81"/>
      <c r="J12" s="81"/>
      <c r="K12" s="90">
        <v>4.0843183157478782</v>
      </c>
      <c r="L12" s="81"/>
      <c r="M12" s="81"/>
      <c r="N12" s="103">
        <v>1.0995757205347213E-2</v>
      </c>
      <c r="O12" s="90"/>
      <c r="P12" s="92"/>
      <c r="Q12" s="90">
        <v>111.07860065500002</v>
      </c>
      <c r="R12" s="90">
        <v>55277.365049615961</v>
      </c>
      <c r="S12" s="81"/>
      <c r="T12" s="91">
        <f t="shared" ref="T12:T75" si="0">R12/$R$11</f>
        <v>1</v>
      </c>
      <c r="U12" s="91">
        <f>R12/'סכום נכסי הקרן'!$C$42</f>
        <v>0.24516085635989465</v>
      </c>
      <c r="AW12" s="3"/>
    </row>
    <row r="13" spans="2:53" ht="20.25">
      <c r="B13" s="101" t="s">
        <v>30</v>
      </c>
      <c r="C13" s="81"/>
      <c r="D13" s="81"/>
      <c r="E13" s="81"/>
      <c r="F13" s="81"/>
      <c r="G13" s="81"/>
      <c r="H13" s="81"/>
      <c r="I13" s="81"/>
      <c r="J13" s="81"/>
      <c r="K13" s="90">
        <v>4.1060317388180589</v>
      </c>
      <c r="L13" s="81"/>
      <c r="M13" s="81"/>
      <c r="N13" s="103">
        <v>6.086791664577553E-3</v>
      </c>
      <c r="O13" s="90"/>
      <c r="P13" s="92"/>
      <c r="Q13" s="90">
        <v>100.25239337900001</v>
      </c>
      <c r="R13" s="90">
        <v>42840.851675154001</v>
      </c>
      <c r="S13" s="81"/>
      <c r="T13" s="91">
        <f t="shared" si="0"/>
        <v>0.77501616867411882</v>
      </c>
      <c r="U13" s="91">
        <f>R13/'סכום נכסי הקרן'!$C$42</f>
        <v>0.19000362760491152</v>
      </c>
      <c r="AW13" s="4"/>
    </row>
    <row r="14" spans="2:53">
      <c r="B14" s="86" t="s">
        <v>309</v>
      </c>
      <c r="C14" s="83" t="s">
        <v>310</v>
      </c>
      <c r="D14" s="96" t="s">
        <v>118</v>
      </c>
      <c r="E14" s="96" t="s">
        <v>311</v>
      </c>
      <c r="F14" s="83" t="s">
        <v>312</v>
      </c>
      <c r="G14" s="96" t="s">
        <v>313</v>
      </c>
      <c r="H14" s="83" t="s">
        <v>314</v>
      </c>
      <c r="I14" s="83" t="s">
        <v>315</v>
      </c>
      <c r="J14" s="83"/>
      <c r="K14" s="93">
        <v>3.5499999999981857</v>
      </c>
      <c r="L14" s="96" t="s">
        <v>162</v>
      </c>
      <c r="M14" s="97">
        <v>6.1999999999999998E-3</v>
      </c>
      <c r="N14" s="97">
        <v>-6.9999999999594529E-4</v>
      </c>
      <c r="O14" s="93">
        <v>904069.004648</v>
      </c>
      <c r="P14" s="95">
        <v>103.66</v>
      </c>
      <c r="Q14" s="83"/>
      <c r="R14" s="93">
        <v>937.15788313400003</v>
      </c>
      <c r="S14" s="94">
        <v>1.9179319412020526E-4</v>
      </c>
      <c r="T14" s="94">
        <f t="shared" si="0"/>
        <v>1.6953736530184175E-2</v>
      </c>
      <c r="U14" s="94">
        <f>R14/'סכום נכסי הקרן'!$C$42</f>
        <v>4.1563925662399812E-3</v>
      </c>
    </row>
    <row r="15" spans="2:53">
      <c r="B15" s="86" t="s">
        <v>316</v>
      </c>
      <c r="C15" s="83" t="s">
        <v>317</v>
      </c>
      <c r="D15" s="96" t="s">
        <v>118</v>
      </c>
      <c r="E15" s="96" t="s">
        <v>311</v>
      </c>
      <c r="F15" s="83" t="s">
        <v>318</v>
      </c>
      <c r="G15" s="96" t="s">
        <v>319</v>
      </c>
      <c r="H15" s="83" t="s">
        <v>314</v>
      </c>
      <c r="I15" s="83" t="s">
        <v>158</v>
      </c>
      <c r="J15" s="83"/>
      <c r="K15" s="93">
        <v>1.2400000000001443</v>
      </c>
      <c r="L15" s="96" t="s">
        <v>162</v>
      </c>
      <c r="M15" s="97">
        <v>5.8999999999999999E-3</v>
      </c>
      <c r="N15" s="97">
        <v>-9.9000000000014424E-3</v>
      </c>
      <c r="O15" s="93">
        <v>1083698.0814429999</v>
      </c>
      <c r="P15" s="95">
        <v>102.33</v>
      </c>
      <c r="Q15" s="83"/>
      <c r="R15" s="93">
        <v>1108.948232016</v>
      </c>
      <c r="S15" s="94">
        <v>2.0301000879199556E-4</v>
      </c>
      <c r="T15" s="94">
        <f t="shared" si="0"/>
        <v>2.0061524839699363E-2</v>
      </c>
      <c r="U15" s="94">
        <f>R15/'סכום נכסי הקרן'!$C$42</f>
        <v>4.9183006095859941E-3</v>
      </c>
    </row>
    <row r="16" spans="2:53">
      <c r="B16" s="86" t="s">
        <v>320</v>
      </c>
      <c r="C16" s="83" t="s">
        <v>321</v>
      </c>
      <c r="D16" s="96" t="s">
        <v>118</v>
      </c>
      <c r="E16" s="96" t="s">
        <v>311</v>
      </c>
      <c r="F16" s="83" t="s">
        <v>318</v>
      </c>
      <c r="G16" s="96" t="s">
        <v>319</v>
      </c>
      <c r="H16" s="83" t="s">
        <v>314</v>
      </c>
      <c r="I16" s="83" t="s">
        <v>158</v>
      </c>
      <c r="J16" s="83"/>
      <c r="K16" s="93">
        <v>6.0799999999957421</v>
      </c>
      <c r="L16" s="96" t="s">
        <v>162</v>
      </c>
      <c r="M16" s="97">
        <v>8.3000000000000001E-3</v>
      </c>
      <c r="N16" s="97">
        <v>4.3000000000039907E-3</v>
      </c>
      <c r="O16" s="93">
        <v>364509.77669500001</v>
      </c>
      <c r="P16" s="95">
        <v>103.11</v>
      </c>
      <c r="Q16" s="83"/>
      <c r="R16" s="93">
        <v>375.84602809500001</v>
      </c>
      <c r="S16" s="94">
        <v>2.8345122879616164E-4</v>
      </c>
      <c r="T16" s="94">
        <f t="shared" si="0"/>
        <v>6.7992753952299898E-3</v>
      </c>
      <c r="U16" s="94">
        <f>R16/'סכום נכסי הקרן'!$C$42</f>
        <v>1.6669161785213456E-3</v>
      </c>
    </row>
    <row r="17" spans="2:48" ht="20.25">
      <c r="B17" s="86" t="s">
        <v>322</v>
      </c>
      <c r="C17" s="83" t="s">
        <v>323</v>
      </c>
      <c r="D17" s="96" t="s">
        <v>118</v>
      </c>
      <c r="E17" s="96" t="s">
        <v>311</v>
      </c>
      <c r="F17" s="83" t="s">
        <v>324</v>
      </c>
      <c r="G17" s="96" t="s">
        <v>319</v>
      </c>
      <c r="H17" s="83" t="s">
        <v>314</v>
      </c>
      <c r="I17" s="83" t="s">
        <v>158</v>
      </c>
      <c r="J17" s="83"/>
      <c r="K17" s="93">
        <v>2.2299999999986508</v>
      </c>
      <c r="L17" s="96" t="s">
        <v>162</v>
      </c>
      <c r="M17" s="97">
        <v>0.04</v>
      </c>
      <c r="N17" s="97">
        <v>-4.7000000000055539E-3</v>
      </c>
      <c r="O17" s="93">
        <v>548389.59125199995</v>
      </c>
      <c r="P17" s="95">
        <v>114.9</v>
      </c>
      <c r="Q17" s="83"/>
      <c r="R17" s="93">
        <v>630.09963319500002</v>
      </c>
      <c r="S17" s="94">
        <v>2.6470562826399238E-4</v>
      </c>
      <c r="T17" s="94">
        <f t="shared" si="0"/>
        <v>1.1398872443167904E-2</v>
      </c>
      <c r="U17" s="94">
        <f>R17/'סכום נכסי הקרן'!$C$42</f>
        <v>2.7945573297042483E-3</v>
      </c>
      <c r="AV17" s="4"/>
    </row>
    <row r="18" spans="2:48">
      <c r="B18" s="86" t="s">
        <v>325</v>
      </c>
      <c r="C18" s="83" t="s">
        <v>326</v>
      </c>
      <c r="D18" s="96" t="s">
        <v>118</v>
      </c>
      <c r="E18" s="96" t="s">
        <v>311</v>
      </c>
      <c r="F18" s="83" t="s">
        <v>324</v>
      </c>
      <c r="G18" s="96" t="s">
        <v>319</v>
      </c>
      <c r="H18" s="83" t="s">
        <v>314</v>
      </c>
      <c r="I18" s="83" t="s">
        <v>158</v>
      </c>
      <c r="J18" s="83"/>
      <c r="K18" s="93">
        <v>3.4299999999993145</v>
      </c>
      <c r="L18" s="96" t="s">
        <v>162</v>
      </c>
      <c r="M18" s="97">
        <v>9.8999999999999991E-3</v>
      </c>
      <c r="N18" s="97">
        <v>-2.1999999999989463E-3</v>
      </c>
      <c r="O18" s="93">
        <v>718247.03568700003</v>
      </c>
      <c r="P18" s="95">
        <v>105.7</v>
      </c>
      <c r="Q18" s="83"/>
      <c r="R18" s="93">
        <v>759.1871364640001</v>
      </c>
      <c r="S18" s="94">
        <v>2.3831355779538229E-4</v>
      </c>
      <c r="T18" s="94">
        <f t="shared" si="0"/>
        <v>1.3734141194728936E-2</v>
      </c>
      <c r="U18" s="94">
        <f>R18/'סכום נכסי הקרן'!$C$42</f>
        <v>3.3670738166674528E-3</v>
      </c>
    </row>
    <row r="19" spans="2:48">
      <c r="B19" s="86" t="s">
        <v>327</v>
      </c>
      <c r="C19" s="83" t="s">
        <v>328</v>
      </c>
      <c r="D19" s="96" t="s">
        <v>118</v>
      </c>
      <c r="E19" s="96" t="s">
        <v>311</v>
      </c>
      <c r="F19" s="83" t="s">
        <v>324</v>
      </c>
      <c r="G19" s="96" t="s">
        <v>319</v>
      </c>
      <c r="H19" s="83" t="s">
        <v>314</v>
      </c>
      <c r="I19" s="83" t="s">
        <v>158</v>
      </c>
      <c r="J19" s="83"/>
      <c r="K19" s="93">
        <v>5.3799999999970431</v>
      </c>
      <c r="L19" s="96" t="s">
        <v>162</v>
      </c>
      <c r="M19" s="97">
        <v>8.6E-3</v>
      </c>
      <c r="N19" s="97">
        <v>3.699999999993802E-3</v>
      </c>
      <c r="O19" s="93">
        <v>604164.57748500002</v>
      </c>
      <c r="P19" s="95">
        <v>104.15</v>
      </c>
      <c r="Q19" s="83"/>
      <c r="R19" s="93">
        <v>629.23738254699992</v>
      </c>
      <c r="S19" s="94">
        <v>2.4153530531500778E-4</v>
      </c>
      <c r="T19" s="94">
        <f t="shared" si="0"/>
        <v>1.1383273822516827E-2</v>
      </c>
      <c r="U19" s="94">
        <f>R19/'סכום נכסי הקרן'!$C$42</f>
        <v>2.790733158507397E-3</v>
      </c>
      <c r="AV19" s="3"/>
    </row>
    <row r="20" spans="2:48">
      <c r="B20" s="86" t="s">
        <v>329</v>
      </c>
      <c r="C20" s="83" t="s">
        <v>330</v>
      </c>
      <c r="D20" s="96" t="s">
        <v>118</v>
      </c>
      <c r="E20" s="96" t="s">
        <v>311</v>
      </c>
      <c r="F20" s="83" t="s">
        <v>324</v>
      </c>
      <c r="G20" s="96" t="s">
        <v>319</v>
      </c>
      <c r="H20" s="83" t="s">
        <v>314</v>
      </c>
      <c r="I20" s="83" t="s">
        <v>158</v>
      </c>
      <c r="J20" s="83"/>
      <c r="K20" s="93">
        <v>8.0800000000402399</v>
      </c>
      <c r="L20" s="96" t="s">
        <v>162</v>
      </c>
      <c r="M20" s="97">
        <v>1.2199999999999999E-2</v>
      </c>
      <c r="N20" s="97">
        <v>8.8999999998658642E-3</v>
      </c>
      <c r="O20" s="93">
        <v>22868.65</v>
      </c>
      <c r="P20" s="95">
        <v>104.32</v>
      </c>
      <c r="Q20" s="83"/>
      <c r="R20" s="93">
        <v>23.856574788000003</v>
      </c>
      <c r="S20" s="94">
        <v>2.8528470274747758E-5</v>
      </c>
      <c r="T20" s="94">
        <f t="shared" si="0"/>
        <v>4.3157944968228449E-4</v>
      </c>
      <c r="U20" s="94">
        <f>R20/'סכום נכסי הקרן'!$C$42</f>
        <v>1.0580638747144093E-4</v>
      </c>
    </row>
    <row r="21" spans="2:48" s="127" customFormat="1">
      <c r="B21" s="86" t="s">
        <v>331</v>
      </c>
      <c r="C21" s="83" t="s">
        <v>332</v>
      </c>
      <c r="D21" s="96" t="s">
        <v>118</v>
      </c>
      <c r="E21" s="96" t="s">
        <v>311</v>
      </c>
      <c r="F21" s="83" t="s">
        <v>324</v>
      </c>
      <c r="G21" s="96" t="s">
        <v>319</v>
      </c>
      <c r="H21" s="83" t="s">
        <v>314</v>
      </c>
      <c r="I21" s="83" t="s">
        <v>158</v>
      </c>
      <c r="J21" s="83"/>
      <c r="K21" s="93">
        <v>10.84999999998799</v>
      </c>
      <c r="L21" s="96" t="s">
        <v>162</v>
      </c>
      <c r="M21" s="97">
        <v>5.6000000000000008E-3</v>
      </c>
      <c r="N21" s="97">
        <v>4.5000000000044484E-3</v>
      </c>
      <c r="O21" s="93">
        <v>330050.85808400001</v>
      </c>
      <c r="P21" s="95">
        <v>102.17</v>
      </c>
      <c r="Q21" s="83"/>
      <c r="R21" s="93">
        <v>337.21295581299995</v>
      </c>
      <c r="S21" s="94">
        <v>4.7020681364871278E-4</v>
      </c>
      <c r="T21" s="94">
        <f t="shared" si="0"/>
        <v>6.1003804271481414E-3</v>
      </c>
      <c r="U21" s="94">
        <f>R21/'סכום נכסי הקרן'!$C$42</f>
        <v>1.4955744896407784E-3</v>
      </c>
    </row>
    <row r="22" spans="2:48" s="127" customFormat="1">
      <c r="B22" s="86" t="s">
        <v>333</v>
      </c>
      <c r="C22" s="83" t="s">
        <v>334</v>
      </c>
      <c r="D22" s="96" t="s">
        <v>118</v>
      </c>
      <c r="E22" s="96" t="s">
        <v>311</v>
      </c>
      <c r="F22" s="83" t="s">
        <v>324</v>
      </c>
      <c r="G22" s="96" t="s">
        <v>319</v>
      </c>
      <c r="H22" s="83" t="s">
        <v>314</v>
      </c>
      <c r="I22" s="83" t="s">
        <v>158</v>
      </c>
      <c r="J22" s="83"/>
      <c r="K22" s="93">
        <v>1.4500000000048616</v>
      </c>
      <c r="L22" s="96" t="s">
        <v>162</v>
      </c>
      <c r="M22" s="97">
        <v>4.0999999999999995E-3</v>
      </c>
      <c r="N22" s="97">
        <v>-8.8999999999920462E-3</v>
      </c>
      <c r="O22" s="93">
        <v>111101.10578100002</v>
      </c>
      <c r="P22" s="95">
        <v>101.83</v>
      </c>
      <c r="Q22" s="83"/>
      <c r="R22" s="93">
        <v>113.13426058099999</v>
      </c>
      <c r="S22" s="94">
        <v>9.011824109434896E-5</v>
      </c>
      <c r="T22" s="94">
        <f t="shared" si="0"/>
        <v>2.0466652214600448E-3</v>
      </c>
      <c r="U22" s="94">
        <f>R22/'סכום נכסי הקרן'!$C$42</f>
        <v>5.017621983751581E-4</v>
      </c>
    </row>
    <row r="23" spans="2:48" s="127" customFormat="1">
      <c r="B23" s="86" t="s">
        <v>335</v>
      </c>
      <c r="C23" s="83" t="s">
        <v>336</v>
      </c>
      <c r="D23" s="96" t="s">
        <v>118</v>
      </c>
      <c r="E23" s="96" t="s">
        <v>311</v>
      </c>
      <c r="F23" s="83" t="s">
        <v>324</v>
      </c>
      <c r="G23" s="96" t="s">
        <v>319</v>
      </c>
      <c r="H23" s="83" t="s">
        <v>314</v>
      </c>
      <c r="I23" s="83" t="s">
        <v>158</v>
      </c>
      <c r="J23" s="83"/>
      <c r="K23" s="93">
        <v>0.83999999999994901</v>
      </c>
      <c r="L23" s="96" t="s">
        <v>162</v>
      </c>
      <c r="M23" s="97">
        <v>6.4000000000000003E-3</v>
      </c>
      <c r="N23" s="97">
        <v>-1.1400000000002049E-2</v>
      </c>
      <c r="O23" s="93">
        <v>768634.57737499999</v>
      </c>
      <c r="P23" s="95">
        <v>101.61</v>
      </c>
      <c r="Q23" s="83"/>
      <c r="R23" s="93">
        <v>781.00957035599981</v>
      </c>
      <c r="S23" s="94">
        <v>2.4400361810516825E-4</v>
      </c>
      <c r="T23" s="94">
        <f t="shared" si="0"/>
        <v>1.4128921840883331E-2</v>
      </c>
      <c r="U23" s="94">
        <f>R23/'סכום נכסי הקרן'!$C$42</f>
        <v>3.4638585779529765E-3</v>
      </c>
    </row>
    <row r="24" spans="2:48" s="127" customFormat="1">
      <c r="B24" s="86" t="s">
        <v>337</v>
      </c>
      <c r="C24" s="83" t="s">
        <v>338</v>
      </c>
      <c r="D24" s="96" t="s">
        <v>118</v>
      </c>
      <c r="E24" s="96" t="s">
        <v>311</v>
      </c>
      <c r="F24" s="83" t="s">
        <v>339</v>
      </c>
      <c r="G24" s="96" t="s">
        <v>319</v>
      </c>
      <c r="H24" s="83" t="s">
        <v>314</v>
      </c>
      <c r="I24" s="83" t="s">
        <v>158</v>
      </c>
      <c r="J24" s="83"/>
      <c r="K24" s="93">
        <v>3.1500000000002997</v>
      </c>
      <c r="L24" s="96" t="s">
        <v>162</v>
      </c>
      <c r="M24" s="97">
        <v>0.05</v>
      </c>
      <c r="N24" s="97">
        <v>-3.0999999999982036E-3</v>
      </c>
      <c r="O24" s="93">
        <v>953654.93909400003</v>
      </c>
      <c r="P24" s="95">
        <v>122.55</v>
      </c>
      <c r="Q24" s="83"/>
      <c r="R24" s="93">
        <v>1168.704143491</v>
      </c>
      <c r="S24" s="94">
        <v>3.0259322913485089E-4</v>
      </c>
      <c r="T24" s="94">
        <f t="shared" si="0"/>
        <v>2.1142544374935245E-2</v>
      </c>
      <c r="U24" s="94">
        <f>R24/'סכום נכסי הקרן'!$C$42</f>
        <v>5.1833242845861979E-3</v>
      </c>
    </row>
    <row r="25" spans="2:48" s="127" customFormat="1">
      <c r="B25" s="86" t="s">
        <v>340</v>
      </c>
      <c r="C25" s="83" t="s">
        <v>341</v>
      </c>
      <c r="D25" s="96" t="s">
        <v>118</v>
      </c>
      <c r="E25" s="96" t="s">
        <v>311</v>
      </c>
      <c r="F25" s="83" t="s">
        <v>339</v>
      </c>
      <c r="G25" s="96" t="s">
        <v>319</v>
      </c>
      <c r="H25" s="83" t="s">
        <v>314</v>
      </c>
      <c r="I25" s="83" t="s">
        <v>158</v>
      </c>
      <c r="J25" s="83"/>
      <c r="K25" s="93">
        <v>0.9599999999962916</v>
      </c>
      <c r="L25" s="96" t="s">
        <v>162</v>
      </c>
      <c r="M25" s="97">
        <v>1.6E-2</v>
      </c>
      <c r="N25" s="97">
        <v>-1.0499999999907285E-2</v>
      </c>
      <c r="O25" s="93">
        <v>52292.409010000003</v>
      </c>
      <c r="P25" s="95">
        <v>103.13</v>
      </c>
      <c r="Q25" s="83"/>
      <c r="R25" s="93">
        <v>53.929161969999996</v>
      </c>
      <c r="S25" s="94">
        <v>2.4910519267869657E-5</v>
      </c>
      <c r="T25" s="94">
        <f t="shared" si="0"/>
        <v>9.7561021444481219E-4</v>
      </c>
      <c r="U25" s="94">
        <f>R25/'סכום נכסי הקרן'!$C$42</f>
        <v>2.3918143564675065E-4</v>
      </c>
    </row>
    <row r="26" spans="2:48" s="127" customFormat="1">
      <c r="B26" s="86" t="s">
        <v>342</v>
      </c>
      <c r="C26" s="83" t="s">
        <v>343</v>
      </c>
      <c r="D26" s="96" t="s">
        <v>118</v>
      </c>
      <c r="E26" s="96" t="s">
        <v>311</v>
      </c>
      <c r="F26" s="83" t="s">
        <v>339</v>
      </c>
      <c r="G26" s="96" t="s">
        <v>319</v>
      </c>
      <c r="H26" s="83" t="s">
        <v>314</v>
      </c>
      <c r="I26" s="83" t="s">
        <v>158</v>
      </c>
      <c r="J26" s="83"/>
      <c r="K26" s="93">
        <v>2.480000000000997</v>
      </c>
      <c r="L26" s="96" t="s">
        <v>162</v>
      </c>
      <c r="M26" s="97">
        <v>6.9999999999999993E-3</v>
      </c>
      <c r="N26" s="97">
        <v>-3.3000000000099729E-3</v>
      </c>
      <c r="O26" s="93">
        <v>384786.74980400002</v>
      </c>
      <c r="P26" s="95">
        <v>104.24</v>
      </c>
      <c r="Q26" s="83"/>
      <c r="R26" s="93">
        <v>401.10170442000003</v>
      </c>
      <c r="S26" s="94">
        <v>1.3532703872472986E-4</v>
      </c>
      <c r="T26" s="94">
        <f t="shared" si="0"/>
        <v>7.2561654134559129E-3</v>
      </c>
      <c r="U26" s="94">
        <f>R26/'סכום נכסי הקרן'!$C$42</f>
        <v>1.7789277266519008E-3</v>
      </c>
    </row>
    <row r="27" spans="2:48" s="127" customFormat="1">
      <c r="B27" s="86" t="s">
        <v>344</v>
      </c>
      <c r="C27" s="83" t="s">
        <v>345</v>
      </c>
      <c r="D27" s="96" t="s">
        <v>118</v>
      </c>
      <c r="E27" s="96" t="s">
        <v>311</v>
      </c>
      <c r="F27" s="83" t="s">
        <v>339</v>
      </c>
      <c r="G27" s="96" t="s">
        <v>319</v>
      </c>
      <c r="H27" s="83" t="s">
        <v>314</v>
      </c>
      <c r="I27" s="83" t="s">
        <v>158</v>
      </c>
      <c r="J27" s="83"/>
      <c r="K27" s="93">
        <v>4.5300000000129357</v>
      </c>
      <c r="L27" s="96" t="s">
        <v>162</v>
      </c>
      <c r="M27" s="97">
        <v>6.0000000000000001E-3</v>
      </c>
      <c r="N27" s="97">
        <v>1.3999999999588953E-3</v>
      </c>
      <c r="O27" s="93">
        <v>79925.931750000003</v>
      </c>
      <c r="P27" s="95">
        <v>103.49</v>
      </c>
      <c r="Q27" s="83"/>
      <c r="R27" s="93">
        <v>82.715350380999993</v>
      </c>
      <c r="S27" s="94">
        <v>3.5935576030339747E-5</v>
      </c>
      <c r="T27" s="94">
        <f t="shared" si="0"/>
        <v>1.4963692698947606E-3</v>
      </c>
      <c r="U27" s="94">
        <f>R27/'סכום נכסי הקרן'!$C$42</f>
        <v>3.6685117163802987E-4</v>
      </c>
    </row>
    <row r="28" spans="2:48" s="127" customFormat="1">
      <c r="B28" s="86" t="s">
        <v>346</v>
      </c>
      <c r="C28" s="83" t="s">
        <v>347</v>
      </c>
      <c r="D28" s="96" t="s">
        <v>118</v>
      </c>
      <c r="E28" s="96" t="s">
        <v>311</v>
      </c>
      <c r="F28" s="83" t="s">
        <v>339</v>
      </c>
      <c r="G28" s="96" t="s">
        <v>319</v>
      </c>
      <c r="H28" s="83" t="s">
        <v>314</v>
      </c>
      <c r="I28" s="83" t="s">
        <v>158</v>
      </c>
      <c r="J28" s="83"/>
      <c r="K28" s="93">
        <v>5.9300000000017823</v>
      </c>
      <c r="L28" s="96" t="s">
        <v>162</v>
      </c>
      <c r="M28" s="97">
        <v>1.7500000000000002E-2</v>
      </c>
      <c r="N28" s="97">
        <v>4.9000000000043896E-3</v>
      </c>
      <c r="O28" s="93">
        <v>720362.47499999998</v>
      </c>
      <c r="P28" s="95">
        <v>107.52</v>
      </c>
      <c r="Q28" s="83"/>
      <c r="R28" s="93">
        <v>774.53376703399999</v>
      </c>
      <c r="S28" s="94">
        <v>3.598668937682934E-4</v>
      </c>
      <c r="T28" s="94">
        <f t="shared" si="0"/>
        <v>1.4011770755331636E-2</v>
      </c>
      <c r="U28" s="94">
        <f>R28/'סכום נכסי הקרן'!$C$42</f>
        <v>3.4351377174956319E-3</v>
      </c>
    </row>
    <row r="29" spans="2:48" s="127" customFormat="1">
      <c r="B29" s="86" t="s">
        <v>348</v>
      </c>
      <c r="C29" s="83" t="s">
        <v>349</v>
      </c>
      <c r="D29" s="96" t="s">
        <v>118</v>
      </c>
      <c r="E29" s="96" t="s">
        <v>311</v>
      </c>
      <c r="F29" s="83" t="s">
        <v>350</v>
      </c>
      <c r="G29" s="96" t="s">
        <v>319</v>
      </c>
      <c r="H29" s="83" t="s">
        <v>351</v>
      </c>
      <c r="I29" s="83" t="s">
        <v>158</v>
      </c>
      <c r="J29" s="83"/>
      <c r="K29" s="93">
        <v>1.499999999997752</v>
      </c>
      <c r="L29" s="96" t="s">
        <v>162</v>
      </c>
      <c r="M29" s="97">
        <v>8.0000000000000002E-3</v>
      </c>
      <c r="N29" s="97">
        <v>-5.399999999990108E-3</v>
      </c>
      <c r="O29" s="93">
        <v>214562.82868899999</v>
      </c>
      <c r="P29" s="95">
        <v>103.67</v>
      </c>
      <c r="Q29" s="83"/>
      <c r="R29" s="93">
        <v>222.43727974300003</v>
      </c>
      <c r="S29" s="94">
        <v>4.993391911227859E-4</v>
      </c>
      <c r="T29" s="94">
        <f t="shared" si="0"/>
        <v>4.0240210354336604E-3</v>
      </c>
      <c r="U29" s="94">
        <f>R29/'סכום נכסי הקרן'!$C$42</f>
        <v>9.8653244305714613E-4</v>
      </c>
    </row>
    <row r="30" spans="2:48" s="127" customFormat="1">
      <c r="B30" s="86" t="s">
        <v>352</v>
      </c>
      <c r="C30" s="83" t="s">
        <v>353</v>
      </c>
      <c r="D30" s="96" t="s">
        <v>118</v>
      </c>
      <c r="E30" s="96" t="s">
        <v>311</v>
      </c>
      <c r="F30" s="83" t="s">
        <v>318</v>
      </c>
      <c r="G30" s="96" t="s">
        <v>319</v>
      </c>
      <c r="H30" s="83" t="s">
        <v>351</v>
      </c>
      <c r="I30" s="83" t="s">
        <v>158</v>
      </c>
      <c r="J30" s="83"/>
      <c r="K30" s="93">
        <v>1.579999999998005</v>
      </c>
      <c r="L30" s="96" t="s">
        <v>162</v>
      </c>
      <c r="M30" s="97">
        <v>3.4000000000000002E-2</v>
      </c>
      <c r="N30" s="97">
        <v>-6.3999999999828994E-3</v>
      </c>
      <c r="O30" s="93">
        <v>314884.80031800002</v>
      </c>
      <c r="P30" s="95">
        <v>111.42</v>
      </c>
      <c r="Q30" s="83"/>
      <c r="R30" s="93">
        <v>350.84465671499999</v>
      </c>
      <c r="S30" s="94">
        <v>1.683205355716573E-4</v>
      </c>
      <c r="T30" s="94">
        <f t="shared" si="0"/>
        <v>6.3469859028209502E-3</v>
      </c>
      <c r="U30" s="94">
        <f>R30/'סכום נכסי הקרן'!$C$42</f>
        <v>1.5560324992397632E-3</v>
      </c>
    </row>
    <row r="31" spans="2:48" s="127" customFormat="1">
      <c r="B31" s="86" t="s">
        <v>354</v>
      </c>
      <c r="C31" s="83" t="s">
        <v>355</v>
      </c>
      <c r="D31" s="96" t="s">
        <v>118</v>
      </c>
      <c r="E31" s="96" t="s">
        <v>311</v>
      </c>
      <c r="F31" s="83" t="s">
        <v>324</v>
      </c>
      <c r="G31" s="96" t="s">
        <v>319</v>
      </c>
      <c r="H31" s="83" t="s">
        <v>351</v>
      </c>
      <c r="I31" s="83" t="s">
        <v>158</v>
      </c>
      <c r="J31" s="83"/>
      <c r="K31" s="93">
        <v>0.46999999999934144</v>
      </c>
      <c r="L31" s="96" t="s">
        <v>162</v>
      </c>
      <c r="M31" s="97">
        <v>0.03</v>
      </c>
      <c r="N31" s="97">
        <v>-1.9500000000021306E-2</v>
      </c>
      <c r="O31" s="93">
        <v>232968.13392500003</v>
      </c>
      <c r="P31" s="95">
        <v>110.81</v>
      </c>
      <c r="Q31" s="83"/>
      <c r="R31" s="93">
        <v>258.15197831099999</v>
      </c>
      <c r="S31" s="94">
        <v>4.8535027901041672E-4</v>
      </c>
      <c r="T31" s="94">
        <f t="shared" si="0"/>
        <v>4.6701209089703797E-3</v>
      </c>
      <c r="U31" s="94">
        <f>R31/'סכום נכסי הקרן'!$C$42</f>
        <v>1.1449308413474279E-3</v>
      </c>
    </row>
    <row r="32" spans="2:48" s="127" customFormat="1">
      <c r="B32" s="86" t="s">
        <v>356</v>
      </c>
      <c r="C32" s="83" t="s">
        <v>357</v>
      </c>
      <c r="D32" s="96" t="s">
        <v>118</v>
      </c>
      <c r="E32" s="96" t="s">
        <v>311</v>
      </c>
      <c r="F32" s="83" t="s">
        <v>358</v>
      </c>
      <c r="G32" s="96" t="s">
        <v>359</v>
      </c>
      <c r="H32" s="83" t="s">
        <v>351</v>
      </c>
      <c r="I32" s="83" t="s">
        <v>158</v>
      </c>
      <c r="J32" s="83"/>
      <c r="K32" s="93">
        <v>6.2199999999972748</v>
      </c>
      <c r="L32" s="96" t="s">
        <v>162</v>
      </c>
      <c r="M32" s="97">
        <v>8.3000000000000001E-3</v>
      </c>
      <c r="N32" s="97">
        <v>4.6999999999931871E-3</v>
      </c>
      <c r="O32" s="93">
        <v>709718.90489899996</v>
      </c>
      <c r="P32" s="95">
        <v>103.4</v>
      </c>
      <c r="Q32" s="83"/>
      <c r="R32" s="93">
        <v>733.84932285000002</v>
      </c>
      <c r="S32" s="94">
        <v>4.6343784071209632E-4</v>
      </c>
      <c r="T32" s="94">
        <f t="shared" si="0"/>
        <v>1.3275765264703015E-2</v>
      </c>
      <c r="U32" s="94">
        <f>R32/'סכום נכסי הקרן'!$C$42</f>
        <v>3.2546979811275347E-3</v>
      </c>
    </row>
    <row r="33" spans="2:21" s="127" customFormat="1">
      <c r="B33" s="86" t="s">
        <v>360</v>
      </c>
      <c r="C33" s="83" t="s">
        <v>361</v>
      </c>
      <c r="D33" s="96" t="s">
        <v>118</v>
      </c>
      <c r="E33" s="96" t="s">
        <v>311</v>
      </c>
      <c r="F33" s="83" t="s">
        <v>358</v>
      </c>
      <c r="G33" s="96" t="s">
        <v>359</v>
      </c>
      <c r="H33" s="83" t="s">
        <v>351</v>
      </c>
      <c r="I33" s="83" t="s">
        <v>158</v>
      </c>
      <c r="J33" s="83"/>
      <c r="K33" s="93">
        <v>9.8700000000436283</v>
      </c>
      <c r="L33" s="96" t="s">
        <v>162</v>
      </c>
      <c r="M33" s="97">
        <v>1.6500000000000001E-2</v>
      </c>
      <c r="N33" s="97">
        <v>1.4000000000017956E-2</v>
      </c>
      <c r="O33" s="93">
        <v>107242.187228</v>
      </c>
      <c r="P33" s="95">
        <v>103.87</v>
      </c>
      <c r="Q33" s="83"/>
      <c r="R33" s="93">
        <v>111.39245982200001</v>
      </c>
      <c r="S33" s="94">
        <v>2.5360856828538658E-4</v>
      </c>
      <c r="T33" s="94">
        <f t="shared" si="0"/>
        <v>2.0151550227116679E-3</v>
      </c>
      <c r="U33" s="94">
        <f>R33/'סכום נכסי הקרן'!$C$42</f>
        <v>4.9403713106593546E-4</v>
      </c>
    </row>
    <row r="34" spans="2:21" s="127" customFormat="1">
      <c r="B34" s="86" t="s">
        <v>362</v>
      </c>
      <c r="C34" s="83" t="s">
        <v>363</v>
      </c>
      <c r="D34" s="96" t="s">
        <v>118</v>
      </c>
      <c r="E34" s="96" t="s">
        <v>311</v>
      </c>
      <c r="F34" s="83" t="s">
        <v>364</v>
      </c>
      <c r="G34" s="96" t="s">
        <v>365</v>
      </c>
      <c r="H34" s="83" t="s">
        <v>351</v>
      </c>
      <c r="I34" s="83" t="s">
        <v>158</v>
      </c>
      <c r="J34" s="83"/>
      <c r="K34" s="93">
        <v>9.5399999999964251</v>
      </c>
      <c r="L34" s="96" t="s">
        <v>162</v>
      </c>
      <c r="M34" s="97">
        <v>2.6499999999999999E-2</v>
      </c>
      <c r="N34" s="97">
        <v>1.4100000000005952E-2</v>
      </c>
      <c r="O34" s="93">
        <v>14765.532424999999</v>
      </c>
      <c r="P34" s="95">
        <v>113.71</v>
      </c>
      <c r="Q34" s="83"/>
      <c r="R34" s="93">
        <v>16.789887039</v>
      </c>
      <c r="S34" s="94">
        <v>1.2571417743407586E-5</v>
      </c>
      <c r="T34" s="94">
        <f t="shared" si="0"/>
        <v>3.0373891779989333E-4</v>
      </c>
      <c r="U34" s="94">
        <f>R34/'סכום נכסי הקרן'!$C$42</f>
        <v>7.4464893197649507E-5</v>
      </c>
    </row>
    <row r="35" spans="2:21" s="127" customFormat="1">
      <c r="B35" s="86" t="s">
        <v>366</v>
      </c>
      <c r="C35" s="83" t="s">
        <v>367</v>
      </c>
      <c r="D35" s="96" t="s">
        <v>118</v>
      </c>
      <c r="E35" s="96" t="s">
        <v>311</v>
      </c>
      <c r="F35" s="83" t="s">
        <v>368</v>
      </c>
      <c r="G35" s="96" t="s">
        <v>369</v>
      </c>
      <c r="H35" s="83" t="s">
        <v>351</v>
      </c>
      <c r="I35" s="83" t="s">
        <v>315</v>
      </c>
      <c r="J35" s="83"/>
      <c r="K35" s="93">
        <v>3.4799999999978062</v>
      </c>
      <c r="L35" s="96" t="s">
        <v>162</v>
      </c>
      <c r="M35" s="97">
        <v>6.5000000000000006E-3</v>
      </c>
      <c r="N35" s="94">
        <v>-1E-4</v>
      </c>
      <c r="O35" s="93">
        <v>243749.89821399999</v>
      </c>
      <c r="P35" s="95">
        <v>102.25</v>
      </c>
      <c r="Q35" s="93">
        <v>41.549200445000004</v>
      </c>
      <c r="R35" s="93">
        <v>291.69753346800002</v>
      </c>
      <c r="S35" s="94">
        <v>3.1395513678292753E-4</v>
      </c>
      <c r="T35" s="94">
        <f t="shared" si="0"/>
        <v>5.2769797041913556E-3</v>
      </c>
      <c r="U35" s="94">
        <f>R35/'סכום נכסי הקרן'!$C$42</f>
        <v>1.2937088632733365E-3</v>
      </c>
    </row>
    <row r="36" spans="2:21" s="127" customFormat="1">
      <c r="B36" s="86" t="s">
        <v>370</v>
      </c>
      <c r="C36" s="83" t="s">
        <v>371</v>
      </c>
      <c r="D36" s="96" t="s">
        <v>118</v>
      </c>
      <c r="E36" s="96" t="s">
        <v>311</v>
      </c>
      <c r="F36" s="83" t="s">
        <v>368</v>
      </c>
      <c r="G36" s="96" t="s">
        <v>369</v>
      </c>
      <c r="H36" s="83" t="s">
        <v>351</v>
      </c>
      <c r="I36" s="83" t="s">
        <v>315</v>
      </c>
      <c r="J36" s="83"/>
      <c r="K36" s="93">
        <v>4.1499999999992703</v>
      </c>
      <c r="L36" s="96" t="s">
        <v>162</v>
      </c>
      <c r="M36" s="97">
        <v>1.6399999999999998E-2</v>
      </c>
      <c r="N36" s="97">
        <v>3.0000000000036486E-3</v>
      </c>
      <c r="O36" s="93">
        <v>516970.92568800005</v>
      </c>
      <c r="P36" s="95">
        <v>106.03</v>
      </c>
      <c r="Q36" s="83"/>
      <c r="R36" s="93">
        <v>548.14427253600002</v>
      </c>
      <c r="S36" s="94">
        <v>4.8508434297823451E-4</v>
      </c>
      <c r="T36" s="94">
        <f t="shared" si="0"/>
        <v>9.9162518337116042E-3</v>
      </c>
      <c r="U36" s="94">
        <f>R36/'סכום נכסי הקרן'!$C$42</f>
        <v>2.4310767914331125E-3</v>
      </c>
    </row>
    <row r="37" spans="2:21" s="127" customFormat="1">
      <c r="B37" s="86" t="s">
        <v>372</v>
      </c>
      <c r="C37" s="83" t="s">
        <v>373</v>
      </c>
      <c r="D37" s="96" t="s">
        <v>118</v>
      </c>
      <c r="E37" s="96" t="s">
        <v>311</v>
      </c>
      <c r="F37" s="83" t="s">
        <v>368</v>
      </c>
      <c r="G37" s="96" t="s">
        <v>369</v>
      </c>
      <c r="H37" s="83" t="s">
        <v>351</v>
      </c>
      <c r="I37" s="83" t="s">
        <v>158</v>
      </c>
      <c r="J37" s="83"/>
      <c r="K37" s="93">
        <v>5.549999999998839</v>
      </c>
      <c r="L37" s="96" t="s">
        <v>162</v>
      </c>
      <c r="M37" s="97">
        <v>1.34E-2</v>
      </c>
      <c r="N37" s="97">
        <v>7.6999999999970174E-3</v>
      </c>
      <c r="O37" s="93">
        <v>1726958.453617</v>
      </c>
      <c r="P37" s="95">
        <v>104.85</v>
      </c>
      <c r="Q37" s="83"/>
      <c r="R37" s="93">
        <v>1810.7158922020001</v>
      </c>
      <c r="S37" s="94">
        <v>4.1303398154910386E-4</v>
      </c>
      <c r="T37" s="94">
        <f t="shared" si="0"/>
        <v>3.2756913984172985E-2</v>
      </c>
      <c r="U37" s="94">
        <f>R37/'סכום נכסי הקרן'!$C$42</f>
        <v>8.0307130840672585E-3</v>
      </c>
    </row>
    <row r="38" spans="2:21" s="127" customFormat="1">
      <c r="B38" s="86" t="s">
        <v>374</v>
      </c>
      <c r="C38" s="83" t="s">
        <v>375</v>
      </c>
      <c r="D38" s="96" t="s">
        <v>118</v>
      </c>
      <c r="E38" s="96" t="s">
        <v>311</v>
      </c>
      <c r="F38" s="83" t="s">
        <v>368</v>
      </c>
      <c r="G38" s="96" t="s">
        <v>369</v>
      </c>
      <c r="H38" s="83" t="s">
        <v>351</v>
      </c>
      <c r="I38" s="83" t="s">
        <v>158</v>
      </c>
      <c r="J38" s="83"/>
      <c r="K38" s="93">
        <v>6.8800000000038031</v>
      </c>
      <c r="L38" s="96" t="s">
        <v>162</v>
      </c>
      <c r="M38" s="97">
        <v>1.77E-2</v>
      </c>
      <c r="N38" s="97">
        <v>1.1899999999995825E-2</v>
      </c>
      <c r="O38" s="93">
        <v>413036.603565</v>
      </c>
      <c r="P38" s="95">
        <v>104.39</v>
      </c>
      <c r="Q38" s="83"/>
      <c r="R38" s="93">
        <v>431.16890932199999</v>
      </c>
      <c r="S38" s="94">
        <v>3.3967971252731386E-4</v>
      </c>
      <c r="T38" s="94">
        <f t="shared" si="0"/>
        <v>7.8000988096120468E-3</v>
      </c>
      <c r="U38" s="94">
        <f>R38/'סכום נכסי הקרן'!$C$42</f>
        <v>1.9122789038562842E-3</v>
      </c>
    </row>
    <row r="39" spans="2:21" s="127" customFormat="1">
      <c r="B39" s="86" t="s">
        <v>376</v>
      </c>
      <c r="C39" s="83" t="s">
        <v>377</v>
      </c>
      <c r="D39" s="96" t="s">
        <v>118</v>
      </c>
      <c r="E39" s="96" t="s">
        <v>311</v>
      </c>
      <c r="F39" s="83" t="s">
        <v>368</v>
      </c>
      <c r="G39" s="96" t="s">
        <v>369</v>
      </c>
      <c r="H39" s="83" t="s">
        <v>351</v>
      </c>
      <c r="I39" s="83" t="s">
        <v>158</v>
      </c>
      <c r="J39" s="83"/>
      <c r="K39" s="93">
        <v>10.040000000087776</v>
      </c>
      <c r="L39" s="96" t="s">
        <v>162</v>
      </c>
      <c r="M39" s="97">
        <v>2.4799999999999999E-2</v>
      </c>
      <c r="N39" s="97">
        <v>1.8800000000072148E-2</v>
      </c>
      <c r="O39" s="93">
        <v>31180.595493999997</v>
      </c>
      <c r="P39" s="95">
        <v>106.69</v>
      </c>
      <c r="Q39" s="83"/>
      <c r="R39" s="93">
        <v>33.266576377</v>
      </c>
      <c r="S39" s="94">
        <v>1.1838499635132107E-4</v>
      </c>
      <c r="T39" s="94">
        <f t="shared" si="0"/>
        <v>6.0181190523717119E-4</v>
      </c>
      <c r="U39" s="94">
        <f>R39/'סכום נכסי הקרן'!$C$42</f>
        <v>1.4754072205552465E-4</v>
      </c>
    </row>
    <row r="40" spans="2:21" s="127" customFormat="1">
      <c r="B40" s="86" t="s">
        <v>378</v>
      </c>
      <c r="C40" s="83" t="s">
        <v>379</v>
      </c>
      <c r="D40" s="96" t="s">
        <v>118</v>
      </c>
      <c r="E40" s="96" t="s">
        <v>311</v>
      </c>
      <c r="F40" s="83" t="s">
        <v>339</v>
      </c>
      <c r="G40" s="96" t="s">
        <v>319</v>
      </c>
      <c r="H40" s="83" t="s">
        <v>351</v>
      </c>
      <c r="I40" s="83" t="s">
        <v>158</v>
      </c>
      <c r="J40" s="83"/>
      <c r="K40" s="93">
        <v>2.960000000004162</v>
      </c>
      <c r="L40" s="96" t="s">
        <v>162</v>
      </c>
      <c r="M40" s="97">
        <v>4.2000000000000003E-2</v>
      </c>
      <c r="N40" s="97">
        <v>-3.199999999987194E-3</v>
      </c>
      <c r="O40" s="93">
        <v>103896.95587600001</v>
      </c>
      <c r="P40" s="95">
        <v>120.26</v>
      </c>
      <c r="Q40" s="83"/>
      <c r="R40" s="93">
        <v>124.94647563800001</v>
      </c>
      <c r="S40" s="94">
        <v>1.0413292107515632E-4</v>
      </c>
      <c r="T40" s="94">
        <f t="shared" si="0"/>
        <v>2.2603551295516766E-3</v>
      </c>
      <c r="U40" s="94">
        <f>R40/'סכום נכסי הקרן'!$C$42</f>
        <v>5.5415059923836964E-4</v>
      </c>
    </row>
    <row r="41" spans="2:21" s="127" customFormat="1">
      <c r="B41" s="86" t="s">
        <v>380</v>
      </c>
      <c r="C41" s="83" t="s">
        <v>381</v>
      </c>
      <c r="D41" s="96" t="s">
        <v>118</v>
      </c>
      <c r="E41" s="96" t="s">
        <v>311</v>
      </c>
      <c r="F41" s="83" t="s">
        <v>339</v>
      </c>
      <c r="G41" s="96" t="s">
        <v>319</v>
      </c>
      <c r="H41" s="83" t="s">
        <v>351</v>
      </c>
      <c r="I41" s="83" t="s">
        <v>158</v>
      </c>
      <c r="J41" s="83"/>
      <c r="K41" s="93">
        <v>1.4900000000003011</v>
      </c>
      <c r="L41" s="96" t="s">
        <v>162</v>
      </c>
      <c r="M41" s="97">
        <v>4.0999999999999995E-2</v>
      </c>
      <c r="N41" s="97">
        <v>-4.3999999999942974E-3</v>
      </c>
      <c r="O41" s="93">
        <v>486897.67731</v>
      </c>
      <c r="P41" s="95">
        <v>129.65</v>
      </c>
      <c r="Q41" s="83"/>
      <c r="R41" s="93">
        <v>631.26283106899996</v>
      </c>
      <c r="S41" s="94">
        <v>3.124698710030427E-4</v>
      </c>
      <c r="T41" s="94">
        <f t="shared" si="0"/>
        <v>1.141991537589373E-2</v>
      </c>
      <c r="U41" s="94">
        <f>R41/'סכום נכסי הקרן'!$C$42</f>
        <v>2.7997162331116349E-3</v>
      </c>
    </row>
    <row r="42" spans="2:21" s="127" customFormat="1">
      <c r="B42" s="86" t="s">
        <v>382</v>
      </c>
      <c r="C42" s="83" t="s">
        <v>383</v>
      </c>
      <c r="D42" s="96" t="s">
        <v>118</v>
      </c>
      <c r="E42" s="96" t="s">
        <v>311</v>
      </c>
      <c r="F42" s="83" t="s">
        <v>339</v>
      </c>
      <c r="G42" s="96" t="s">
        <v>319</v>
      </c>
      <c r="H42" s="83" t="s">
        <v>351</v>
      </c>
      <c r="I42" s="83" t="s">
        <v>158</v>
      </c>
      <c r="J42" s="83"/>
      <c r="K42" s="93">
        <v>2.1200000000009314</v>
      </c>
      <c r="L42" s="96" t="s">
        <v>162</v>
      </c>
      <c r="M42" s="97">
        <v>0.04</v>
      </c>
      <c r="N42" s="97">
        <v>-4.5999999999968956E-3</v>
      </c>
      <c r="O42" s="93">
        <v>437612.96643500001</v>
      </c>
      <c r="P42" s="95">
        <v>117.75</v>
      </c>
      <c r="Q42" s="83"/>
      <c r="R42" s="93">
        <v>515.28927274599994</v>
      </c>
      <c r="S42" s="94">
        <v>1.5065867025457324E-4</v>
      </c>
      <c r="T42" s="94">
        <f t="shared" si="0"/>
        <v>9.3218855906660094E-3</v>
      </c>
      <c r="U42" s="94">
        <f>R42/'סכום נכסי הקרן'!$C$42</f>
        <v>2.2853614542966416E-3</v>
      </c>
    </row>
    <row r="43" spans="2:21" s="127" customFormat="1">
      <c r="B43" s="86" t="s">
        <v>384</v>
      </c>
      <c r="C43" s="83" t="s">
        <v>385</v>
      </c>
      <c r="D43" s="96" t="s">
        <v>118</v>
      </c>
      <c r="E43" s="96" t="s">
        <v>311</v>
      </c>
      <c r="F43" s="83" t="s">
        <v>386</v>
      </c>
      <c r="G43" s="96" t="s">
        <v>369</v>
      </c>
      <c r="H43" s="83" t="s">
        <v>387</v>
      </c>
      <c r="I43" s="83" t="s">
        <v>315</v>
      </c>
      <c r="J43" s="83"/>
      <c r="K43" s="93">
        <v>0.87999999999686285</v>
      </c>
      <c r="L43" s="96" t="s">
        <v>162</v>
      </c>
      <c r="M43" s="97">
        <v>1.6399999999999998E-2</v>
      </c>
      <c r="N43" s="97">
        <v>-6.6000000000418267E-3</v>
      </c>
      <c r="O43" s="93">
        <v>112527.325614</v>
      </c>
      <c r="P43" s="95">
        <v>101.98</v>
      </c>
      <c r="Q43" s="83"/>
      <c r="R43" s="93">
        <v>114.755369172</v>
      </c>
      <c r="S43" s="94">
        <v>2.2845221773997284E-4</v>
      </c>
      <c r="T43" s="94">
        <f t="shared" si="0"/>
        <v>2.0759920280027395E-3</v>
      </c>
      <c r="U43" s="94">
        <f>R43/'סכום נכסי הקרן'!$C$42</f>
        <v>5.089519833814661E-4</v>
      </c>
    </row>
    <row r="44" spans="2:21" s="127" customFormat="1">
      <c r="B44" s="86" t="s">
        <v>388</v>
      </c>
      <c r="C44" s="83" t="s">
        <v>389</v>
      </c>
      <c r="D44" s="96" t="s">
        <v>118</v>
      </c>
      <c r="E44" s="96" t="s">
        <v>311</v>
      </c>
      <c r="F44" s="83" t="s">
        <v>386</v>
      </c>
      <c r="G44" s="96" t="s">
        <v>369</v>
      </c>
      <c r="H44" s="83" t="s">
        <v>387</v>
      </c>
      <c r="I44" s="83" t="s">
        <v>315</v>
      </c>
      <c r="J44" s="83"/>
      <c r="K44" s="93">
        <v>5.249999999997268</v>
      </c>
      <c r="L44" s="96" t="s">
        <v>162</v>
      </c>
      <c r="M44" s="97">
        <v>2.3399999999999997E-2</v>
      </c>
      <c r="N44" s="97">
        <v>8.0999999999971598E-3</v>
      </c>
      <c r="O44" s="93">
        <v>846129.43987800006</v>
      </c>
      <c r="P44" s="95">
        <v>108.15</v>
      </c>
      <c r="Q44" s="83"/>
      <c r="R44" s="93">
        <v>915.08899504600004</v>
      </c>
      <c r="S44" s="94">
        <v>3.5632339954122641E-4</v>
      </c>
      <c r="T44" s="94">
        <f t="shared" si="0"/>
        <v>1.6554497382873311E-2</v>
      </c>
      <c r="U44" s="94">
        <f>R44/'סכום נכסי הקרן'!$C$42</f>
        <v>4.0585147549928556E-3</v>
      </c>
    </row>
    <row r="45" spans="2:21" s="127" customFormat="1">
      <c r="B45" s="86" t="s">
        <v>390</v>
      </c>
      <c r="C45" s="83" t="s">
        <v>391</v>
      </c>
      <c r="D45" s="96" t="s">
        <v>118</v>
      </c>
      <c r="E45" s="96" t="s">
        <v>311</v>
      </c>
      <c r="F45" s="83" t="s">
        <v>386</v>
      </c>
      <c r="G45" s="96" t="s">
        <v>369</v>
      </c>
      <c r="H45" s="83" t="s">
        <v>387</v>
      </c>
      <c r="I45" s="83" t="s">
        <v>315</v>
      </c>
      <c r="J45" s="83"/>
      <c r="K45" s="93">
        <v>2.0799999999986718</v>
      </c>
      <c r="L45" s="96" t="s">
        <v>162</v>
      </c>
      <c r="M45" s="97">
        <v>0.03</v>
      </c>
      <c r="N45" s="97">
        <v>-4.3000000000033203E-3</v>
      </c>
      <c r="O45" s="93">
        <v>276323.71665100002</v>
      </c>
      <c r="P45" s="95">
        <v>109</v>
      </c>
      <c r="Q45" s="83"/>
      <c r="R45" s="93">
        <v>301.19284743000003</v>
      </c>
      <c r="S45" s="94">
        <v>5.742474955855734E-4</v>
      </c>
      <c r="T45" s="94">
        <f t="shared" si="0"/>
        <v>5.4487555106806336E-3</v>
      </c>
      <c r="U45" s="94">
        <f>R45/'סכום נכסי הקרן'!$C$42</f>
        <v>1.3358215670941592E-3</v>
      </c>
    </row>
    <row r="46" spans="2:21" s="127" customFormat="1">
      <c r="B46" s="86" t="s">
        <v>392</v>
      </c>
      <c r="C46" s="83" t="s">
        <v>393</v>
      </c>
      <c r="D46" s="96" t="s">
        <v>118</v>
      </c>
      <c r="E46" s="96" t="s">
        <v>311</v>
      </c>
      <c r="F46" s="83" t="s">
        <v>394</v>
      </c>
      <c r="G46" s="96" t="s">
        <v>369</v>
      </c>
      <c r="H46" s="83" t="s">
        <v>387</v>
      </c>
      <c r="I46" s="83" t="s">
        <v>158</v>
      </c>
      <c r="J46" s="83"/>
      <c r="K46" s="93">
        <v>0.25999999999636741</v>
      </c>
      <c r="L46" s="96" t="s">
        <v>162</v>
      </c>
      <c r="M46" s="97">
        <v>4.9500000000000002E-2</v>
      </c>
      <c r="N46" s="97">
        <v>-2.5799999999709392E-2</v>
      </c>
      <c r="O46" s="93">
        <v>8760.1675130000003</v>
      </c>
      <c r="P46" s="95">
        <v>125.7</v>
      </c>
      <c r="Q46" s="83"/>
      <c r="R46" s="93">
        <v>11.011530804000001</v>
      </c>
      <c r="S46" s="94">
        <v>6.7916504247762731E-5</v>
      </c>
      <c r="T46" s="94">
        <f t="shared" si="0"/>
        <v>1.9920505968611658E-4</v>
      </c>
      <c r="U46" s="94">
        <f>R46/'סכום נכסי הקרן'!$C$42</f>
        <v>4.8837283023872263E-5</v>
      </c>
    </row>
    <row r="47" spans="2:21" s="127" customFormat="1">
      <c r="B47" s="86" t="s">
        <v>395</v>
      </c>
      <c r="C47" s="83" t="s">
        <v>396</v>
      </c>
      <c r="D47" s="96" t="s">
        <v>118</v>
      </c>
      <c r="E47" s="96" t="s">
        <v>311</v>
      </c>
      <c r="F47" s="83" t="s">
        <v>394</v>
      </c>
      <c r="G47" s="96" t="s">
        <v>369</v>
      </c>
      <c r="H47" s="83" t="s">
        <v>387</v>
      </c>
      <c r="I47" s="83" t="s">
        <v>158</v>
      </c>
      <c r="J47" s="83"/>
      <c r="K47" s="93">
        <v>1.9700000000003681</v>
      </c>
      <c r="L47" s="96" t="s">
        <v>162</v>
      </c>
      <c r="M47" s="97">
        <v>4.8000000000000001E-2</v>
      </c>
      <c r="N47" s="97">
        <v>-4.6999999999984242E-3</v>
      </c>
      <c r="O47" s="93">
        <v>814961.03722099995</v>
      </c>
      <c r="P47" s="95">
        <v>116.78</v>
      </c>
      <c r="Q47" s="83"/>
      <c r="R47" s="93">
        <v>951.71148984499985</v>
      </c>
      <c r="S47" s="94">
        <v>5.9943616267562846E-4</v>
      </c>
      <c r="T47" s="94">
        <f t="shared" si="0"/>
        <v>1.7217019823408022E-2</v>
      </c>
      <c r="U47" s="94">
        <f>R47/'סכום נכסי הקרן'!$C$42</f>
        <v>4.2209393238719934E-3</v>
      </c>
    </row>
    <row r="48" spans="2:21" s="127" customFormat="1">
      <c r="B48" s="86" t="s">
        <v>397</v>
      </c>
      <c r="C48" s="83" t="s">
        <v>398</v>
      </c>
      <c r="D48" s="96" t="s">
        <v>118</v>
      </c>
      <c r="E48" s="96" t="s">
        <v>311</v>
      </c>
      <c r="F48" s="83" t="s">
        <v>394</v>
      </c>
      <c r="G48" s="96" t="s">
        <v>369</v>
      </c>
      <c r="H48" s="83" t="s">
        <v>387</v>
      </c>
      <c r="I48" s="83" t="s">
        <v>158</v>
      </c>
      <c r="J48" s="83"/>
      <c r="K48" s="93">
        <v>5.9499999999994051</v>
      </c>
      <c r="L48" s="96" t="s">
        <v>162</v>
      </c>
      <c r="M48" s="97">
        <v>3.2000000000000001E-2</v>
      </c>
      <c r="N48" s="97">
        <v>1.0200000000002381E-2</v>
      </c>
      <c r="O48" s="93">
        <v>725248.90613300016</v>
      </c>
      <c r="P48" s="95">
        <v>115.87</v>
      </c>
      <c r="Q48" s="83"/>
      <c r="R48" s="93">
        <v>840.34594129000004</v>
      </c>
      <c r="S48" s="94">
        <v>4.3964710946850673E-4</v>
      </c>
      <c r="T48" s="94">
        <f t="shared" si="0"/>
        <v>1.5202351641322279E-2</v>
      </c>
      <c r="U48" s="94">
        <f>R48/'סכום נכסי הקרן'!$C$42</f>
        <v>3.7270215470708201E-3</v>
      </c>
    </row>
    <row r="49" spans="2:21" s="127" customFormat="1">
      <c r="B49" s="86" t="s">
        <v>399</v>
      </c>
      <c r="C49" s="83" t="s">
        <v>400</v>
      </c>
      <c r="D49" s="96" t="s">
        <v>118</v>
      </c>
      <c r="E49" s="96" t="s">
        <v>311</v>
      </c>
      <c r="F49" s="83" t="s">
        <v>394</v>
      </c>
      <c r="G49" s="96" t="s">
        <v>369</v>
      </c>
      <c r="H49" s="83" t="s">
        <v>387</v>
      </c>
      <c r="I49" s="83" t="s">
        <v>158</v>
      </c>
      <c r="J49" s="83"/>
      <c r="K49" s="93">
        <v>1.2400000000046787</v>
      </c>
      <c r="L49" s="96" t="s">
        <v>162</v>
      </c>
      <c r="M49" s="97">
        <v>4.9000000000000002E-2</v>
      </c>
      <c r="N49" s="97">
        <v>-1.0600000000079175E-2</v>
      </c>
      <c r="O49" s="93">
        <v>94336.048924000002</v>
      </c>
      <c r="P49" s="95">
        <v>117.82</v>
      </c>
      <c r="Q49" s="83"/>
      <c r="R49" s="93">
        <v>111.14672910199999</v>
      </c>
      <c r="S49" s="94">
        <v>4.7619521334408784E-4</v>
      </c>
      <c r="T49" s="94">
        <f t="shared" si="0"/>
        <v>2.0107096096609652E-3</v>
      </c>
      <c r="U49" s="94">
        <f>R49/'סכום נכסי הקרן'!$C$42</f>
        <v>4.9294728979555179E-4</v>
      </c>
    </row>
    <row r="50" spans="2:21" s="127" customFormat="1">
      <c r="B50" s="86" t="s">
        <v>401</v>
      </c>
      <c r="C50" s="83" t="s">
        <v>402</v>
      </c>
      <c r="D50" s="96" t="s">
        <v>118</v>
      </c>
      <c r="E50" s="96" t="s">
        <v>311</v>
      </c>
      <c r="F50" s="83" t="s">
        <v>403</v>
      </c>
      <c r="G50" s="96" t="s">
        <v>404</v>
      </c>
      <c r="H50" s="83" t="s">
        <v>387</v>
      </c>
      <c r="I50" s="83" t="s">
        <v>158</v>
      </c>
      <c r="J50" s="83"/>
      <c r="K50" s="93">
        <v>2.1100000000019632</v>
      </c>
      <c r="L50" s="96" t="s">
        <v>162</v>
      </c>
      <c r="M50" s="97">
        <v>3.7000000000000005E-2</v>
      </c>
      <c r="N50" s="97">
        <v>-4.0000000000094994E-3</v>
      </c>
      <c r="O50" s="93">
        <v>552966.45844399999</v>
      </c>
      <c r="P50" s="95">
        <v>114.22</v>
      </c>
      <c r="Q50" s="83"/>
      <c r="R50" s="93">
        <v>631.59830461600006</v>
      </c>
      <c r="S50" s="94">
        <v>2.3040410349148944E-4</v>
      </c>
      <c r="T50" s="94">
        <f t="shared" si="0"/>
        <v>1.1425984289393839E-2</v>
      </c>
      <c r="U50" s="94">
        <f>R50/'סכום נכסי הקרן'!$C$42</f>
        <v>2.8012040931424962E-3</v>
      </c>
    </row>
    <row r="51" spans="2:21" s="127" customFormat="1">
      <c r="B51" s="86" t="s">
        <v>405</v>
      </c>
      <c r="C51" s="83" t="s">
        <v>406</v>
      </c>
      <c r="D51" s="96" t="s">
        <v>118</v>
      </c>
      <c r="E51" s="96" t="s">
        <v>311</v>
      </c>
      <c r="F51" s="83" t="s">
        <v>403</v>
      </c>
      <c r="G51" s="96" t="s">
        <v>404</v>
      </c>
      <c r="H51" s="83" t="s">
        <v>387</v>
      </c>
      <c r="I51" s="83" t="s">
        <v>158</v>
      </c>
      <c r="J51" s="83"/>
      <c r="K51" s="93">
        <v>5.1599999999977033</v>
      </c>
      <c r="L51" s="96" t="s">
        <v>162</v>
      </c>
      <c r="M51" s="97">
        <v>2.2000000000000002E-2</v>
      </c>
      <c r="N51" s="97">
        <v>1.109999999999782E-2</v>
      </c>
      <c r="O51" s="93">
        <v>473430.13377499999</v>
      </c>
      <c r="P51" s="95">
        <v>106.68</v>
      </c>
      <c r="Q51" s="83"/>
      <c r="R51" s="93">
        <v>505.05526440099999</v>
      </c>
      <c r="S51" s="94">
        <v>5.3696135675772782E-4</v>
      </c>
      <c r="T51" s="94">
        <f t="shared" si="0"/>
        <v>9.1367463689282502E-3</v>
      </c>
      <c r="U51" s="94">
        <f>R51/'סכום נכסי הקרן'!$C$42</f>
        <v>2.2399725641496079E-3</v>
      </c>
    </row>
    <row r="52" spans="2:21" s="127" customFormat="1">
      <c r="B52" s="86" t="s">
        <v>407</v>
      </c>
      <c r="C52" s="83" t="s">
        <v>408</v>
      </c>
      <c r="D52" s="96" t="s">
        <v>118</v>
      </c>
      <c r="E52" s="96" t="s">
        <v>311</v>
      </c>
      <c r="F52" s="83" t="s">
        <v>409</v>
      </c>
      <c r="G52" s="96" t="s">
        <v>369</v>
      </c>
      <c r="H52" s="83" t="s">
        <v>387</v>
      </c>
      <c r="I52" s="83" t="s">
        <v>315</v>
      </c>
      <c r="J52" s="83"/>
      <c r="K52" s="93">
        <v>6.5399999999852705</v>
      </c>
      <c r="L52" s="96" t="s">
        <v>162</v>
      </c>
      <c r="M52" s="97">
        <v>1.8200000000000001E-2</v>
      </c>
      <c r="N52" s="97">
        <v>1.3099999999983633E-2</v>
      </c>
      <c r="O52" s="93">
        <v>164326.507258</v>
      </c>
      <c r="P52" s="95">
        <v>104.11</v>
      </c>
      <c r="Q52" s="83"/>
      <c r="R52" s="93">
        <v>171.08032488800001</v>
      </c>
      <c r="S52" s="94">
        <v>6.248156169505703E-4</v>
      </c>
      <c r="T52" s="94">
        <f t="shared" si="0"/>
        <v>3.0949435584427987E-3</v>
      </c>
      <c r="U52" s="94">
        <f>R52/'סכום נכסי הקרן'!$C$42</f>
        <v>7.5875901317337614E-4</v>
      </c>
    </row>
    <row r="53" spans="2:21" s="127" customFormat="1">
      <c r="B53" s="86" t="s">
        <v>410</v>
      </c>
      <c r="C53" s="83" t="s">
        <v>411</v>
      </c>
      <c r="D53" s="96" t="s">
        <v>118</v>
      </c>
      <c r="E53" s="96" t="s">
        <v>311</v>
      </c>
      <c r="F53" s="83" t="s">
        <v>350</v>
      </c>
      <c r="G53" s="96" t="s">
        <v>319</v>
      </c>
      <c r="H53" s="83" t="s">
        <v>387</v>
      </c>
      <c r="I53" s="83" t="s">
        <v>158</v>
      </c>
      <c r="J53" s="83"/>
      <c r="K53" s="93">
        <v>1.3200000000030714</v>
      </c>
      <c r="L53" s="96" t="s">
        <v>162</v>
      </c>
      <c r="M53" s="97">
        <v>3.1E-2</v>
      </c>
      <c r="N53" s="97">
        <v>-9.3000000000216399E-3</v>
      </c>
      <c r="O53" s="93">
        <v>127681.83987</v>
      </c>
      <c r="P53" s="95">
        <v>112.2</v>
      </c>
      <c r="Q53" s="83"/>
      <c r="R53" s="93">
        <v>143.25901673300001</v>
      </c>
      <c r="S53" s="94">
        <v>3.7113059455031876E-4</v>
      </c>
      <c r="T53" s="94">
        <f t="shared" si="0"/>
        <v>2.5916397535304609E-3</v>
      </c>
      <c r="U53" s="94">
        <f>R53/'סכום נכסי הקרן'!$C$42</f>
        <v>6.3536862135187412E-4</v>
      </c>
    </row>
    <row r="54" spans="2:21" s="127" customFormat="1">
      <c r="B54" s="86" t="s">
        <v>412</v>
      </c>
      <c r="C54" s="83" t="s">
        <v>413</v>
      </c>
      <c r="D54" s="96" t="s">
        <v>118</v>
      </c>
      <c r="E54" s="96" t="s">
        <v>311</v>
      </c>
      <c r="F54" s="83" t="s">
        <v>350</v>
      </c>
      <c r="G54" s="96" t="s">
        <v>319</v>
      </c>
      <c r="H54" s="83" t="s">
        <v>387</v>
      </c>
      <c r="I54" s="83" t="s">
        <v>158</v>
      </c>
      <c r="J54" s="83"/>
      <c r="K54" s="93">
        <v>0.26999999999962915</v>
      </c>
      <c r="L54" s="96" t="s">
        <v>162</v>
      </c>
      <c r="M54" s="97">
        <v>2.7999999999999997E-2</v>
      </c>
      <c r="N54" s="97">
        <v>-2.3000000000017565E-2</v>
      </c>
      <c r="O54" s="93">
        <v>485525.12506400002</v>
      </c>
      <c r="P54" s="95">
        <v>105.52</v>
      </c>
      <c r="Q54" s="83"/>
      <c r="R54" s="93">
        <v>512.32608539700004</v>
      </c>
      <c r="S54" s="94">
        <v>4.9365412758290773E-4</v>
      </c>
      <c r="T54" s="94">
        <f t="shared" si="0"/>
        <v>9.2682797911431813E-3</v>
      </c>
      <c r="U54" s="94">
        <f>R54/'סכום נכסי הקרן'!$C$42</f>
        <v>2.2722194105797679E-3</v>
      </c>
    </row>
    <row r="55" spans="2:21" s="127" customFormat="1">
      <c r="B55" s="86" t="s">
        <v>414</v>
      </c>
      <c r="C55" s="83" t="s">
        <v>415</v>
      </c>
      <c r="D55" s="96" t="s">
        <v>118</v>
      </c>
      <c r="E55" s="96" t="s">
        <v>311</v>
      </c>
      <c r="F55" s="83" t="s">
        <v>350</v>
      </c>
      <c r="G55" s="96" t="s">
        <v>319</v>
      </c>
      <c r="H55" s="83" t="s">
        <v>387</v>
      </c>
      <c r="I55" s="83" t="s">
        <v>158</v>
      </c>
      <c r="J55" s="83"/>
      <c r="K55" s="93">
        <v>1.4500000000522033</v>
      </c>
      <c r="L55" s="96" t="s">
        <v>162</v>
      </c>
      <c r="M55" s="97">
        <v>4.2000000000000003E-2</v>
      </c>
      <c r="N55" s="97">
        <v>-2.1999999999999997E-3</v>
      </c>
      <c r="O55" s="93">
        <v>7401.807855</v>
      </c>
      <c r="P55" s="95">
        <v>129.4</v>
      </c>
      <c r="Q55" s="83"/>
      <c r="R55" s="93">
        <v>9.5779388500000007</v>
      </c>
      <c r="S55" s="94">
        <v>1.4188950379557567E-4</v>
      </c>
      <c r="T55" s="94">
        <f t="shared" si="0"/>
        <v>1.7327053924156872E-4</v>
      </c>
      <c r="U55" s="94">
        <f>R55/'סכום נכסי הקרן'!$C$42</f>
        <v>4.2479153782403713E-5</v>
      </c>
    </row>
    <row r="56" spans="2:21" s="127" customFormat="1">
      <c r="B56" s="86" t="s">
        <v>416</v>
      </c>
      <c r="C56" s="83" t="s">
        <v>417</v>
      </c>
      <c r="D56" s="96" t="s">
        <v>118</v>
      </c>
      <c r="E56" s="96" t="s">
        <v>311</v>
      </c>
      <c r="F56" s="83" t="s">
        <v>318</v>
      </c>
      <c r="G56" s="96" t="s">
        <v>319</v>
      </c>
      <c r="H56" s="83" t="s">
        <v>387</v>
      </c>
      <c r="I56" s="83" t="s">
        <v>158</v>
      </c>
      <c r="J56" s="83"/>
      <c r="K56" s="93">
        <v>1.7800000000007181</v>
      </c>
      <c r="L56" s="96" t="s">
        <v>162</v>
      </c>
      <c r="M56" s="97">
        <v>0.04</v>
      </c>
      <c r="N56" s="97">
        <v>-3.1999999999983431E-3</v>
      </c>
      <c r="O56" s="93">
        <v>615454.22134100005</v>
      </c>
      <c r="P56" s="95">
        <v>117.66</v>
      </c>
      <c r="Q56" s="83"/>
      <c r="R56" s="93">
        <v>724.14342951599997</v>
      </c>
      <c r="S56" s="94">
        <v>4.5589269120472774E-4</v>
      </c>
      <c r="T56" s="94">
        <f t="shared" si="0"/>
        <v>1.3100179953693921E-2</v>
      </c>
      <c r="U56" s="94">
        <f>R56/'סכום נכסי הקרן'!$C$42</f>
        <v>3.2116513359163267E-3</v>
      </c>
    </row>
    <row r="57" spans="2:21" s="127" customFormat="1">
      <c r="B57" s="86" t="s">
        <v>418</v>
      </c>
      <c r="C57" s="83" t="s">
        <v>419</v>
      </c>
      <c r="D57" s="96" t="s">
        <v>118</v>
      </c>
      <c r="E57" s="96" t="s">
        <v>311</v>
      </c>
      <c r="F57" s="83" t="s">
        <v>420</v>
      </c>
      <c r="G57" s="96" t="s">
        <v>369</v>
      </c>
      <c r="H57" s="83" t="s">
        <v>387</v>
      </c>
      <c r="I57" s="83" t="s">
        <v>158</v>
      </c>
      <c r="J57" s="83"/>
      <c r="K57" s="93">
        <v>4.1899999999985873</v>
      </c>
      <c r="L57" s="96" t="s">
        <v>162</v>
      </c>
      <c r="M57" s="97">
        <v>4.7500000000000001E-2</v>
      </c>
      <c r="N57" s="97">
        <v>4.5000000000030346E-3</v>
      </c>
      <c r="O57" s="93">
        <v>798322.49753099994</v>
      </c>
      <c r="P57" s="95">
        <v>144.5</v>
      </c>
      <c r="Q57" s="83"/>
      <c r="R57" s="93">
        <v>1153.5760122769998</v>
      </c>
      <c r="S57" s="94">
        <v>4.2299713746145285E-4</v>
      </c>
      <c r="T57" s="94">
        <f t="shared" si="0"/>
        <v>2.0868867596014588E-2</v>
      </c>
      <c r="U57" s="94">
        <f>R57/'סכום נכסי הקרן'!$C$42</f>
        <v>5.1162294511001927E-3</v>
      </c>
    </row>
    <row r="58" spans="2:21" s="127" customFormat="1">
      <c r="B58" s="86" t="s">
        <v>421</v>
      </c>
      <c r="C58" s="83" t="s">
        <v>422</v>
      </c>
      <c r="D58" s="96" t="s">
        <v>118</v>
      </c>
      <c r="E58" s="96" t="s">
        <v>311</v>
      </c>
      <c r="F58" s="83" t="s">
        <v>423</v>
      </c>
      <c r="G58" s="96" t="s">
        <v>319</v>
      </c>
      <c r="H58" s="83" t="s">
        <v>387</v>
      </c>
      <c r="I58" s="83" t="s">
        <v>158</v>
      </c>
      <c r="J58" s="83"/>
      <c r="K58" s="93">
        <v>1.6699999999984763</v>
      </c>
      <c r="L58" s="96" t="s">
        <v>162</v>
      </c>
      <c r="M58" s="97">
        <v>3.85E-2</v>
      </c>
      <c r="N58" s="97">
        <v>-8.4999999999686299E-3</v>
      </c>
      <c r="O58" s="93">
        <v>94641.49506299998</v>
      </c>
      <c r="P58" s="95">
        <v>117.89</v>
      </c>
      <c r="Q58" s="83"/>
      <c r="R58" s="93">
        <v>111.572863551</v>
      </c>
      <c r="S58" s="94">
        <v>2.2219808059718309E-4</v>
      </c>
      <c r="T58" s="94">
        <f t="shared" si="0"/>
        <v>2.0184186321264451E-3</v>
      </c>
      <c r="U58" s="94">
        <f>R58/'סכום נכסי הקרן'!$C$42</f>
        <v>4.9483724034488639E-4</v>
      </c>
    </row>
    <row r="59" spans="2:21" s="127" customFormat="1">
      <c r="B59" s="86" t="s">
        <v>424</v>
      </c>
      <c r="C59" s="83" t="s">
        <v>425</v>
      </c>
      <c r="D59" s="96" t="s">
        <v>118</v>
      </c>
      <c r="E59" s="96" t="s">
        <v>311</v>
      </c>
      <c r="F59" s="83" t="s">
        <v>423</v>
      </c>
      <c r="G59" s="96" t="s">
        <v>319</v>
      </c>
      <c r="H59" s="83" t="s">
        <v>387</v>
      </c>
      <c r="I59" s="83" t="s">
        <v>158</v>
      </c>
      <c r="J59" s="83"/>
      <c r="K59" s="93">
        <v>2.0399999999899703</v>
      </c>
      <c r="L59" s="96" t="s">
        <v>162</v>
      </c>
      <c r="M59" s="97">
        <v>4.7500000000000001E-2</v>
      </c>
      <c r="N59" s="97">
        <v>-7.6000000000047748E-3</v>
      </c>
      <c r="O59" s="93">
        <v>62411.295278999998</v>
      </c>
      <c r="P59" s="95">
        <v>134.19999999999999</v>
      </c>
      <c r="Q59" s="83"/>
      <c r="R59" s="93">
        <v>83.755957496000008</v>
      </c>
      <c r="S59" s="94">
        <v>2.1503429341287244E-4</v>
      </c>
      <c r="T59" s="94">
        <f t="shared" si="0"/>
        <v>1.5151944637886083E-3</v>
      </c>
      <c r="U59" s="94">
        <f>R59/'סכום נכסי הקרן'!$C$42</f>
        <v>3.7146637229418657E-4</v>
      </c>
    </row>
    <row r="60" spans="2:21" s="127" customFormat="1">
      <c r="B60" s="86" t="s">
        <v>426</v>
      </c>
      <c r="C60" s="83" t="s">
        <v>427</v>
      </c>
      <c r="D60" s="96" t="s">
        <v>118</v>
      </c>
      <c r="E60" s="96" t="s">
        <v>311</v>
      </c>
      <c r="F60" s="83" t="s">
        <v>428</v>
      </c>
      <c r="G60" s="96" t="s">
        <v>319</v>
      </c>
      <c r="H60" s="83" t="s">
        <v>387</v>
      </c>
      <c r="I60" s="83" t="s">
        <v>315</v>
      </c>
      <c r="J60" s="83"/>
      <c r="K60" s="93">
        <v>2.2799999999970439</v>
      </c>
      <c r="L60" s="96" t="s">
        <v>162</v>
      </c>
      <c r="M60" s="97">
        <v>3.5499999999999997E-2</v>
      </c>
      <c r="N60" s="97">
        <v>-4.7999999999704364E-3</v>
      </c>
      <c r="O60" s="93">
        <v>112088.000497</v>
      </c>
      <c r="P60" s="95">
        <v>120.71</v>
      </c>
      <c r="Q60" s="83"/>
      <c r="R60" s="93">
        <v>135.30142077999997</v>
      </c>
      <c r="S60" s="94">
        <v>3.1452979600587176E-4</v>
      </c>
      <c r="T60" s="94">
        <f t="shared" si="0"/>
        <v>2.4476821689774081E-3</v>
      </c>
      <c r="U60" s="94">
        <f>R60/'סכום נכסי הקרן'!$C$42</f>
        <v>6.0007585664334582E-4</v>
      </c>
    </row>
    <row r="61" spans="2:21" s="127" customFormat="1">
      <c r="B61" s="86" t="s">
        <v>429</v>
      </c>
      <c r="C61" s="83" t="s">
        <v>430</v>
      </c>
      <c r="D61" s="96" t="s">
        <v>118</v>
      </c>
      <c r="E61" s="96" t="s">
        <v>311</v>
      </c>
      <c r="F61" s="83" t="s">
        <v>428</v>
      </c>
      <c r="G61" s="96" t="s">
        <v>319</v>
      </c>
      <c r="H61" s="83" t="s">
        <v>387</v>
      </c>
      <c r="I61" s="83" t="s">
        <v>315</v>
      </c>
      <c r="J61" s="83"/>
      <c r="K61" s="93">
        <v>1.1800000000092736</v>
      </c>
      <c r="L61" s="96" t="s">
        <v>162</v>
      </c>
      <c r="M61" s="97">
        <v>4.6500000000000007E-2</v>
      </c>
      <c r="N61" s="97">
        <v>-1.0900000000046367E-2</v>
      </c>
      <c r="O61" s="93">
        <v>57880.989917999999</v>
      </c>
      <c r="P61" s="95">
        <v>130.41</v>
      </c>
      <c r="Q61" s="83"/>
      <c r="R61" s="93">
        <v>75.482596185000006</v>
      </c>
      <c r="S61" s="94">
        <v>2.6460696760129159E-4</v>
      </c>
      <c r="T61" s="94">
        <f t="shared" si="0"/>
        <v>1.3655244984497397E-3</v>
      </c>
      <c r="U61" s="94">
        <f>R61/'סכום נכסי הקרן'!$C$42</f>
        <v>3.3477315542035385E-4</v>
      </c>
    </row>
    <row r="62" spans="2:21" s="127" customFormat="1">
      <c r="B62" s="86" t="s">
        <v>431</v>
      </c>
      <c r="C62" s="83" t="s">
        <v>432</v>
      </c>
      <c r="D62" s="96" t="s">
        <v>118</v>
      </c>
      <c r="E62" s="96" t="s">
        <v>311</v>
      </c>
      <c r="F62" s="83" t="s">
        <v>428</v>
      </c>
      <c r="G62" s="96" t="s">
        <v>319</v>
      </c>
      <c r="H62" s="83" t="s">
        <v>387</v>
      </c>
      <c r="I62" s="83" t="s">
        <v>315</v>
      </c>
      <c r="J62" s="83"/>
      <c r="K62" s="93">
        <v>5.6600000000036488</v>
      </c>
      <c r="L62" s="96" t="s">
        <v>162</v>
      </c>
      <c r="M62" s="97">
        <v>1.4999999999999999E-2</v>
      </c>
      <c r="N62" s="97">
        <v>5.0000000000000001E-3</v>
      </c>
      <c r="O62" s="93">
        <v>269074.34263799997</v>
      </c>
      <c r="P62" s="95">
        <v>105.93</v>
      </c>
      <c r="Q62" s="83"/>
      <c r="R62" s="93">
        <v>285.03045115600003</v>
      </c>
      <c r="S62" s="94">
        <v>5.2638282065930813E-4</v>
      </c>
      <c r="T62" s="94">
        <f t="shared" si="0"/>
        <v>5.156368269365985E-3</v>
      </c>
      <c r="U62" s="94">
        <f>R62/'סכום נכסי הקרן'!$C$42</f>
        <v>1.2641396606247529E-3</v>
      </c>
    </row>
    <row r="63" spans="2:21" s="127" customFormat="1">
      <c r="B63" s="86" t="s">
        <v>433</v>
      </c>
      <c r="C63" s="83" t="s">
        <v>434</v>
      </c>
      <c r="D63" s="96" t="s">
        <v>118</v>
      </c>
      <c r="E63" s="96" t="s">
        <v>311</v>
      </c>
      <c r="F63" s="83" t="s">
        <v>435</v>
      </c>
      <c r="G63" s="96" t="s">
        <v>436</v>
      </c>
      <c r="H63" s="83" t="s">
        <v>387</v>
      </c>
      <c r="I63" s="83" t="s">
        <v>315</v>
      </c>
      <c r="J63" s="83"/>
      <c r="K63" s="93">
        <v>1.7299999995457713</v>
      </c>
      <c r="L63" s="96" t="s">
        <v>162</v>
      </c>
      <c r="M63" s="97">
        <v>4.6500000000000007E-2</v>
      </c>
      <c r="N63" s="97">
        <v>-6.1000000006488989E-3</v>
      </c>
      <c r="O63" s="93">
        <v>1735.5733250000003</v>
      </c>
      <c r="P63" s="95">
        <v>133.19</v>
      </c>
      <c r="Q63" s="83"/>
      <c r="R63" s="93">
        <v>2.3116100849999999</v>
      </c>
      <c r="S63" s="94">
        <v>2.2837033798461058E-5</v>
      </c>
      <c r="T63" s="94">
        <f t="shared" si="0"/>
        <v>4.1818384123865899E-5</v>
      </c>
      <c r="U63" s="94">
        <f>R63/'סכום נכסי הקרן'!$C$42</f>
        <v>1.0252230863393987E-5</v>
      </c>
    </row>
    <row r="64" spans="2:21" s="127" customFormat="1">
      <c r="B64" s="86" t="s">
        <v>437</v>
      </c>
      <c r="C64" s="83" t="s">
        <v>438</v>
      </c>
      <c r="D64" s="96" t="s">
        <v>118</v>
      </c>
      <c r="E64" s="96" t="s">
        <v>311</v>
      </c>
      <c r="F64" s="83" t="s">
        <v>439</v>
      </c>
      <c r="G64" s="96" t="s">
        <v>369</v>
      </c>
      <c r="H64" s="83" t="s">
        <v>387</v>
      </c>
      <c r="I64" s="83" t="s">
        <v>315</v>
      </c>
      <c r="J64" s="83"/>
      <c r="K64" s="93">
        <v>1.9000000000407224</v>
      </c>
      <c r="L64" s="96" t="s">
        <v>162</v>
      </c>
      <c r="M64" s="97">
        <v>3.6400000000000002E-2</v>
      </c>
      <c r="N64" s="97">
        <v>-2.5000000000000001E-3</v>
      </c>
      <c r="O64" s="93">
        <v>16713.703999000001</v>
      </c>
      <c r="P64" s="95">
        <v>117.54</v>
      </c>
      <c r="Q64" s="83"/>
      <c r="R64" s="93">
        <v>19.645286607999999</v>
      </c>
      <c r="S64" s="94">
        <v>2.2739733331972792E-4</v>
      </c>
      <c r="T64" s="94">
        <f t="shared" si="0"/>
        <v>3.553947730751411E-4</v>
      </c>
      <c r="U64" s="94">
        <f>R64/'סכום נכסי הקרן'!$C$42</f>
        <v>8.7128886912932023E-5</v>
      </c>
    </row>
    <row r="65" spans="2:21" s="127" customFormat="1">
      <c r="B65" s="86" t="s">
        <v>440</v>
      </c>
      <c r="C65" s="83" t="s">
        <v>441</v>
      </c>
      <c r="D65" s="96" t="s">
        <v>118</v>
      </c>
      <c r="E65" s="96" t="s">
        <v>311</v>
      </c>
      <c r="F65" s="83" t="s">
        <v>442</v>
      </c>
      <c r="G65" s="96" t="s">
        <v>443</v>
      </c>
      <c r="H65" s="83" t="s">
        <v>387</v>
      </c>
      <c r="I65" s="83" t="s">
        <v>158</v>
      </c>
      <c r="J65" s="83"/>
      <c r="K65" s="93">
        <v>7.7400000000052431</v>
      </c>
      <c r="L65" s="96" t="s">
        <v>162</v>
      </c>
      <c r="M65" s="97">
        <v>3.85E-2</v>
      </c>
      <c r="N65" s="97">
        <v>1.1800000000005424E-2</v>
      </c>
      <c r="O65" s="93">
        <v>525875.68139299995</v>
      </c>
      <c r="P65" s="95">
        <v>122.99</v>
      </c>
      <c r="Q65" s="93">
        <v>15.757311532999999</v>
      </c>
      <c r="R65" s="93">
        <v>663.74065629799998</v>
      </c>
      <c r="S65" s="94">
        <v>1.9522340215748728E-4</v>
      </c>
      <c r="T65" s="94">
        <f t="shared" si="0"/>
        <v>1.200745830960355E-2</v>
      </c>
      <c r="U65" s="94">
        <f>R65/'סכום נכסי הקרן'!$C$42</f>
        <v>2.9437587618881393E-3</v>
      </c>
    </row>
    <row r="66" spans="2:21" s="127" customFormat="1">
      <c r="B66" s="86" t="s">
        <v>444</v>
      </c>
      <c r="C66" s="83" t="s">
        <v>445</v>
      </c>
      <c r="D66" s="96" t="s">
        <v>118</v>
      </c>
      <c r="E66" s="96" t="s">
        <v>311</v>
      </c>
      <c r="F66" s="83" t="s">
        <v>442</v>
      </c>
      <c r="G66" s="96" t="s">
        <v>443</v>
      </c>
      <c r="H66" s="83" t="s">
        <v>387</v>
      </c>
      <c r="I66" s="83" t="s">
        <v>158</v>
      </c>
      <c r="J66" s="83"/>
      <c r="K66" s="93">
        <v>5.7200000000014048</v>
      </c>
      <c r="L66" s="96" t="s">
        <v>162</v>
      </c>
      <c r="M66" s="97">
        <v>4.4999999999999998E-2</v>
      </c>
      <c r="N66" s="97">
        <v>7.5000000000014387E-3</v>
      </c>
      <c r="O66" s="93">
        <v>1383278.828894</v>
      </c>
      <c r="P66" s="95">
        <v>125.6</v>
      </c>
      <c r="Q66" s="83"/>
      <c r="R66" s="93">
        <v>1737.3981488729999</v>
      </c>
      <c r="S66" s="94">
        <v>4.702656308495984E-4</v>
      </c>
      <c r="T66" s="94">
        <f t="shared" si="0"/>
        <v>3.1430552945379046E-2</v>
      </c>
      <c r="U66" s="94">
        <f>R66/'סכום נכסי הקרן'!$C$42</f>
        <v>7.7055412759541369E-3</v>
      </c>
    </row>
    <row r="67" spans="2:21" s="127" customFormat="1">
      <c r="B67" s="86" t="s">
        <v>446</v>
      </c>
      <c r="C67" s="83" t="s">
        <v>447</v>
      </c>
      <c r="D67" s="96" t="s">
        <v>118</v>
      </c>
      <c r="E67" s="96" t="s">
        <v>311</v>
      </c>
      <c r="F67" s="83" t="s">
        <v>442</v>
      </c>
      <c r="G67" s="96" t="s">
        <v>443</v>
      </c>
      <c r="H67" s="83" t="s">
        <v>387</v>
      </c>
      <c r="I67" s="83" t="s">
        <v>158</v>
      </c>
      <c r="J67" s="83"/>
      <c r="K67" s="93">
        <v>10.32999999999309</v>
      </c>
      <c r="L67" s="96" t="s">
        <v>162</v>
      </c>
      <c r="M67" s="97">
        <v>2.3900000000000001E-2</v>
      </c>
      <c r="N67" s="97">
        <v>1.959999999998057E-2</v>
      </c>
      <c r="O67" s="93">
        <v>532804.06400000001</v>
      </c>
      <c r="P67" s="95">
        <v>104.32</v>
      </c>
      <c r="Q67" s="83"/>
      <c r="R67" s="93">
        <v>555.82119364799996</v>
      </c>
      <c r="S67" s="94">
        <v>4.2996190573028008E-4</v>
      </c>
      <c r="T67" s="94">
        <f t="shared" si="0"/>
        <v>1.0055131845541207E-2</v>
      </c>
      <c r="U67" s="94">
        <f>R67/'סכום נכסי הקרן'!$C$42</f>
        <v>2.4651247340645305E-3</v>
      </c>
    </row>
    <row r="68" spans="2:21" s="127" customFormat="1">
      <c r="B68" s="86" t="s">
        <v>448</v>
      </c>
      <c r="C68" s="83" t="s">
        <v>449</v>
      </c>
      <c r="D68" s="96" t="s">
        <v>118</v>
      </c>
      <c r="E68" s="96" t="s">
        <v>311</v>
      </c>
      <c r="F68" s="83" t="s">
        <v>450</v>
      </c>
      <c r="G68" s="96" t="s">
        <v>436</v>
      </c>
      <c r="H68" s="83" t="s">
        <v>387</v>
      </c>
      <c r="I68" s="83" t="s">
        <v>158</v>
      </c>
      <c r="J68" s="83"/>
      <c r="K68" s="93">
        <v>1.1399999999160295</v>
      </c>
      <c r="L68" s="96" t="s">
        <v>162</v>
      </c>
      <c r="M68" s="97">
        <v>4.8899999999999999E-2</v>
      </c>
      <c r="N68" s="97">
        <v>-7.1999999994696593E-3</v>
      </c>
      <c r="O68" s="93">
        <v>3436.6642379999998</v>
      </c>
      <c r="P68" s="95">
        <v>131.68</v>
      </c>
      <c r="Q68" s="83"/>
      <c r="R68" s="93">
        <v>4.5253993670000003</v>
      </c>
      <c r="S68" s="94">
        <v>6.1573726996485759E-5</v>
      </c>
      <c r="T68" s="94">
        <f t="shared" si="0"/>
        <v>8.1867132468019851E-5</v>
      </c>
      <c r="U68" s="94">
        <f>R68/'סכום נכסי הקרן'!$C$42</f>
        <v>2.0070616303588681E-5</v>
      </c>
    </row>
    <row r="69" spans="2:21" s="127" customFormat="1">
      <c r="B69" s="86" t="s">
        <v>451</v>
      </c>
      <c r="C69" s="83" t="s">
        <v>452</v>
      </c>
      <c r="D69" s="96" t="s">
        <v>118</v>
      </c>
      <c r="E69" s="96" t="s">
        <v>311</v>
      </c>
      <c r="F69" s="83" t="s">
        <v>318</v>
      </c>
      <c r="G69" s="96" t="s">
        <v>319</v>
      </c>
      <c r="H69" s="83" t="s">
        <v>387</v>
      </c>
      <c r="I69" s="83" t="s">
        <v>315</v>
      </c>
      <c r="J69" s="83"/>
      <c r="K69" s="93">
        <v>4.1800000000029822</v>
      </c>
      <c r="L69" s="96" t="s">
        <v>162</v>
      </c>
      <c r="M69" s="97">
        <v>1.6399999999999998E-2</v>
      </c>
      <c r="N69" s="97">
        <v>1.2300000000006098E-2</v>
      </c>
      <c r="O69" s="93">
        <f>289288.4225/50000</f>
        <v>5.78576845</v>
      </c>
      <c r="P69" s="95">
        <v>5100544</v>
      </c>
      <c r="Q69" s="83"/>
      <c r="R69" s="93">
        <v>295.10566173400002</v>
      </c>
      <c r="S69" s="94">
        <f>2356.53651433692%/50000</f>
        <v>4.7130730286738397E-4</v>
      </c>
      <c r="T69" s="94">
        <f t="shared" si="0"/>
        <v>5.3386347462314552E-3</v>
      </c>
      <c r="U69" s="94">
        <f>R69/'סכום נכסי הקרן'!$C$42</f>
        <v>1.3088242661787924E-3</v>
      </c>
    </row>
    <row r="70" spans="2:21" s="127" customFormat="1">
      <c r="B70" s="86" t="s">
        <v>453</v>
      </c>
      <c r="C70" s="83" t="s">
        <v>454</v>
      </c>
      <c r="D70" s="96" t="s">
        <v>118</v>
      </c>
      <c r="E70" s="96" t="s">
        <v>311</v>
      </c>
      <c r="F70" s="83" t="s">
        <v>318</v>
      </c>
      <c r="G70" s="96" t="s">
        <v>319</v>
      </c>
      <c r="H70" s="83" t="s">
        <v>387</v>
      </c>
      <c r="I70" s="83" t="s">
        <v>315</v>
      </c>
      <c r="J70" s="83"/>
      <c r="K70" s="93">
        <v>8.2299999999875642</v>
      </c>
      <c r="L70" s="96" t="s">
        <v>162</v>
      </c>
      <c r="M70" s="97">
        <v>2.7799999999999998E-2</v>
      </c>
      <c r="N70" s="97">
        <v>2.7199999999914119E-2</v>
      </c>
      <c r="O70" s="93">
        <f>110455.5795/50000</f>
        <v>2.20911159</v>
      </c>
      <c r="P70" s="95">
        <v>5060000</v>
      </c>
      <c r="Q70" s="83"/>
      <c r="R70" s="93">
        <v>111.78104979299999</v>
      </c>
      <c r="S70" s="94">
        <f>2641.21423959828%/50000</f>
        <v>5.2824284791965599E-4</v>
      </c>
      <c r="T70" s="94">
        <f t="shared" si="0"/>
        <v>2.0221848435189945E-3</v>
      </c>
      <c r="U70" s="94">
        <f>R70/'סכום נכסי הקרן'!$C$42</f>
        <v>4.9576056795511635E-4</v>
      </c>
    </row>
    <row r="71" spans="2:21" s="127" customFormat="1">
      <c r="B71" s="86" t="s">
        <v>455</v>
      </c>
      <c r="C71" s="83" t="s">
        <v>456</v>
      </c>
      <c r="D71" s="96" t="s">
        <v>118</v>
      </c>
      <c r="E71" s="96" t="s">
        <v>311</v>
      </c>
      <c r="F71" s="83" t="s">
        <v>318</v>
      </c>
      <c r="G71" s="96" t="s">
        <v>319</v>
      </c>
      <c r="H71" s="83" t="s">
        <v>387</v>
      </c>
      <c r="I71" s="83" t="s">
        <v>315</v>
      </c>
      <c r="J71" s="83"/>
      <c r="K71" s="93">
        <v>5.5699999999831471</v>
      </c>
      <c r="L71" s="96" t="s">
        <v>162</v>
      </c>
      <c r="M71" s="97">
        <v>2.4199999999999999E-2</v>
      </c>
      <c r="N71" s="97">
        <v>1.9799999999967899E-2</v>
      </c>
      <c r="O71" s="93">
        <f>121203.845/50000</f>
        <v>2.4240769000000002</v>
      </c>
      <c r="P71" s="95">
        <v>5140250</v>
      </c>
      <c r="Q71" s="83"/>
      <c r="R71" s="93">
        <v>124.60360773000001</v>
      </c>
      <c r="S71" s="94">
        <f>420.510859383132%/50000</f>
        <v>8.4102171876626405E-5</v>
      </c>
      <c r="T71" s="94">
        <f t="shared" si="0"/>
        <v>2.2541524477181223E-3</v>
      </c>
      <c r="U71" s="94">
        <f>R71/'סכום נכסי הקרן'!$C$42</f>
        <v>5.5262994444832761E-4</v>
      </c>
    </row>
    <row r="72" spans="2:21" s="127" customFormat="1">
      <c r="B72" s="86" t="s">
        <v>457</v>
      </c>
      <c r="C72" s="83" t="s">
        <v>458</v>
      </c>
      <c r="D72" s="96" t="s">
        <v>118</v>
      </c>
      <c r="E72" s="96" t="s">
        <v>311</v>
      </c>
      <c r="F72" s="83" t="s">
        <v>318</v>
      </c>
      <c r="G72" s="96" t="s">
        <v>319</v>
      </c>
      <c r="H72" s="83" t="s">
        <v>387</v>
      </c>
      <c r="I72" s="83" t="s">
        <v>158</v>
      </c>
      <c r="J72" s="83"/>
      <c r="K72" s="93">
        <v>1.3199999999984258</v>
      </c>
      <c r="L72" s="96" t="s">
        <v>162</v>
      </c>
      <c r="M72" s="97">
        <v>0.05</v>
      </c>
      <c r="N72" s="97">
        <v>-6.8999999999947523E-3</v>
      </c>
      <c r="O72" s="93">
        <v>382564.63192100002</v>
      </c>
      <c r="P72" s="95">
        <v>119.55</v>
      </c>
      <c r="Q72" s="83"/>
      <c r="R72" s="93">
        <v>457.35603109599998</v>
      </c>
      <c r="S72" s="94">
        <v>3.8256501448601451E-4</v>
      </c>
      <c r="T72" s="94">
        <f t="shared" si="0"/>
        <v>8.2738392230795651E-3</v>
      </c>
      <c r="U72" s="94">
        <f>R72/'סכום נכסי הקרן'!$C$42</f>
        <v>2.0284215093142716E-3</v>
      </c>
    </row>
    <row r="73" spans="2:21" s="127" customFormat="1">
      <c r="B73" s="86" t="s">
        <v>459</v>
      </c>
      <c r="C73" s="83" t="s">
        <v>460</v>
      </c>
      <c r="D73" s="96" t="s">
        <v>118</v>
      </c>
      <c r="E73" s="96" t="s">
        <v>311</v>
      </c>
      <c r="F73" s="83" t="s">
        <v>461</v>
      </c>
      <c r="G73" s="96" t="s">
        <v>369</v>
      </c>
      <c r="H73" s="83" t="s">
        <v>387</v>
      </c>
      <c r="I73" s="83" t="s">
        <v>315</v>
      </c>
      <c r="J73" s="83"/>
      <c r="K73" s="93">
        <v>1.2200000000019033</v>
      </c>
      <c r="L73" s="96" t="s">
        <v>162</v>
      </c>
      <c r="M73" s="97">
        <v>5.0999999999999997E-2</v>
      </c>
      <c r="N73" s="97">
        <v>-1.1499999999994053E-2</v>
      </c>
      <c r="O73" s="93">
        <v>138641.916734</v>
      </c>
      <c r="P73" s="95">
        <v>121.27</v>
      </c>
      <c r="Q73" s="83"/>
      <c r="R73" s="93">
        <v>168.131054694</v>
      </c>
      <c r="S73" s="94">
        <v>3.043763819188799E-4</v>
      </c>
      <c r="T73" s="94">
        <f t="shared" si="0"/>
        <v>3.0415895284279311E-3</v>
      </c>
      <c r="U73" s="94">
        <f>R73/'סכום נכסי הקרן'!$C$42</f>
        <v>7.4567869348467967E-4</v>
      </c>
    </row>
    <row r="74" spans="2:21" s="127" customFormat="1">
      <c r="B74" s="86" t="s">
        <v>462</v>
      </c>
      <c r="C74" s="83" t="s">
        <v>463</v>
      </c>
      <c r="D74" s="96" t="s">
        <v>118</v>
      </c>
      <c r="E74" s="96" t="s">
        <v>311</v>
      </c>
      <c r="F74" s="83" t="s">
        <v>461</v>
      </c>
      <c r="G74" s="96" t="s">
        <v>369</v>
      </c>
      <c r="H74" s="83" t="s">
        <v>387</v>
      </c>
      <c r="I74" s="83" t="s">
        <v>315</v>
      </c>
      <c r="J74" s="83"/>
      <c r="K74" s="93">
        <v>2.5899999999973344</v>
      </c>
      <c r="L74" s="96" t="s">
        <v>162</v>
      </c>
      <c r="M74" s="97">
        <v>2.5499999999999998E-2</v>
      </c>
      <c r="N74" s="97">
        <v>-4.0000000000037271E-3</v>
      </c>
      <c r="O74" s="93">
        <v>488449.85805400001</v>
      </c>
      <c r="P74" s="95">
        <v>109.84</v>
      </c>
      <c r="Q74" s="83"/>
      <c r="R74" s="93">
        <v>536.51333387700004</v>
      </c>
      <c r="S74" s="94">
        <v>5.6322423130893574E-4</v>
      </c>
      <c r="T74" s="94">
        <f t="shared" si="0"/>
        <v>9.7058413221295086E-3</v>
      </c>
      <c r="U74" s="94">
        <f>R74/'סכום נכסי הקרן'!$C$42</f>
        <v>2.3794923702265226E-3</v>
      </c>
    </row>
    <row r="75" spans="2:21" s="127" customFormat="1">
      <c r="B75" s="86" t="s">
        <v>464</v>
      </c>
      <c r="C75" s="83" t="s">
        <v>465</v>
      </c>
      <c r="D75" s="96" t="s">
        <v>118</v>
      </c>
      <c r="E75" s="96" t="s">
        <v>311</v>
      </c>
      <c r="F75" s="83" t="s">
        <v>461</v>
      </c>
      <c r="G75" s="96" t="s">
        <v>369</v>
      </c>
      <c r="H75" s="83" t="s">
        <v>387</v>
      </c>
      <c r="I75" s="83" t="s">
        <v>315</v>
      </c>
      <c r="J75" s="83"/>
      <c r="K75" s="93">
        <v>6.8300000000044756</v>
      </c>
      <c r="L75" s="96" t="s">
        <v>162</v>
      </c>
      <c r="M75" s="97">
        <v>2.35E-2</v>
      </c>
      <c r="N75" s="97">
        <v>1.3400000000002769E-2</v>
      </c>
      <c r="O75" s="93">
        <v>391547.82924000005</v>
      </c>
      <c r="P75" s="95">
        <v>108.37</v>
      </c>
      <c r="Q75" s="93">
        <v>8.876099043</v>
      </c>
      <c r="R75" s="93">
        <v>433.49191178199999</v>
      </c>
      <c r="S75" s="94">
        <v>4.9351448955341139E-4</v>
      </c>
      <c r="T75" s="94">
        <f t="shared" si="0"/>
        <v>7.8421232884907863E-3</v>
      </c>
      <c r="U75" s="94">
        <f>R75/'סכום נכסי הקרן'!$C$42</f>
        <v>1.9225816610862745E-3</v>
      </c>
    </row>
    <row r="76" spans="2:21" s="127" customFormat="1">
      <c r="B76" s="86" t="s">
        <v>466</v>
      </c>
      <c r="C76" s="83" t="s">
        <v>467</v>
      </c>
      <c r="D76" s="96" t="s">
        <v>118</v>
      </c>
      <c r="E76" s="96" t="s">
        <v>311</v>
      </c>
      <c r="F76" s="83" t="s">
        <v>461</v>
      </c>
      <c r="G76" s="96" t="s">
        <v>369</v>
      </c>
      <c r="H76" s="83" t="s">
        <v>387</v>
      </c>
      <c r="I76" s="83" t="s">
        <v>315</v>
      </c>
      <c r="J76" s="83"/>
      <c r="K76" s="93">
        <v>5.5799999999988392</v>
      </c>
      <c r="L76" s="96" t="s">
        <v>162</v>
      </c>
      <c r="M76" s="97">
        <v>1.7600000000000001E-2</v>
      </c>
      <c r="N76" s="97">
        <v>1.0199999999999057E-2</v>
      </c>
      <c r="O76" s="93">
        <v>599095.24273900001</v>
      </c>
      <c r="P76" s="95">
        <v>106.3</v>
      </c>
      <c r="Q76" s="83"/>
      <c r="R76" s="93">
        <v>636.83822835299998</v>
      </c>
      <c r="S76" s="94">
        <v>4.5873373987429878E-4</v>
      </c>
      <c r="T76" s="94">
        <f t="shared" ref="T76:T139" si="1">R76/$R$11</f>
        <v>1.152077758737931E-2</v>
      </c>
      <c r="U76" s="94">
        <f>R76/'סכום נכסי הקרן'!$C$42</f>
        <v>2.8244436992537927E-3</v>
      </c>
    </row>
    <row r="77" spans="2:21" s="127" customFormat="1">
      <c r="B77" s="86" t="s">
        <v>468</v>
      </c>
      <c r="C77" s="83" t="s">
        <v>469</v>
      </c>
      <c r="D77" s="96" t="s">
        <v>118</v>
      </c>
      <c r="E77" s="96" t="s">
        <v>311</v>
      </c>
      <c r="F77" s="83" t="s">
        <v>461</v>
      </c>
      <c r="G77" s="96" t="s">
        <v>369</v>
      </c>
      <c r="H77" s="83" t="s">
        <v>387</v>
      </c>
      <c r="I77" s="83" t="s">
        <v>315</v>
      </c>
      <c r="J77" s="83"/>
      <c r="K77" s="93">
        <v>6.0899999999955927</v>
      </c>
      <c r="L77" s="96" t="s">
        <v>162</v>
      </c>
      <c r="M77" s="97">
        <v>2.1499999999999998E-2</v>
      </c>
      <c r="N77" s="97">
        <v>1.0800000000000847E-2</v>
      </c>
      <c r="O77" s="93">
        <v>430708.95135699993</v>
      </c>
      <c r="P77" s="95">
        <v>109.58</v>
      </c>
      <c r="Q77" s="83"/>
      <c r="R77" s="93">
        <v>471.97086221200004</v>
      </c>
      <c r="S77" s="94">
        <v>5.4356175045250593E-4</v>
      </c>
      <c r="T77" s="94">
        <f t="shared" si="1"/>
        <v>8.5382301017490163E-3</v>
      </c>
      <c r="U77" s="94">
        <f>R77/'סכום נכסי הקרן'!$C$42</f>
        <v>2.0932398035426194E-3</v>
      </c>
    </row>
    <row r="78" spans="2:21" s="127" customFormat="1">
      <c r="B78" s="86" t="s">
        <v>470</v>
      </c>
      <c r="C78" s="83" t="s">
        <v>471</v>
      </c>
      <c r="D78" s="96" t="s">
        <v>118</v>
      </c>
      <c r="E78" s="96" t="s">
        <v>311</v>
      </c>
      <c r="F78" s="83" t="s">
        <v>472</v>
      </c>
      <c r="G78" s="96" t="s">
        <v>436</v>
      </c>
      <c r="H78" s="83" t="s">
        <v>387</v>
      </c>
      <c r="I78" s="83" t="s">
        <v>158</v>
      </c>
      <c r="J78" s="83"/>
      <c r="K78" s="93">
        <v>0.28000000001963848</v>
      </c>
      <c r="L78" s="96" t="s">
        <v>162</v>
      </c>
      <c r="M78" s="97">
        <v>4.2800000000000005E-2</v>
      </c>
      <c r="N78" s="97">
        <v>-8.199999999873751E-3</v>
      </c>
      <c r="O78" s="93">
        <v>11321.043857000001</v>
      </c>
      <c r="P78" s="95">
        <v>125.94</v>
      </c>
      <c r="Q78" s="83"/>
      <c r="R78" s="93">
        <v>14.257723199000001</v>
      </c>
      <c r="S78" s="94">
        <v>1.5827350843908674E-4</v>
      </c>
      <c r="T78" s="94">
        <f t="shared" si="1"/>
        <v>2.5793058670945198E-4</v>
      </c>
      <c r="U78" s="94">
        <f>R78/'סכום נכסי הקרן'!$C$42</f>
        <v>6.323448351909931E-5</v>
      </c>
    </row>
    <row r="79" spans="2:21" s="127" customFormat="1">
      <c r="B79" s="86" t="s">
        <v>473</v>
      </c>
      <c r="C79" s="83" t="s">
        <v>474</v>
      </c>
      <c r="D79" s="96" t="s">
        <v>118</v>
      </c>
      <c r="E79" s="96" t="s">
        <v>311</v>
      </c>
      <c r="F79" s="83" t="s">
        <v>423</v>
      </c>
      <c r="G79" s="96" t="s">
        <v>319</v>
      </c>
      <c r="H79" s="83" t="s">
        <v>387</v>
      </c>
      <c r="I79" s="83" t="s">
        <v>158</v>
      </c>
      <c r="J79" s="83"/>
      <c r="K79" s="93">
        <v>0.67000000001168536</v>
      </c>
      <c r="L79" s="96" t="s">
        <v>162</v>
      </c>
      <c r="M79" s="97">
        <v>5.2499999999999998E-2</v>
      </c>
      <c r="N79" s="97">
        <v>-1.260000000017872E-2</v>
      </c>
      <c r="O79" s="93">
        <v>33272.984725000002</v>
      </c>
      <c r="P79" s="95">
        <v>131.16999999999999</v>
      </c>
      <c r="Q79" s="83"/>
      <c r="R79" s="93">
        <v>43.644175847</v>
      </c>
      <c r="S79" s="94">
        <v>2.7727487270833338E-4</v>
      </c>
      <c r="T79" s="94">
        <f t="shared" si="1"/>
        <v>7.8954877476207085E-4</v>
      </c>
      <c r="U79" s="94">
        <f>R79/'סכום נכסי הקרן'!$C$42</f>
        <v>1.9356645375857487E-4</v>
      </c>
    </row>
    <row r="80" spans="2:21" s="127" customFormat="1">
      <c r="B80" s="86" t="s">
        <v>475</v>
      </c>
      <c r="C80" s="83" t="s">
        <v>476</v>
      </c>
      <c r="D80" s="96" t="s">
        <v>118</v>
      </c>
      <c r="E80" s="96" t="s">
        <v>311</v>
      </c>
      <c r="F80" s="83" t="s">
        <v>339</v>
      </c>
      <c r="G80" s="96" t="s">
        <v>319</v>
      </c>
      <c r="H80" s="83" t="s">
        <v>387</v>
      </c>
      <c r="I80" s="83" t="s">
        <v>315</v>
      </c>
      <c r="J80" s="83"/>
      <c r="K80" s="93">
        <v>1.2100000000006925</v>
      </c>
      <c r="L80" s="96" t="s">
        <v>162</v>
      </c>
      <c r="M80" s="97">
        <v>6.5000000000000002E-2</v>
      </c>
      <c r="N80" s="97">
        <v>-8.4000000000067146E-3</v>
      </c>
      <c r="O80" s="93">
        <v>773433.28869700001</v>
      </c>
      <c r="P80" s="95">
        <v>121.44</v>
      </c>
      <c r="Q80" s="93">
        <v>13.972336807</v>
      </c>
      <c r="R80" s="93">
        <v>953.22977855399995</v>
      </c>
      <c r="S80" s="94">
        <v>4.9106875472825396E-4</v>
      </c>
      <c r="T80" s="94">
        <f t="shared" si="1"/>
        <v>1.7244486557895771E-2</v>
      </c>
      <c r="U80" s="94">
        <f>R80/'סכום נכסי הקרן'!$C$42</f>
        <v>4.2276730920204194E-3</v>
      </c>
    </row>
    <row r="81" spans="2:21" s="127" customFormat="1">
      <c r="B81" s="86" t="s">
        <v>477</v>
      </c>
      <c r="C81" s="83" t="s">
        <v>478</v>
      </c>
      <c r="D81" s="96" t="s">
        <v>118</v>
      </c>
      <c r="E81" s="96" t="s">
        <v>311</v>
      </c>
      <c r="F81" s="83" t="s">
        <v>479</v>
      </c>
      <c r="G81" s="96" t="s">
        <v>369</v>
      </c>
      <c r="H81" s="83" t="s">
        <v>387</v>
      </c>
      <c r="I81" s="83" t="s">
        <v>315</v>
      </c>
      <c r="J81" s="83"/>
      <c r="K81" s="93">
        <v>7.8299999999815029</v>
      </c>
      <c r="L81" s="96" t="s">
        <v>162</v>
      </c>
      <c r="M81" s="97">
        <v>3.5000000000000003E-2</v>
      </c>
      <c r="N81" s="97">
        <v>1.4799999999965587E-2</v>
      </c>
      <c r="O81" s="93">
        <v>78308.905125000005</v>
      </c>
      <c r="P81" s="95">
        <v>118.74</v>
      </c>
      <c r="Q81" s="83"/>
      <c r="R81" s="93">
        <v>92.984001284000001</v>
      </c>
      <c r="S81" s="94">
        <v>2.8911498831672618E-4</v>
      </c>
      <c r="T81" s="94">
        <f t="shared" si="1"/>
        <v>1.682135195853479E-3</v>
      </c>
      <c r="U81" s="94">
        <f>R81/'סכום נכסי הקרן'!$C$42</f>
        <v>4.1239370512855802E-4</v>
      </c>
    </row>
    <row r="82" spans="2:21" s="127" customFormat="1">
      <c r="B82" s="86" t="s">
        <v>480</v>
      </c>
      <c r="C82" s="83" t="s">
        <v>481</v>
      </c>
      <c r="D82" s="96" t="s">
        <v>118</v>
      </c>
      <c r="E82" s="96" t="s">
        <v>311</v>
      </c>
      <c r="F82" s="83" t="s">
        <v>479</v>
      </c>
      <c r="G82" s="96" t="s">
        <v>369</v>
      </c>
      <c r="H82" s="83" t="s">
        <v>387</v>
      </c>
      <c r="I82" s="83" t="s">
        <v>315</v>
      </c>
      <c r="J82" s="83"/>
      <c r="K82" s="93">
        <v>1.1600000000000001</v>
      </c>
      <c r="L82" s="96" t="s">
        <v>162</v>
      </c>
      <c r="M82" s="97">
        <v>3.9E-2</v>
      </c>
      <c r="N82" s="97">
        <v>-9.8999999999999991E-3</v>
      </c>
      <c r="O82" s="93">
        <v>0.17</v>
      </c>
      <c r="P82" s="95">
        <v>113.93</v>
      </c>
      <c r="Q82" s="83"/>
      <c r="R82" s="93">
        <v>1.9000000000000001E-4</v>
      </c>
      <c r="S82" s="94">
        <v>1.5493583651316354E-9</v>
      </c>
      <c r="T82" s="94">
        <f t="shared" si="1"/>
        <v>3.4372115933793056E-9</v>
      </c>
      <c r="U82" s="94">
        <f>R82/'סכום נכסי הקרן'!$C$42</f>
        <v>8.4266973772302854E-10</v>
      </c>
    </row>
    <row r="83" spans="2:21" s="127" customFormat="1">
      <c r="B83" s="86" t="s">
        <v>482</v>
      </c>
      <c r="C83" s="83" t="s">
        <v>483</v>
      </c>
      <c r="D83" s="96" t="s">
        <v>118</v>
      </c>
      <c r="E83" s="96" t="s">
        <v>311</v>
      </c>
      <c r="F83" s="83" t="s">
        <v>479</v>
      </c>
      <c r="G83" s="96" t="s">
        <v>369</v>
      </c>
      <c r="H83" s="83" t="s">
        <v>387</v>
      </c>
      <c r="I83" s="83" t="s">
        <v>315</v>
      </c>
      <c r="J83" s="83"/>
      <c r="K83" s="93">
        <v>3.6800000000055531</v>
      </c>
      <c r="L83" s="96" t="s">
        <v>162</v>
      </c>
      <c r="M83" s="97">
        <v>0.04</v>
      </c>
      <c r="N83" s="97">
        <v>1.3999999999881015E-3</v>
      </c>
      <c r="O83" s="93">
        <v>131773.51503099999</v>
      </c>
      <c r="P83" s="95">
        <v>114.8</v>
      </c>
      <c r="Q83" s="83"/>
      <c r="R83" s="93">
        <v>151.275998187</v>
      </c>
      <c r="S83" s="94">
        <v>1.9269717884582956E-4</v>
      </c>
      <c r="T83" s="94">
        <f t="shared" si="1"/>
        <v>2.7366716566757008E-3</v>
      </c>
      <c r="U83" s="94">
        <f>R83/'סכום נכסי הקרן'!$C$42</f>
        <v>6.709247669264665E-4</v>
      </c>
    </row>
    <row r="84" spans="2:21" s="127" customFormat="1">
      <c r="B84" s="86" t="s">
        <v>484</v>
      </c>
      <c r="C84" s="83" t="s">
        <v>485</v>
      </c>
      <c r="D84" s="96" t="s">
        <v>118</v>
      </c>
      <c r="E84" s="96" t="s">
        <v>311</v>
      </c>
      <c r="F84" s="83" t="s">
        <v>479</v>
      </c>
      <c r="G84" s="96" t="s">
        <v>369</v>
      </c>
      <c r="H84" s="83" t="s">
        <v>387</v>
      </c>
      <c r="I84" s="83" t="s">
        <v>315</v>
      </c>
      <c r="J84" s="83"/>
      <c r="K84" s="93">
        <v>6.4300000000005388</v>
      </c>
      <c r="L84" s="96" t="s">
        <v>162</v>
      </c>
      <c r="M84" s="97">
        <v>0.04</v>
      </c>
      <c r="N84" s="97">
        <v>1.0999999999992283E-2</v>
      </c>
      <c r="O84" s="93">
        <v>429183.21658499999</v>
      </c>
      <c r="P84" s="95">
        <v>120.78</v>
      </c>
      <c r="Q84" s="83"/>
      <c r="R84" s="93">
        <v>518.36748480400001</v>
      </c>
      <c r="S84" s="94">
        <v>4.2653783829572233E-4</v>
      </c>
      <c r="T84" s="94">
        <f t="shared" si="1"/>
        <v>9.3775722547325257E-3</v>
      </c>
      <c r="U84" s="94">
        <f>R84/'סכום נכסי הקרן'!$C$42</f>
        <v>2.2990136445470142E-3</v>
      </c>
    </row>
    <row r="85" spans="2:21" s="127" customFormat="1">
      <c r="B85" s="86" t="s">
        <v>486</v>
      </c>
      <c r="C85" s="83" t="s">
        <v>487</v>
      </c>
      <c r="D85" s="96" t="s">
        <v>118</v>
      </c>
      <c r="E85" s="96" t="s">
        <v>311</v>
      </c>
      <c r="F85" s="83" t="s">
        <v>488</v>
      </c>
      <c r="G85" s="96" t="s">
        <v>489</v>
      </c>
      <c r="H85" s="83" t="s">
        <v>490</v>
      </c>
      <c r="I85" s="83" t="s">
        <v>315</v>
      </c>
      <c r="J85" s="83"/>
      <c r="K85" s="93">
        <v>7.920000000002803</v>
      </c>
      <c r="L85" s="96" t="s">
        <v>162</v>
      </c>
      <c r="M85" s="97">
        <v>5.1500000000000004E-2</v>
      </c>
      <c r="N85" s="97">
        <v>2.2300000000007009E-2</v>
      </c>
      <c r="O85" s="93">
        <v>972976.94383</v>
      </c>
      <c r="P85" s="95">
        <v>152.5</v>
      </c>
      <c r="Q85" s="83"/>
      <c r="R85" s="93">
        <v>1483.7897880520002</v>
      </c>
      <c r="S85" s="94">
        <v>2.7399913146975715E-4</v>
      </c>
      <c r="T85" s="94">
        <f t="shared" si="1"/>
        <v>2.6842628745421881E-2</v>
      </c>
      <c r="U85" s="94">
        <f>R85/'סכום נכסי הקרן'!$C$42</f>
        <v>6.5807618501783531E-3</v>
      </c>
    </row>
    <row r="86" spans="2:21" s="127" customFormat="1">
      <c r="B86" s="86" t="s">
        <v>491</v>
      </c>
      <c r="C86" s="83" t="s">
        <v>492</v>
      </c>
      <c r="D86" s="96" t="s">
        <v>118</v>
      </c>
      <c r="E86" s="96" t="s">
        <v>311</v>
      </c>
      <c r="F86" s="83" t="s">
        <v>409</v>
      </c>
      <c r="G86" s="96" t="s">
        <v>369</v>
      </c>
      <c r="H86" s="83" t="s">
        <v>490</v>
      </c>
      <c r="I86" s="83" t="s">
        <v>158</v>
      </c>
      <c r="J86" s="83"/>
      <c r="K86" s="93">
        <v>2.5199999999947553</v>
      </c>
      <c r="L86" s="96" t="s">
        <v>162</v>
      </c>
      <c r="M86" s="97">
        <v>2.8500000000000001E-2</v>
      </c>
      <c r="N86" s="97">
        <v>-5.0000000003278032E-4</v>
      </c>
      <c r="O86" s="93">
        <v>125850.45579500002</v>
      </c>
      <c r="P86" s="95">
        <v>109.08</v>
      </c>
      <c r="Q86" s="83"/>
      <c r="R86" s="93">
        <v>137.27767641099999</v>
      </c>
      <c r="S86" s="94">
        <v>2.7437477610112838E-4</v>
      </c>
      <c r="T86" s="94">
        <f t="shared" si="1"/>
        <v>2.483433794063484E-3</v>
      </c>
      <c r="U86" s="94">
        <f>R86/'סכום נכסי הקרן'!$C$42</f>
        <v>6.0884075566570604E-4</v>
      </c>
    </row>
    <row r="87" spans="2:21" s="127" customFormat="1">
      <c r="B87" s="86" t="s">
        <v>493</v>
      </c>
      <c r="C87" s="83" t="s">
        <v>494</v>
      </c>
      <c r="D87" s="96" t="s">
        <v>118</v>
      </c>
      <c r="E87" s="96" t="s">
        <v>311</v>
      </c>
      <c r="F87" s="83" t="s">
        <v>409</v>
      </c>
      <c r="G87" s="96" t="s">
        <v>369</v>
      </c>
      <c r="H87" s="83" t="s">
        <v>490</v>
      </c>
      <c r="I87" s="83" t="s">
        <v>158</v>
      </c>
      <c r="J87" s="83"/>
      <c r="K87" s="93">
        <v>0.77000000000495361</v>
      </c>
      <c r="L87" s="96" t="s">
        <v>162</v>
      </c>
      <c r="M87" s="97">
        <v>3.7699999999999997E-2</v>
      </c>
      <c r="N87" s="97">
        <v>-1.5099999999986855E-2</v>
      </c>
      <c r="O87" s="93">
        <v>86399.720472999994</v>
      </c>
      <c r="P87" s="95">
        <v>114.49</v>
      </c>
      <c r="Q87" s="83"/>
      <c r="R87" s="93">
        <v>98.919042463000011</v>
      </c>
      <c r="S87" s="94">
        <v>2.5309108323512766E-4</v>
      </c>
      <c r="T87" s="94">
        <f t="shared" si="1"/>
        <v>1.7895035766305443E-3</v>
      </c>
      <c r="U87" s="94">
        <f>R87/'סכום נכסי הקרן'!$C$42</f>
        <v>4.3871622930583866E-4</v>
      </c>
    </row>
    <row r="88" spans="2:21" s="127" customFormat="1">
      <c r="B88" s="86" t="s">
        <v>495</v>
      </c>
      <c r="C88" s="83" t="s">
        <v>496</v>
      </c>
      <c r="D88" s="96" t="s">
        <v>118</v>
      </c>
      <c r="E88" s="96" t="s">
        <v>311</v>
      </c>
      <c r="F88" s="83" t="s">
        <v>409</v>
      </c>
      <c r="G88" s="96" t="s">
        <v>369</v>
      </c>
      <c r="H88" s="83" t="s">
        <v>490</v>
      </c>
      <c r="I88" s="83" t="s">
        <v>158</v>
      </c>
      <c r="J88" s="83"/>
      <c r="K88" s="93">
        <v>4.389999999999417</v>
      </c>
      <c r="L88" s="96" t="s">
        <v>162</v>
      </c>
      <c r="M88" s="97">
        <v>2.5000000000000001E-2</v>
      </c>
      <c r="N88" s="97">
        <v>9.7000000000324865E-3</v>
      </c>
      <c r="O88" s="93">
        <v>111024.49147800001</v>
      </c>
      <c r="P88" s="95">
        <v>108.13</v>
      </c>
      <c r="Q88" s="83"/>
      <c r="R88" s="93">
        <v>120.050779713</v>
      </c>
      <c r="S88" s="94">
        <v>2.3720766932517023E-4</v>
      </c>
      <c r="T88" s="94">
        <f t="shared" si="1"/>
        <v>2.1717891148618352E-3</v>
      </c>
      <c r="U88" s="94">
        <f>R88/'סכום נכסי הקרן'!$C$42</f>
        <v>5.3243767923262519E-4</v>
      </c>
    </row>
    <row r="89" spans="2:21" s="127" customFormat="1">
      <c r="B89" s="86" t="s">
        <v>497</v>
      </c>
      <c r="C89" s="83" t="s">
        <v>498</v>
      </c>
      <c r="D89" s="96" t="s">
        <v>118</v>
      </c>
      <c r="E89" s="96" t="s">
        <v>311</v>
      </c>
      <c r="F89" s="83" t="s">
        <v>409</v>
      </c>
      <c r="G89" s="96" t="s">
        <v>369</v>
      </c>
      <c r="H89" s="83" t="s">
        <v>490</v>
      </c>
      <c r="I89" s="83" t="s">
        <v>158</v>
      </c>
      <c r="J89" s="83"/>
      <c r="K89" s="93">
        <v>5.2600000000080316</v>
      </c>
      <c r="L89" s="96" t="s">
        <v>162</v>
      </c>
      <c r="M89" s="97">
        <v>1.34E-2</v>
      </c>
      <c r="N89" s="97">
        <v>8.7999999999965068E-3</v>
      </c>
      <c r="O89" s="93">
        <v>110031.174</v>
      </c>
      <c r="P89" s="95">
        <v>104.1</v>
      </c>
      <c r="Q89" s="83"/>
      <c r="R89" s="93">
        <v>114.542443608</v>
      </c>
      <c r="S89" s="94">
        <v>3.2138604907927076E-4</v>
      </c>
      <c r="T89" s="94">
        <f t="shared" si="1"/>
        <v>2.0721400794916469E-3</v>
      </c>
      <c r="U89" s="94">
        <f>R89/'סכום נכסי הקרן'!$C$42</f>
        <v>5.0800763638583237E-4</v>
      </c>
    </row>
    <row r="90" spans="2:21" s="127" customFormat="1">
      <c r="B90" s="86" t="s">
        <v>499</v>
      </c>
      <c r="C90" s="83" t="s">
        <v>500</v>
      </c>
      <c r="D90" s="96" t="s">
        <v>118</v>
      </c>
      <c r="E90" s="96" t="s">
        <v>311</v>
      </c>
      <c r="F90" s="83" t="s">
        <v>409</v>
      </c>
      <c r="G90" s="96" t="s">
        <v>369</v>
      </c>
      <c r="H90" s="83" t="s">
        <v>490</v>
      </c>
      <c r="I90" s="83" t="s">
        <v>158</v>
      </c>
      <c r="J90" s="83"/>
      <c r="K90" s="93">
        <v>5.4600000000083346</v>
      </c>
      <c r="L90" s="96" t="s">
        <v>162</v>
      </c>
      <c r="M90" s="97">
        <v>1.95E-2</v>
      </c>
      <c r="N90" s="97">
        <v>1.4999999999999999E-2</v>
      </c>
      <c r="O90" s="93">
        <v>189262.626724</v>
      </c>
      <c r="P90" s="95">
        <v>103.97</v>
      </c>
      <c r="Q90" s="83"/>
      <c r="R90" s="93">
        <v>196.776359966</v>
      </c>
      <c r="S90" s="94">
        <v>2.7714824059729877E-4</v>
      </c>
      <c r="T90" s="94">
        <f t="shared" si="1"/>
        <v>3.5597999251479715E-3</v>
      </c>
      <c r="U90" s="94">
        <f>R90/'סכום נכסי הקרן'!$C$42</f>
        <v>8.7272359811916569E-4</v>
      </c>
    </row>
    <row r="91" spans="2:21" s="127" customFormat="1">
      <c r="B91" s="86" t="s">
        <v>501</v>
      </c>
      <c r="C91" s="83" t="s">
        <v>502</v>
      </c>
      <c r="D91" s="96" t="s">
        <v>118</v>
      </c>
      <c r="E91" s="96" t="s">
        <v>311</v>
      </c>
      <c r="F91" s="83" t="s">
        <v>409</v>
      </c>
      <c r="G91" s="96" t="s">
        <v>369</v>
      </c>
      <c r="H91" s="83" t="s">
        <v>490</v>
      </c>
      <c r="I91" s="83" t="s">
        <v>158</v>
      </c>
      <c r="J91" s="83"/>
      <c r="K91" s="93">
        <v>6.5299999999923966</v>
      </c>
      <c r="L91" s="96" t="s">
        <v>162</v>
      </c>
      <c r="M91" s="97">
        <v>3.3500000000000002E-2</v>
      </c>
      <c r="N91" s="97">
        <v>2.1099999999969431E-2</v>
      </c>
      <c r="O91" s="93">
        <v>117761.898845</v>
      </c>
      <c r="P91" s="95">
        <v>108.34</v>
      </c>
      <c r="Q91" s="83"/>
      <c r="R91" s="93">
        <v>127.583246449</v>
      </c>
      <c r="S91" s="94">
        <v>4.3615518090740741E-4</v>
      </c>
      <c r="T91" s="94">
        <f t="shared" si="1"/>
        <v>2.3080558621866943E-3</v>
      </c>
      <c r="U91" s="94">
        <f>R91/'סכום נכסי הקרן'!$C$42</f>
        <v>5.6584495170016499E-4</v>
      </c>
    </row>
    <row r="92" spans="2:21" s="127" customFormat="1">
      <c r="B92" s="86" t="s">
        <v>503</v>
      </c>
      <c r="C92" s="83" t="s">
        <v>504</v>
      </c>
      <c r="D92" s="96" t="s">
        <v>118</v>
      </c>
      <c r="E92" s="96" t="s">
        <v>311</v>
      </c>
      <c r="F92" s="83" t="s">
        <v>505</v>
      </c>
      <c r="G92" s="96" t="s">
        <v>369</v>
      </c>
      <c r="H92" s="83" t="s">
        <v>490</v>
      </c>
      <c r="I92" s="83" t="s">
        <v>315</v>
      </c>
      <c r="J92" s="83"/>
      <c r="K92" s="93">
        <v>0.77999999999999992</v>
      </c>
      <c r="L92" s="96" t="s">
        <v>162</v>
      </c>
      <c r="M92" s="97">
        <v>4.8000000000000001E-2</v>
      </c>
      <c r="N92" s="97">
        <v>-1.1299999999999999E-2</v>
      </c>
      <c r="O92" s="93">
        <v>0.05</v>
      </c>
      <c r="P92" s="95">
        <v>111.34</v>
      </c>
      <c r="Q92" s="83"/>
      <c r="R92" s="93">
        <v>5.0000000000000002E-5</v>
      </c>
      <c r="S92" s="94">
        <v>4.3706293706293709E-10</v>
      </c>
      <c r="T92" s="94">
        <f t="shared" si="1"/>
        <v>9.0452936667876465E-10</v>
      </c>
      <c r="U92" s="94">
        <f>R92/'סכום נכסי הקרן'!$C$42</f>
        <v>2.217551941376391E-10</v>
      </c>
    </row>
    <row r="93" spans="2:21" s="127" customFormat="1">
      <c r="B93" s="86" t="s">
        <v>506</v>
      </c>
      <c r="C93" s="83" t="s">
        <v>507</v>
      </c>
      <c r="D93" s="96" t="s">
        <v>118</v>
      </c>
      <c r="E93" s="96" t="s">
        <v>311</v>
      </c>
      <c r="F93" s="83" t="s">
        <v>505</v>
      </c>
      <c r="G93" s="96" t="s">
        <v>369</v>
      </c>
      <c r="H93" s="83" t="s">
        <v>490</v>
      </c>
      <c r="I93" s="83" t="s">
        <v>315</v>
      </c>
      <c r="J93" s="83"/>
      <c r="K93" s="93">
        <v>3.4299999999999997</v>
      </c>
      <c r="L93" s="96" t="s">
        <v>162</v>
      </c>
      <c r="M93" s="97">
        <v>3.2899999999999999E-2</v>
      </c>
      <c r="N93" s="97">
        <v>3.9000000000000003E-3</v>
      </c>
      <c r="O93" s="93">
        <v>0.47</v>
      </c>
      <c r="P93" s="95">
        <v>112.44</v>
      </c>
      <c r="Q93" s="83"/>
      <c r="R93" s="93">
        <v>5.4000000000000001E-4</v>
      </c>
      <c r="S93" s="94">
        <v>2.4736842105263156E-9</v>
      </c>
      <c r="T93" s="94">
        <f t="shared" si="1"/>
        <v>9.7689171601306569E-9</v>
      </c>
      <c r="U93" s="94">
        <f>R93/'סכום נכסי הקרן'!$C$42</f>
        <v>2.394956096686502E-9</v>
      </c>
    </row>
    <row r="94" spans="2:21" s="127" customFormat="1">
      <c r="B94" s="86" t="s">
        <v>508</v>
      </c>
      <c r="C94" s="83" t="s">
        <v>509</v>
      </c>
      <c r="D94" s="96" t="s">
        <v>118</v>
      </c>
      <c r="E94" s="96" t="s">
        <v>311</v>
      </c>
      <c r="F94" s="83" t="s">
        <v>510</v>
      </c>
      <c r="G94" s="96" t="s">
        <v>369</v>
      </c>
      <c r="H94" s="83" t="s">
        <v>490</v>
      </c>
      <c r="I94" s="83" t="s">
        <v>158</v>
      </c>
      <c r="J94" s="83"/>
      <c r="K94" s="93">
        <v>0.50000000003339962</v>
      </c>
      <c r="L94" s="96" t="s">
        <v>162</v>
      </c>
      <c r="M94" s="97">
        <v>6.5000000000000002E-2</v>
      </c>
      <c r="N94" s="97">
        <v>-2.9300000000367393E-2</v>
      </c>
      <c r="O94" s="93">
        <v>12622.446908</v>
      </c>
      <c r="P94" s="95">
        <v>118.6</v>
      </c>
      <c r="Q94" s="83"/>
      <c r="R94" s="93">
        <v>14.970221965</v>
      </c>
      <c r="S94" s="94">
        <v>6.8507330326032057E-5</v>
      </c>
      <c r="T94" s="94">
        <f t="shared" si="1"/>
        <v>2.7082010786083963E-4</v>
      </c>
      <c r="U94" s="94">
        <f>R94/'סכום נכסי הקרן'!$C$42</f>
        <v>6.6394489562642475E-5</v>
      </c>
    </row>
    <row r="95" spans="2:21" s="127" customFormat="1">
      <c r="B95" s="86" t="s">
        <v>511</v>
      </c>
      <c r="C95" s="83" t="s">
        <v>512</v>
      </c>
      <c r="D95" s="96" t="s">
        <v>118</v>
      </c>
      <c r="E95" s="96" t="s">
        <v>311</v>
      </c>
      <c r="F95" s="83" t="s">
        <v>510</v>
      </c>
      <c r="G95" s="96" t="s">
        <v>369</v>
      </c>
      <c r="H95" s="83" t="s">
        <v>490</v>
      </c>
      <c r="I95" s="83" t="s">
        <v>158</v>
      </c>
      <c r="J95" s="83"/>
      <c r="K95" s="93">
        <v>6.0099999999807423</v>
      </c>
      <c r="L95" s="96" t="s">
        <v>162</v>
      </c>
      <c r="M95" s="97">
        <v>0.04</v>
      </c>
      <c r="N95" s="97">
        <v>2.2999999999900256E-2</v>
      </c>
      <c r="O95" s="93">
        <v>116956.483532</v>
      </c>
      <c r="P95" s="95">
        <v>111.44</v>
      </c>
      <c r="Q95" s="83"/>
      <c r="R95" s="93">
        <v>130.33630655100001</v>
      </c>
      <c r="S95" s="94">
        <v>3.9541701261173418E-5</v>
      </c>
      <c r="T95" s="94">
        <f t="shared" si="1"/>
        <v>2.3578603363965068E-3</v>
      </c>
      <c r="U95" s="94">
        <f>R95/'סכום נכסי הקרן'!$C$42</f>
        <v>5.7805505924799698E-4</v>
      </c>
    </row>
    <row r="96" spans="2:21" s="127" customFormat="1">
      <c r="B96" s="86" t="s">
        <v>513</v>
      </c>
      <c r="C96" s="83" t="s">
        <v>514</v>
      </c>
      <c r="D96" s="96" t="s">
        <v>118</v>
      </c>
      <c r="E96" s="96" t="s">
        <v>311</v>
      </c>
      <c r="F96" s="83" t="s">
        <v>510</v>
      </c>
      <c r="G96" s="96" t="s">
        <v>369</v>
      </c>
      <c r="H96" s="83" t="s">
        <v>490</v>
      </c>
      <c r="I96" s="83" t="s">
        <v>158</v>
      </c>
      <c r="J96" s="83"/>
      <c r="K96" s="93">
        <v>6.2899999999915455</v>
      </c>
      <c r="L96" s="96" t="s">
        <v>162</v>
      </c>
      <c r="M96" s="97">
        <v>2.7799999999999998E-2</v>
      </c>
      <c r="N96" s="97">
        <v>2.4599999999966683E-2</v>
      </c>
      <c r="O96" s="93">
        <v>305514.65834199998</v>
      </c>
      <c r="P96" s="95">
        <v>104.14</v>
      </c>
      <c r="Q96" s="83"/>
      <c r="R96" s="93">
        <v>318.16297176099999</v>
      </c>
      <c r="S96" s="94">
        <v>1.6962576319158739E-4</v>
      </c>
      <c r="T96" s="94">
        <f t="shared" si="1"/>
        <v>5.7557550269522195E-3</v>
      </c>
      <c r="U96" s="94">
        <f>R96/'סכום נכסי הקרן'!$C$42</f>
        <v>1.4110858314053747E-3</v>
      </c>
    </row>
    <row r="97" spans="2:21" s="127" customFormat="1">
      <c r="B97" s="86" t="s">
        <v>515</v>
      </c>
      <c r="C97" s="83" t="s">
        <v>516</v>
      </c>
      <c r="D97" s="96" t="s">
        <v>118</v>
      </c>
      <c r="E97" s="96" t="s">
        <v>311</v>
      </c>
      <c r="F97" s="83" t="s">
        <v>510</v>
      </c>
      <c r="G97" s="96" t="s">
        <v>369</v>
      </c>
      <c r="H97" s="83" t="s">
        <v>490</v>
      </c>
      <c r="I97" s="83" t="s">
        <v>158</v>
      </c>
      <c r="J97" s="83"/>
      <c r="K97" s="93">
        <v>1.5600000000161272</v>
      </c>
      <c r="L97" s="96" t="s">
        <v>162</v>
      </c>
      <c r="M97" s="97">
        <v>5.0999999999999997E-2</v>
      </c>
      <c r="N97" s="97">
        <v>-1.000000000828758E-4</v>
      </c>
      <c r="O97" s="93">
        <v>34805.581224000001</v>
      </c>
      <c r="P97" s="95">
        <v>128.27000000000001</v>
      </c>
      <c r="Q97" s="83"/>
      <c r="R97" s="93">
        <v>44.645118963000002</v>
      </c>
      <c r="S97" s="94">
        <v>2.9363383327292617E-5</v>
      </c>
      <c r="T97" s="94">
        <f t="shared" si="1"/>
        <v>8.0765642361800983E-4</v>
      </c>
      <c r="U97" s="94">
        <f>R97/'סכום נכסי הקרן'!$C$42</f>
        <v>1.9800574045876116E-4</v>
      </c>
    </row>
    <row r="98" spans="2:21" s="127" customFormat="1">
      <c r="B98" s="86" t="s">
        <v>517</v>
      </c>
      <c r="C98" s="83" t="s">
        <v>518</v>
      </c>
      <c r="D98" s="96" t="s">
        <v>118</v>
      </c>
      <c r="E98" s="96" t="s">
        <v>311</v>
      </c>
      <c r="F98" s="83" t="s">
        <v>423</v>
      </c>
      <c r="G98" s="96" t="s">
        <v>319</v>
      </c>
      <c r="H98" s="83" t="s">
        <v>490</v>
      </c>
      <c r="I98" s="83" t="s">
        <v>315</v>
      </c>
      <c r="J98" s="83"/>
      <c r="K98" s="93">
        <v>1.0199999999993776</v>
      </c>
      <c r="L98" s="96" t="s">
        <v>162</v>
      </c>
      <c r="M98" s="97">
        <v>6.4000000000000001E-2</v>
      </c>
      <c r="N98" s="97">
        <v>-9.2999999999918617E-3</v>
      </c>
      <c r="O98" s="93">
        <v>676433.95486399997</v>
      </c>
      <c r="P98" s="95">
        <v>123.5</v>
      </c>
      <c r="Q98" s="83"/>
      <c r="R98" s="93">
        <v>835.39596637599982</v>
      </c>
      <c r="S98" s="94">
        <v>5.4029112663016711E-4</v>
      </c>
      <c r="T98" s="94">
        <f t="shared" si="1"/>
        <v>1.5112803687841552E-2</v>
      </c>
      <c r="U98" s="94">
        <f>R98/'סכום נכסי הקרן'!$C$42</f>
        <v>3.7050678941102089E-3</v>
      </c>
    </row>
    <row r="99" spans="2:21" s="127" customFormat="1">
      <c r="B99" s="86" t="s">
        <v>519</v>
      </c>
      <c r="C99" s="83" t="s">
        <v>520</v>
      </c>
      <c r="D99" s="96" t="s">
        <v>118</v>
      </c>
      <c r="E99" s="96" t="s">
        <v>311</v>
      </c>
      <c r="F99" s="83" t="s">
        <v>435</v>
      </c>
      <c r="G99" s="96" t="s">
        <v>436</v>
      </c>
      <c r="H99" s="83" t="s">
        <v>490</v>
      </c>
      <c r="I99" s="83" t="s">
        <v>315</v>
      </c>
      <c r="J99" s="83"/>
      <c r="K99" s="93">
        <v>3.8700000000014789</v>
      </c>
      <c r="L99" s="96" t="s">
        <v>162</v>
      </c>
      <c r="M99" s="97">
        <v>3.85E-2</v>
      </c>
      <c r="N99" s="97">
        <v>-1.5000000000184961E-3</v>
      </c>
      <c r="O99" s="93">
        <v>88733.537190000003</v>
      </c>
      <c r="P99" s="95">
        <v>121.86</v>
      </c>
      <c r="Q99" s="83"/>
      <c r="R99" s="93">
        <v>108.13068803200001</v>
      </c>
      <c r="S99" s="94">
        <v>3.7042242917127537E-4</v>
      </c>
      <c r="T99" s="94">
        <f t="shared" si="1"/>
        <v>1.9561476552824807E-3</v>
      </c>
      <c r="U99" s="94">
        <f>R99/'סכום נכסי הקרן'!$C$42</f>
        <v>4.7957083433545296E-4</v>
      </c>
    </row>
    <row r="100" spans="2:21" s="127" customFormat="1">
      <c r="B100" s="86" t="s">
        <v>521</v>
      </c>
      <c r="C100" s="83" t="s">
        <v>522</v>
      </c>
      <c r="D100" s="96" t="s">
        <v>118</v>
      </c>
      <c r="E100" s="96" t="s">
        <v>311</v>
      </c>
      <c r="F100" s="83" t="s">
        <v>435</v>
      </c>
      <c r="G100" s="96" t="s">
        <v>436</v>
      </c>
      <c r="H100" s="83" t="s">
        <v>490</v>
      </c>
      <c r="I100" s="83" t="s">
        <v>315</v>
      </c>
      <c r="J100" s="83"/>
      <c r="K100" s="93">
        <v>1.1400000000026289</v>
      </c>
      <c r="L100" s="96" t="s">
        <v>162</v>
      </c>
      <c r="M100" s="97">
        <v>3.9E-2</v>
      </c>
      <c r="N100" s="97">
        <v>-9.7000000000569582E-3</v>
      </c>
      <c r="O100" s="93">
        <v>59060.002147000007</v>
      </c>
      <c r="P100" s="95">
        <v>115.93</v>
      </c>
      <c r="Q100" s="83"/>
      <c r="R100" s="93">
        <v>68.468257512999998</v>
      </c>
      <c r="S100" s="94">
        <v>2.9673546856417928E-4</v>
      </c>
      <c r="T100" s="94">
        <f t="shared" si="1"/>
        <v>1.2386309921166489E-3</v>
      </c>
      <c r="U100" s="94">
        <f>R100/'סכום נכסי הקרן'!$C$42</f>
        <v>3.0366383474122359E-4</v>
      </c>
    </row>
    <row r="101" spans="2:21" s="127" customFormat="1">
      <c r="B101" s="86" t="s">
        <v>523</v>
      </c>
      <c r="C101" s="83" t="s">
        <v>524</v>
      </c>
      <c r="D101" s="96" t="s">
        <v>118</v>
      </c>
      <c r="E101" s="96" t="s">
        <v>311</v>
      </c>
      <c r="F101" s="83" t="s">
        <v>435</v>
      </c>
      <c r="G101" s="96" t="s">
        <v>436</v>
      </c>
      <c r="H101" s="83" t="s">
        <v>490</v>
      </c>
      <c r="I101" s="83" t="s">
        <v>315</v>
      </c>
      <c r="J101" s="83"/>
      <c r="K101" s="93">
        <v>2.0800000000003513</v>
      </c>
      <c r="L101" s="96" t="s">
        <v>162</v>
      </c>
      <c r="M101" s="97">
        <v>3.9E-2</v>
      </c>
      <c r="N101" s="97">
        <v>-2.7999999999684211E-3</v>
      </c>
      <c r="O101" s="93">
        <v>95333.565000000002</v>
      </c>
      <c r="P101" s="95">
        <v>119.58</v>
      </c>
      <c r="Q101" s="83"/>
      <c r="R101" s="93">
        <v>113.99987183699999</v>
      </c>
      <c r="S101" s="94">
        <v>2.3891178036876696E-4</v>
      </c>
      <c r="T101" s="94">
        <f t="shared" si="1"/>
        <v>2.0623246374836387E-3</v>
      </c>
      <c r="U101" s="94">
        <f>R101/'סכום נכסי הקרן'!$C$42</f>
        <v>5.0560127421759812E-4</v>
      </c>
    </row>
    <row r="102" spans="2:21" s="127" customFormat="1">
      <c r="B102" s="86" t="s">
        <v>525</v>
      </c>
      <c r="C102" s="83" t="s">
        <v>526</v>
      </c>
      <c r="D102" s="96" t="s">
        <v>118</v>
      </c>
      <c r="E102" s="96" t="s">
        <v>311</v>
      </c>
      <c r="F102" s="83" t="s">
        <v>435</v>
      </c>
      <c r="G102" s="96" t="s">
        <v>436</v>
      </c>
      <c r="H102" s="83" t="s">
        <v>490</v>
      </c>
      <c r="I102" s="83" t="s">
        <v>315</v>
      </c>
      <c r="J102" s="83"/>
      <c r="K102" s="93">
        <v>4.7300000000181237</v>
      </c>
      <c r="L102" s="96" t="s">
        <v>162</v>
      </c>
      <c r="M102" s="97">
        <v>3.85E-2</v>
      </c>
      <c r="N102" s="97">
        <v>3.3E-3</v>
      </c>
      <c r="O102" s="93">
        <v>89588.258703</v>
      </c>
      <c r="P102" s="95">
        <v>123.19</v>
      </c>
      <c r="Q102" s="83"/>
      <c r="R102" s="93">
        <v>110.36377539999998</v>
      </c>
      <c r="S102" s="94">
        <v>3.5835303481200002E-4</v>
      </c>
      <c r="T102" s="94">
        <f t="shared" si="1"/>
        <v>1.9965455173367882E-3</v>
      </c>
      <c r="U102" s="94">
        <f>R102/'סכום נכסי הקרן'!$C$42</f>
        <v>4.8947480879179585E-4</v>
      </c>
    </row>
    <row r="103" spans="2:21" s="127" customFormat="1">
      <c r="B103" s="86" t="s">
        <v>527</v>
      </c>
      <c r="C103" s="83" t="s">
        <v>528</v>
      </c>
      <c r="D103" s="96" t="s">
        <v>118</v>
      </c>
      <c r="E103" s="96" t="s">
        <v>311</v>
      </c>
      <c r="F103" s="83" t="s">
        <v>529</v>
      </c>
      <c r="G103" s="96" t="s">
        <v>369</v>
      </c>
      <c r="H103" s="83" t="s">
        <v>490</v>
      </c>
      <c r="I103" s="83" t="s">
        <v>158</v>
      </c>
      <c r="J103" s="83"/>
      <c r="K103" s="93">
        <v>5.8300000000099468</v>
      </c>
      <c r="L103" s="96" t="s">
        <v>162</v>
      </c>
      <c r="M103" s="97">
        <v>1.5800000000000002E-2</v>
      </c>
      <c r="N103" s="97">
        <v>9.4000000000089064E-3</v>
      </c>
      <c r="O103" s="93">
        <v>191670.70559500001</v>
      </c>
      <c r="P103" s="95">
        <v>105.41</v>
      </c>
      <c r="Q103" s="83"/>
      <c r="R103" s="93">
        <v>202.04008065300005</v>
      </c>
      <c r="S103" s="94">
        <v>3.9994388160310827E-4</v>
      </c>
      <c r="T103" s="94">
        <f t="shared" si="1"/>
        <v>3.6550237239356929E-3</v>
      </c>
      <c r="U103" s="94">
        <f>R103/'סכום נכסי הקרן'!$C$42</f>
        <v>8.9606874617580569E-4</v>
      </c>
    </row>
    <row r="104" spans="2:21" s="127" customFormat="1">
      <c r="B104" s="86" t="s">
        <v>530</v>
      </c>
      <c r="C104" s="83" t="s">
        <v>531</v>
      </c>
      <c r="D104" s="96" t="s">
        <v>118</v>
      </c>
      <c r="E104" s="96" t="s">
        <v>311</v>
      </c>
      <c r="F104" s="83" t="s">
        <v>529</v>
      </c>
      <c r="G104" s="96" t="s">
        <v>369</v>
      </c>
      <c r="H104" s="83" t="s">
        <v>490</v>
      </c>
      <c r="I104" s="83" t="s">
        <v>158</v>
      </c>
      <c r="J104" s="83"/>
      <c r="K104" s="93">
        <v>7.0699999999942706</v>
      </c>
      <c r="L104" s="96" t="s">
        <v>162</v>
      </c>
      <c r="M104" s="97">
        <v>2.4E-2</v>
      </c>
      <c r="N104" s="97">
        <v>1.989999999998706E-2</v>
      </c>
      <c r="O104" s="93">
        <v>259287.04906300001</v>
      </c>
      <c r="P104" s="95">
        <v>104.33</v>
      </c>
      <c r="Q104" s="83"/>
      <c r="R104" s="93">
        <v>270.51417106500003</v>
      </c>
      <c r="S104" s="94">
        <v>4.7638542315411745E-4</v>
      </c>
      <c r="T104" s="94">
        <f t="shared" si="1"/>
        <v>4.8937602366211095E-3</v>
      </c>
      <c r="U104" s="94">
        <f>R104/'סכום נכסי הקרן'!$C$42</f>
        <v>1.1997584504300318E-3</v>
      </c>
    </row>
    <row r="105" spans="2:21" s="127" customFormat="1">
      <c r="B105" s="86" t="s">
        <v>532</v>
      </c>
      <c r="C105" s="83" t="s">
        <v>533</v>
      </c>
      <c r="D105" s="96" t="s">
        <v>118</v>
      </c>
      <c r="E105" s="96" t="s">
        <v>311</v>
      </c>
      <c r="F105" s="83" t="s">
        <v>529</v>
      </c>
      <c r="G105" s="96" t="s">
        <v>369</v>
      </c>
      <c r="H105" s="83" t="s">
        <v>490</v>
      </c>
      <c r="I105" s="83" t="s">
        <v>158</v>
      </c>
      <c r="J105" s="83"/>
      <c r="K105" s="93">
        <v>3.0600000000251866</v>
      </c>
      <c r="L105" s="96" t="s">
        <v>162</v>
      </c>
      <c r="M105" s="97">
        <v>3.4799999999999998E-2</v>
      </c>
      <c r="N105" s="97">
        <v>2.8000000005757005E-3</v>
      </c>
      <c r="O105" s="93">
        <v>5031.6315439999998</v>
      </c>
      <c r="P105" s="95">
        <v>110.47</v>
      </c>
      <c r="Q105" s="83"/>
      <c r="R105" s="93">
        <v>5.5584433810000009</v>
      </c>
      <c r="S105" s="94">
        <v>1.0819567240580515E-5</v>
      </c>
      <c r="T105" s="94">
        <f t="shared" si="1"/>
        <v>1.0055550542271403E-4</v>
      </c>
      <c r="U105" s="94">
        <f>R105/'סכום נכסי הקרן'!$C$42</f>
        <v>2.4652273821134604E-5</v>
      </c>
    </row>
    <row r="106" spans="2:21" s="127" customFormat="1">
      <c r="B106" s="86" t="s">
        <v>534</v>
      </c>
      <c r="C106" s="83" t="s">
        <v>535</v>
      </c>
      <c r="D106" s="96" t="s">
        <v>118</v>
      </c>
      <c r="E106" s="96" t="s">
        <v>311</v>
      </c>
      <c r="F106" s="83" t="s">
        <v>450</v>
      </c>
      <c r="G106" s="96" t="s">
        <v>436</v>
      </c>
      <c r="H106" s="83" t="s">
        <v>490</v>
      </c>
      <c r="I106" s="83" t="s">
        <v>158</v>
      </c>
      <c r="J106" s="83"/>
      <c r="K106" s="93">
        <v>2.2500000000014238</v>
      </c>
      <c r="L106" s="96" t="s">
        <v>162</v>
      </c>
      <c r="M106" s="97">
        <v>3.7499999999999999E-2</v>
      </c>
      <c r="N106" s="97">
        <v>-3.9000000000108171E-3</v>
      </c>
      <c r="O106" s="93">
        <v>295921.81831</v>
      </c>
      <c r="P106" s="95">
        <v>118.72</v>
      </c>
      <c r="Q106" s="83"/>
      <c r="R106" s="93">
        <v>351.31836455799993</v>
      </c>
      <c r="S106" s="94">
        <v>3.8198182499511859E-4</v>
      </c>
      <c r="T106" s="94">
        <f t="shared" si="1"/>
        <v>6.3555555559253402E-3</v>
      </c>
      <c r="U106" s="94">
        <f>R106/'סכום נכסי הקרן'!$C$42</f>
        <v>1.5581334427335427E-3</v>
      </c>
    </row>
    <row r="107" spans="2:21" s="127" customFormat="1">
      <c r="B107" s="86" t="s">
        <v>536</v>
      </c>
      <c r="C107" s="83" t="s">
        <v>537</v>
      </c>
      <c r="D107" s="96" t="s">
        <v>118</v>
      </c>
      <c r="E107" s="96" t="s">
        <v>311</v>
      </c>
      <c r="F107" s="83" t="s">
        <v>450</v>
      </c>
      <c r="G107" s="96" t="s">
        <v>436</v>
      </c>
      <c r="H107" s="83" t="s">
        <v>490</v>
      </c>
      <c r="I107" s="83" t="s">
        <v>158</v>
      </c>
      <c r="J107" s="83"/>
      <c r="K107" s="93">
        <v>5.9100000000098563</v>
      </c>
      <c r="L107" s="96" t="s">
        <v>162</v>
      </c>
      <c r="M107" s="97">
        <v>2.4799999999999999E-2</v>
      </c>
      <c r="N107" s="97">
        <v>9.6000000000373235E-3</v>
      </c>
      <c r="O107" s="93">
        <v>155997.06093199999</v>
      </c>
      <c r="P107" s="95">
        <v>109.92</v>
      </c>
      <c r="Q107" s="83"/>
      <c r="R107" s="93">
        <v>171.47197714099997</v>
      </c>
      <c r="S107" s="94">
        <v>3.6836396765702484E-4</v>
      </c>
      <c r="T107" s="94">
        <f t="shared" si="1"/>
        <v>3.1020287777300858E-3</v>
      </c>
      <c r="U107" s="94">
        <f>R107/'סכום נכסי הקרן'!$C$42</f>
        <v>7.6049603160134518E-4</v>
      </c>
    </row>
    <row r="108" spans="2:21" s="127" customFormat="1">
      <c r="B108" s="86" t="s">
        <v>538</v>
      </c>
      <c r="C108" s="83" t="s">
        <v>539</v>
      </c>
      <c r="D108" s="96" t="s">
        <v>118</v>
      </c>
      <c r="E108" s="96" t="s">
        <v>311</v>
      </c>
      <c r="F108" s="83" t="s">
        <v>540</v>
      </c>
      <c r="G108" s="96" t="s">
        <v>369</v>
      </c>
      <c r="H108" s="83" t="s">
        <v>490</v>
      </c>
      <c r="I108" s="83" t="s">
        <v>315</v>
      </c>
      <c r="J108" s="83"/>
      <c r="K108" s="93">
        <v>4.4599999999976365</v>
      </c>
      <c r="L108" s="96" t="s">
        <v>162</v>
      </c>
      <c r="M108" s="97">
        <v>2.8500000000000001E-2</v>
      </c>
      <c r="N108" s="97">
        <v>6.0999999999953166E-3</v>
      </c>
      <c r="O108" s="93">
        <v>393636.87715399993</v>
      </c>
      <c r="P108" s="95">
        <v>113.92</v>
      </c>
      <c r="Q108" s="83"/>
      <c r="R108" s="93">
        <v>448.43115096100001</v>
      </c>
      <c r="S108" s="94">
        <v>5.7633510564275244E-4</v>
      </c>
      <c r="T108" s="94">
        <f t="shared" si="1"/>
        <v>8.112382899555657E-3</v>
      </c>
      <c r="U108" s="94">
        <f>R108/'סכום נכסי הקרן'!$C$42</f>
        <v>1.9888387387744298E-3</v>
      </c>
    </row>
    <row r="109" spans="2:21" s="127" customFormat="1">
      <c r="B109" s="86" t="s">
        <v>541</v>
      </c>
      <c r="C109" s="83" t="s">
        <v>542</v>
      </c>
      <c r="D109" s="96" t="s">
        <v>118</v>
      </c>
      <c r="E109" s="96" t="s">
        <v>311</v>
      </c>
      <c r="F109" s="83" t="s">
        <v>543</v>
      </c>
      <c r="G109" s="96" t="s">
        <v>369</v>
      </c>
      <c r="H109" s="83" t="s">
        <v>490</v>
      </c>
      <c r="I109" s="83" t="s">
        <v>315</v>
      </c>
      <c r="J109" s="83"/>
      <c r="K109" s="93">
        <v>6.5100000000127771</v>
      </c>
      <c r="L109" s="96" t="s">
        <v>162</v>
      </c>
      <c r="M109" s="97">
        <v>1.3999999999999999E-2</v>
      </c>
      <c r="N109" s="97">
        <v>1.3500000000019359E-2</v>
      </c>
      <c r="O109" s="93">
        <v>153693.48000000001</v>
      </c>
      <c r="P109" s="95">
        <v>100.83</v>
      </c>
      <c r="Q109" s="83"/>
      <c r="R109" s="93">
        <v>154.96913560199999</v>
      </c>
      <c r="S109" s="94">
        <v>6.060468454258675E-4</v>
      </c>
      <c r="T109" s="94">
        <f t="shared" si="1"/>
        <v>2.8034826816166528E-3</v>
      </c>
      <c r="U109" s="94">
        <f>R109/'סכום נכסי הקרן'!$C$42</f>
        <v>6.8730421501527253E-4</v>
      </c>
    </row>
    <row r="110" spans="2:21" s="127" customFormat="1">
      <c r="B110" s="86" t="s">
        <v>544</v>
      </c>
      <c r="C110" s="83" t="s">
        <v>545</v>
      </c>
      <c r="D110" s="96" t="s">
        <v>118</v>
      </c>
      <c r="E110" s="96" t="s">
        <v>311</v>
      </c>
      <c r="F110" s="83" t="s">
        <v>324</v>
      </c>
      <c r="G110" s="96" t="s">
        <v>319</v>
      </c>
      <c r="H110" s="83" t="s">
        <v>490</v>
      </c>
      <c r="I110" s="83" t="s">
        <v>158</v>
      </c>
      <c r="J110" s="83"/>
      <c r="K110" s="93">
        <v>4.389999999992594</v>
      </c>
      <c r="L110" s="96" t="s">
        <v>162</v>
      </c>
      <c r="M110" s="97">
        <v>1.8200000000000001E-2</v>
      </c>
      <c r="N110" s="97">
        <v>1.509999999997746E-2</v>
      </c>
      <c r="O110" s="93">
        <f>213478.84775/50000</f>
        <v>4.2695769549999998</v>
      </c>
      <c r="P110" s="95">
        <v>5091667</v>
      </c>
      <c r="Q110" s="83"/>
      <c r="R110" s="93">
        <v>217.39264899899999</v>
      </c>
      <c r="S110" s="94">
        <f>1502.20848462459%/50000</f>
        <v>3.0044169692491798E-4</v>
      </c>
      <c r="T110" s="94">
        <f t="shared" si="1"/>
        <v>3.9327607023936888E-3</v>
      </c>
      <c r="U110" s="94">
        <f>R110/'סכום נכסי הקרן'!$C$42</f>
        <v>9.6415898165737746E-4</v>
      </c>
    </row>
    <row r="111" spans="2:21" s="127" customFormat="1">
      <c r="B111" s="86" t="s">
        <v>546</v>
      </c>
      <c r="C111" s="83" t="s">
        <v>547</v>
      </c>
      <c r="D111" s="96" t="s">
        <v>118</v>
      </c>
      <c r="E111" s="96" t="s">
        <v>311</v>
      </c>
      <c r="F111" s="83" t="s">
        <v>324</v>
      </c>
      <c r="G111" s="96" t="s">
        <v>319</v>
      </c>
      <c r="H111" s="83" t="s">
        <v>490</v>
      </c>
      <c r="I111" s="83" t="s">
        <v>158</v>
      </c>
      <c r="J111" s="83"/>
      <c r="K111" s="93">
        <v>3.6499999999949839</v>
      </c>
      <c r="L111" s="96" t="s">
        <v>162</v>
      </c>
      <c r="M111" s="97">
        <v>1.06E-2</v>
      </c>
      <c r="N111" s="97">
        <v>1.3299999999997401E-2</v>
      </c>
      <c r="O111" s="93">
        <f>268592.29425/50000</f>
        <v>5.3718458849999999</v>
      </c>
      <c r="P111" s="95">
        <v>5010002</v>
      </c>
      <c r="Q111" s="83"/>
      <c r="R111" s="93">
        <v>269.129598579</v>
      </c>
      <c r="S111" s="94">
        <f>1977.99760107519%/50000</f>
        <v>3.9559952021503799E-4</v>
      </c>
      <c r="T111" s="94">
        <f t="shared" si="1"/>
        <v>4.8687125071434599E-3</v>
      </c>
      <c r="U111" s="94">
        <f>R111/'סכום נכסי הקרן'!$C$42</f>
        <v>1.1936177276214205E-3</v>
      </c>
    </row>
    <row r="112" spans="2:21" s="127" customFormat="1">
      <c r="B112" s="86" t="s">
        <v>548</v>
      </c>
      <c r="C112" s="83" t="s">
        <v>549</v>
      </c>
      <c r="D112" s="96" t="s">
        <v>118</v>
      </c>
      <c r="E112" s="96" t="s">
        <v>311</v>
      </c>
      <c r="F112" s="83" t="s">
        <v>461</v>
      </c>
      <c r="G112" s="96" t="s">
        <v>369</v>
      </c>
      <c r="H112" s="83" t="s">
        <v>490</v>
      </c>
      <c r="I112" s="83" t="s">
        <v>315</v>
      </c>
      <c r="J112" s="83"/>
      <c r="K112" s="93">
        <v>2.4600000000008269</v>
      </c>
      <c r="L112" s="96" t="s">
        <v>162</v>
      </c>
      <c r="M112" s="97">
        <v>4.9000000000000002E-2</v>
      </c>
      <c r="N112" s="97">
        <v>-1.0000000000826963E-4</v>
      </c>
      <c r="O112" s="93">
        <v>204513.90974899998</v>
      </c>
      <c r="P112" s="95">
        <v>115.73</v>
      </c>
      <c r="Q112" s="93">
        <v>5.1644332390000001</v>
      </c>
      <c r="R112" s="93">
        <v>241.84837858</v>
      </c>
      <c r="S112" s="94">
        <v>3.0753357294839822E-4</v>
      </c>
      <c r="T112" s="94">
        <f t="shared" si="1"/>
        <v>4.3751792141850697E-3</v>
      </c>
      <c r="U112" s="94">
        <f>R112/'סכום נכסי הקרן'!$C$42</f>
        <v>1.0726226828776228E-3</v>
      </c>
    </row>
    <row r="113" spans="2:21" s="127" customFormat="1">
      <c r="B113" s="86" t="s">
        <v>550</v>
      </c>
      <c r="C113" s="83" t="s">
        <v>551</v>
      </c>
      <c r="D113" s="96" t="s">
        <v>118</v>
      </c>
      <c r="E113" s="96" t="s">
        <v>311</v>
      </c>
      <c r="F113" s="83" t="s">
        <v>461</v>
      </c>
      <c r="G113" s="96" t="s">
        <v>369</v>
      </c>
      <c r="H113" s="83" t="s">
        <v>490</v>
      </c>
      <c r="I113" s="83" t="s">
        <v>315</v>
      </c>
      <c r="J113" s="83"/>
      <c r="K113" s="93">
        <v>2.0899999999941938</v>
      </c>
      <c r="L113" s="96" t="s">
        <v>162</v>
      </c>
      <c r="M113" s="97">
        <v>5.8499999999999996E-2</v>
      </c>
      <c r="N113" s="97">
        <v>-1.7999999999977231E-3</v>
      </c>
      <c r="O113" s="93">
        <v>140916.18586</v>
      </c>
      <c r="P113" s="95">
        <v>124.66</v>
      </c>
      <c r="Q113" s="83"/>
      <c r="R113" s="93">
        <v>175.66612207799997</v>
      </c>
      <c r="S113" s="94">
        <v>1.329175874522688E-4</v>
      </c>
      <c r="T113" s="94">
        <f t="shared" si="1"/>
        <v>3.1779033230025571E-3</v>
      </c>
      <c r="U113" s="94">
        <f>R113/'סכום נכסי הקרן'!$C$42</f>
        <v>7.7909750009626179E-4</v>
      </c>
    </row>
    <row r="114" spans="2:21" s="127" customFormat="1">
      <c r="B114" s="86" t="s">
        <v>552</v>
      </c>
      <c r="C114" s="83" t="s">
        <v>553</v>
      </c>
      <c r="D114" s="96" t="s">
        <v>118</v>
      </c>
      <c r="E114" s="96" t="s">
        <v>311</v>
      </c>
      <c r="F114" s="83" t="s">
        <v>461</v>
      </c>
      <c r="G114" s="96" t="s">
        <v>369</v>
      </c>
      <c r="H114" s="83" t="s">
        <v>490</v>
      </c>
      <c r="I114" s="83" t="s">
        <v>315</v>
      </c>
      <c r="J114" s="83"/>
      <c r="K114" s="93">
        <v>7.0000000000000009</v>
      </c>
      <c r="L114" s="96" t="s">
        <v>162</v>
      </c>
      <c r="M114" s="97">
        <v>2.2499999999999999E-2</v>
      </c>
      <c r="N114" s="97">
        <v>1.9899999999982609E-2</v>
      </c>
      <c r="O114" s="93">
        <v>116364.44600099999</v>
      </c>
      <c r="P114" s="95">
        <v>103.76</v>
      </c>
      <c r="Q114" s="83"/>
      <c r="R114" s="93">
        <v>120.73975097899999</v>
      </c>
      <c r="S114" s="94">
        <v>6.2827532083214359E-4</v>
      </c>
      <c r="T114" s="94">
        <f t="shared" si="1"/>
        <v>2.1842530097197321E-3</v>
      </c>
      <c r="U114" s="94">
        <f>R114/'סכום נכסי הקרן'!$C$42</f>
        <v>5.354933383695668E-4</v>
      </c>
    </row>
    <row r="115" spans="2:21" s="127" customFormat="1">
      <c r="B115" s="86" t="s">
        <v>554</v>
      </c>
      <c r="C115" s="83" t="s">
        <v>555</v>
      </c>
      <c r="D115" s="96" t="s">
        <v>118</v>
      </c>
      <c r="E115" s="96" t="s">
        <v>311</v>
      </c>
      <c r="F115" s="83" t="s">
        <v>472</v>
      </c>
      <c r="G115" s="96" t="s">
        <v>436</v>
      </c>
      <c r="H115" s="83" t="s">
        <v>490</v>
      </c>
      <c r="I115" s="83" t="s">
        <v>158</v>
      </c>
      <c r="J115" s="83"/>
      <c r="K115" s="93">
        <v>1.7199999999960041</v>
      </c>
      <c r="L115" s="96" t="s">
        <v>162</v>
      </c>
      <c r="M115" s="97">
        <v>4.0500000000000001E-2</v>
      </c>
      <c r="N115" s="97">
        <v>-1.0700000000009988E-2</v>
      </c>
      <c r="O115" s="93">
        <v>44436.772594000002</v>
      </c>
      <c r="P115" s="95">
        <v>135.16</v>
      </c>
      <c r="Q115" s="83"/>
      <c r="R115" s="93">
        <v>60.060743942000002</v>
      </c>
      <c r="S115" s="94">
        <v>3.0550227695476536E-4</v>
      </c>
      <c r="T115" s="94">
        <f t="shared" si="1"/>
        <v>1.0865341336022542E-3</v>
      </c>
      <c r="U115" s="94">
        <f>R115/'סכום נכסי הקרן'!$C$42</f>
        <v>2.6637563865818483E-4</v>
      </c>
    </row>
    <row r="116" spans="2:21" s="127" customFormat="1">
      <c r="B116" s="86" t="s">
        <v>556</v>
      </c>
      <c r="C116" s="83" t="s">
        <v>557</v>
      </c>
      <c r="D116" s="96" t="s">
        <v>118</v>
      </c>
      <c r="E116" s="96" t="s">
        <v>311</v>
      </c>
      <c r="F116" s="83" t="s">
        <v>558</v>
      </c>
      <c r="G116" s="96" t="s">
        <v>369</v>
      </c>
      <c r="H116" s="83" t="s">
        <v>490</v>
      </c>
      <c r="I116" s="83" t="s">
        <v>158</v>
      </c>
      <c r="J116" s="83"/>
      <c r="K116" s="93">
        <v>6.5199999999969958</v>
      </c>
      <c r="L116" s="96" t="s">
        <v>162</v>
      </c>
      <c r="M116" s="97">
        <v>1.9599999999999999E-2</v>
      </c>
      <c r="N116" s="97">
        <v>1.4400000000021848E-2</v>
      </c>
      <c r="O116" s="93">
        <v>139479.060631</v>
      </c>
      <c r="P116" s="95">
        <v>105</v>
      </c>
      <c r="Q116" s="83"/>
      <c r="R116" s="93">
        <v>146.45301822200003</v>
      </c>
      <c r="S116" s="94">
        <v>2.1655125463481494E-4</v>
      </c>
      <c r="T116" s="94">
        <f t="shared" si="1"/>
        <v>2.649421116410785E-3</v>
      </c>
      <c r="U116" s="94">
        <f>R116/'סכום נכסי הקרן'!$C$42</f>
        <v>6.4953434975725626E-4</v>
      </c>
    </row>
    <row r="117" spans="2:21" s="127" customFormat="1">
      <c r="B117" s="86" t="s">
        <v>559</v>
      </c>
      <c r="C117" s="83" t="s">
        <v>560</v>
      </c>
      <c r="D117" s="96" t="s">
        <v>118</v>
      </c>
      <c r="E117" s="96" t="s">
        <v>311</v>
      </c>
      <c r="F117" s="83" t="s">
        <v>558</v>
      </c>
      <c r="G117" s="96" t="s">
        <v>369</v>
      </c>
      <c r="H117" s="83" t="s">
        <v>490</v>
      </c>
      <c r="I117" s="83" t="s">
        <v>158</v>
      </c>
      <c r="J117" s="83"/>
      <c r="K117" s="93">
        <v>3.7500000000083009</v>
      </c>
      <c r="L117" s="96" t="s">
        <v>162</v>
      </c>
      <c r="M117" s="97">
        <v>2.75E-2</v>
      </c>
      <c r="N117" s="97">
        <v>4.6000000000066404E-3</v>
      </c>
      <c r="O117" s="93">
        <v>54559.586706000002</v>
      </c>
      <c r="P117" s="95">
        <v>110.41</v>
      </c>
      <c r="Q117" s="83"/>
      <c r="R117" s="93">
        <v>60.239241526000001</v>
      </c>
      <c r="S117" s="94">
        <v>1.2014873554103287E-4</v>
      </c>
      <c r="T117" s="94">
        <f t="shared" si="1"/>
        <v>1.0897632597344383E-3</v>
      </c>
      <c r="U117" s="94">
        <f>R117/'סכום נכסי הקרן'!$C$42</f>
        <v>2.6716729398604521E-4</v>
      </c>
    </row>
    <row r="118" spans="2:21" s="127" customFormat="1">
      <c r="B118" s="86" t="s">
        <v>561</v>
      </c>
      <c r="C118" s="83" t="s">
        <v>562</v>
      </c>
      <c r="D118" s="96" t="s">
        <v>118</v>
      </c>
      <c r="E118" s="96" t="s">
        <v>311</v>
      </c>
      <c r="F118" s="83" t="s">
        <v>339</v>
      </c>
      <c r="G118" s="96" t="s">
        <v>319</v>
      </c>
      <c r="H118" s="83" t="s">
        <v>490</v>
      </c>
      <c r="I118" s="83" t="s">
        <v>158</v>
      </c>
      <c r="J118" s="83"/>
      <c r="K118" s="93">
        <v>3.9499999999967068</v>
      </c>
      <c r="L118" s="96" t="s">
        <v>162</v>
      </c>
      <c r="M118" s="97">
        <v>1.4199999999999999E-2</v>
      </c>
      <c r="N118" s="97">
        <v>1.5699999999980244E-2</v>
      </c>
      <c r="O118" s="93">
        <f>419296.69775/50000</f>
        <v>8.3859339550000005</v>
      </c>
      <c r="P118" s="95">
        <v>5070000</v>
      </c>
      <c r="Q118" s="83"/>
      <c r="R118" s="93">
        <v>425.16688351199997</v>
      </c>
      <c r="S118" s="94">
        <f>1978.46787972444%/50000</f>
        <v>3.9569357594488799E-4</v>
      </c>
      <c r="T118" s="94">
        <f t="shared" si="1"/>
        <v>7.691518637517868E-3</v>
      </c>
      <c r="U118" s="94">
        <f>R118/'סכום נכסי הקרן'!$C$42</f>
        <v>1.8856592958819707E-3</v>
      </c>
    </row>
    <row r="119" spans="2:21" s="127" customFormat="1">
      <c r="B119" s="86" t="s">
        <v>563</v>
      </c>
      <c r="C119" s="83" t="s">
        <v>564</v>
      </c>
      <c r="D119" s="96" t="s">
        <v>118</v>
      </c>
      <c r="E119" s="96" t="s">
        <v>311</v>
      </c>
      <c r="F119" s="83" t="s">
        <v>339</v>
      </c>
      <c r="G119" s="96" t="s">
        <v>319</v>
      </c>
      <c r="H119" s="83" t="s">
        <v>490</v>
      </c>
      <c r="I119" s="83" t="s">
        <v>158</v>
      </c>
      <c r="J119" s="83"/>
      <c r="K119" s="93">
        <v>4.5999999999938002</v>
      </c>
      <c r="L119" s="96" t="s">
        <v>162</v>
      </c>
      <c r="M119" s="97">
        <v>1.5900000000000001E-2</v>
      </c>
      <c r="N119" s="97">
        <v>1.6799999999975196E-2</v>
      </c>
      <c r="O119" s="93">
        <f>322562.30825/50000</f>
        <v>6.4512461649999997</v>
      </c>
      <c r="P119" s="95">
        <v>5000000</v>
      </c>
      <c r="Q119" s="83"/>
      <c r="R119" s="93">
        <v>322.56231458499997</v>
      </c>
      <c r="S119" s="94">
        <f>2154.72483800935%/50000</f>
        <v>4.3094496760187005E-4</v>
      </c>
      <c r="T119" s="94">
        <f t="shared" si="1"/>
        <v>5.8353417225201288E-3</v>
      </c>
      <c r="U119" s="94">
        <f>R119/'סכום נכסי הקרן'!$C$42</f>
        <v>1.4305973738456576E-3</v>
      </c>
    </row>
    <row r="120" spans="2:21" s="127" customFormat="1">
      <c r="B120" s="86" t="s">
        <v>565</v>
      </c>
      <c r="C120" s="83" t="s">
        <v>566</v>
      </c>
      <c r="D120" s="96" t="s">
        <v>118</v>
      </c>
      <c r="E120" s="96" t="s">
        <v>311</v>
      </c>
      <c r="F120" s="83" t="s">
        <v>567</v>
      </c>
      <c r="G120" s="96" t="s">
        <v>568</v>
      </c>
      <c r="H120" s="83" t="s">
        <v>490</v>
      </c>
      <c r="I120" s="83" t="s">
        <v>315</v>
      </c>
      <c r="J120" s="83"/>
      <c r="K120" s="93">
        <v>4.9499999999939348</v>
      </c>
      <c r="L120" s="96" t="s">
        <v>162</v>
      </c>
      <c r="M120" s="97">
        <v>1.9400000000000001E-2</v>
      </c>
      <c r="N120" s="97">
        <v>6.9000000000103336E-3</v>
      </c>
      <c r="O120" s="93">
        <v>206484.394439</v>
      </c>
      <c r="P120" s="95">
        <v>107.79</v>
      </c>
      <c r="Q120" s="83"/>
      <c r="R120" s="93">
        <v>222.569518233</v>
      </c>
      <c r="S120" s="94">
        <v>3.4287307108382464E-4</v>
      </c>
      <c r="T120" s="94">
        <f t="shared" si="1"/>
        <v>4.0264133073858645E-3</v>
      </c>
      <c r="U120" s="94">
        <f>R120/'סכום נכסי הקרן'!$C$42</f>
        <v>9.8711893449759426E-4</v>
      </c>
    </row>
    <row r="121" spans="2:21" s="127" customFormat="1">
      <c r="B121" s="86" t="s">
        <v>569</v>
      </c>
      <c r="C121" s="83" t="s">
        <v>570</v>
      </c>
      <c r="D121" s="96" t="s">
        <v>118</v>
      </c>
      <c r="E121" s="96" t="s">
        <v>311</v>
      </c>
      <c r="F121" s="83" t="s">
        <v>567</v>
      </c>
      <c r="G121" s="96" t="s">
        <v>568</v>
      </c>
      <c r="H121" s="83" t="s">
        <v>490</v>
      </c>
      <c r="I121" s="83" t="s">
        <v>315</v>
      </c>
      <c r="J121" s="83"/>
      <c r="K121" s="93">
        <v>6.4000000000004889</v>
      </c>
      <c r="L121" s="96" t="s">
        <v>162</v>
      </c>
      <c r="M121" s="97">
        <v>1.23E-2</v>
      </c>
      <c r="N121" s="97">
        <v>1.1299999999988779E-2</v>
      </c>
      <c r="O121" s="93">
        <v>403195.04905999993</v>
      </c>
      <c r="P121" s="95">
        <v>101.66</v>
      </c>
      <c r="Q121" s="83"/>
      <c r="R121" s="93">
        <v>409.88810064199998</v>
      </c>
      <c r="S121" s="94">
        <v>3.8052310211300497E-4</v>
      </c>
      <c r="T121" s="94">
        <f t="shared" si="1"/>
        <v>7.4151164816573991E-3</v>
      </c>
      <c r="U121" s="94">
        <f>R121/'סכום נכסי הקרן'!$C$42</f>
        <v>1.817896306651497E-3</v>
      </c>
    </row>
    <row r="122" spans="2:21" s="127" customFormat="1">
      <c r="B122" s="86" t="s">
        <v>571</v>
      </c>
      <c r="C122" s="83" t="s">
        <v>572</v>
      </c>
      <c r="D122" s="96" t="s">
        <v>118</v>
      </c>
      <c r="E122" s="96" t="s">
        <v>311</v>
      </c>
      <c r="F122" s="83" t="s">
        <v>573</v>
      </c>
      <c r="G122" s="96" t="s">
        <v>436</v>
      </c>
      <c r="H122" s="83" t="s">
        <v>490</v>
      </c>
      <c r="I122" s="83" t="s">
        <v>158</v>
      </c>
      <c r="J122" s="83"/>
      <c r="K122" s="93">
        <v>0.5</v>
      </c>
      <c r="L122" s="96" t="s">
        <v>162</v>
      </c>
      <c r="M122" s="97">
        <v>3.6000000000000004E-2</v>
      </c>
      <c r="N122" s="97">
        <v>-1.7800000000011668E-2</v>
      </c>
      <c r="O122" s="93">
        <v>219161.019657</v>
      </c>
      <c r="P122" s="95">
        <v>109.5</v>
      </c>
      <c r="Q122" s="83"/>
      <c r="R122" s="93">
        <v>239.98131597399998</v>
      </c>
      <c r="S122" s="94">
        <v>5.2974296045799974E-4</v>
      </c>
      <c r="T122" s="94">
        <f t="shared" si="1"/>
        <v>4.3414029550539737E-3</v>
      </c>
      <c r="U122" s="94">
        <f>R122/'סכום נכסי הקרן'!$C$42</f>
        <v>1.0643420662644096E-3</v>
      </c>
    </row>
    <row r="123" spans="2:21" s="127" customFormat="1">
      <c r="B123" s="86" t="s">
        <v>574</v>
      </c>
      <c r="C123" s="83" t="s">
        <v>575</v>
      </c>
      <c r="D123" s="96" t="s">
        <v>118</v>
      </c>
      <c r="E123" s="96" t="s">
        <v>311</v>
      </c>
      <c r="F123" s="83" t="s">
        <v>573</v>
      </c>
      <c r="G123" s="96" t="s">
        <v>436</v>
      </c>
      <c r="H123" s="83" t="s">
        <v>490</v>
      </c>
      <c r="I123" s="83" t="s">
        <v>158</v>
      </c>
      <c r="J123" s="83"/>
      <c r="K123" s="93">
        <v>6.9899999999770523</v>
      </c>
      <c r="L123" s="96" t="s">
        <v>162</v>
      </c>
      <c r="M123" s="97">
        <v>2.2499999999999999E-2</v>
      </c>
      <c r="N123" s="97">
        <v>1.1199999999926045E-2</v>
      </c>
      <c r="O123" s="93">
        <v>83149.197302999994</v>
      </c>
      <c r="P123" s="95">
        <v>110.58</v>
      </c>
      <c r="Q123" s="83"/>
      <c r="R123" s="93">
        <v>91.946381788999986</v>
      </c>
      <c r="S123" s="94">
        <v>2.0324106088604889E-4</v>
      </c>
      <c r="T123" s="94">
        <f t="shared" si="1"/>
        <v>1.6633640497601609E-3</v>
      </c>
      <c r="U123" s="94">
        <f>R123/'סכום נכסי הקרן'!$C$42</f>
        <v>4.077917548774635E-4</v>
      </c>
    </row>
    <row r="124" spans="2:21" s="127" customFormat="1">
      <c r="B124" s="86" t="s">
        <v>576</v>
      </c>
      <c r="C124" s="83" t="s">
        <v>577</v>
      </c>
      <c r="D124" s="96" t="s">
        <v>118</v>
      </c>
      <c r="E124" s="96" t="s">
        <v>311</v>
      </c>
      <c r="F124" s="83" t="s">
        <v>578</v>
      </c>
      <c r="G124" s="96" t="s">
        <v>365</v>
      </c>
      <c r="H124" s="83" t="s">
        <v>490</v>
      </c>
      <c r="I124" s="83" t="s">
        <v>315</v>
      </c>
      <c r="J124" s="83"/>
      <c r="K124" s="93">
        <v>3.6100000000002934</v>
      </c>
      <c r="L124" s="96" t="s">
        <v>162</v>
      </c>
      <c r="M124" s="97">
        <v>1.8000000000000002E-2</v>
      </c>
      <c r="N124" s="97">
        <v>8.3000000000088333E-3</v>
      </c>
      <c r="O124" s="93">
        <v>163118.02720800001</v>
      </c>
      <c r="P124" s="95">
        <v>104.1</v>
      </c>
      <c r="Q124" s="83"/>
      <c r="R124" s="93">
        <v>169.80586499500004</v>
      </c>
      <c r="S124" s="94">
        <v>2.0208525566656042E-4</v>
      </c>
      <c r="T124" s="94">
        <f t="shared" si="1"/>
        <v>3.0718878304453437E-3</v>
      </c>
      <c r="U124" s="94">
        <f>R124/'סכום נכסי הקרן'!$C$42</f>
        <v>7.5310665115351936E-4</v>
      </c>
    </row>
    <row r="125" spans="2:21" s="127" customFormat="1">
      <c r="B125" s="86" t="s">
        <v>579</v>
      </c>
      <c r="C125" s="83" t="s">
        <v>580</v>
      </c>
      <c r="D125" s="96" t="s">
        <v>118</v>
      </c>
      <c r="E125" s="96" t="s">
        <v>311</v>
      </c>
      <c r="F125" s="83" t="s">
        <v>581</v>
      </c>
      <c r="G125" s="96" t="s">
        <v>319</v>
      </c>
      <c r="H125" s="83" t="s">
        <v>582</v>
      </c>
      <c r="I125" s="83" t="s">
        <v>158</v>
      </c>
      <c r="J125" s="83"/>
      <c r="K125" s="93">
        <v>1.2399999999894629</v>
      </c>
      <c r="L125" s="96" t="s">
        <v>162</v>
      </c>
      <c r="M125" s="97">
        <v>4.1500000000000002E-2</v>
      </c>
      <c r="N125" s="97">
        <v>-7.6000000001053706E-3</v>
      </c>
      <c r="O125" s="93">
        <v>13397.267006999999</v>
      </c>
      <c r="P125" s="95">
        <v>113.34</v>
      </c>
      <c r="Q125" s="83"/>
      <c r="R125" s="93">
        <v>15.184462684</v>
      </c>
      <c r="S125" s="94">
        <v>4.4524724594958371E-5</v>
      </c>
      <c r="T125" s="94">
        <f t="shared" si="1"/>
        <v>2.7469584829831705E-4</v>
      </c>
      <c r="U125" s="94">
        <f>R125/'סכום נכסי הקרן'!$C$42</f>
        <v>6.7344669407323122E-5</v>
      </c>
    </row>
    <row r="126" spans="2:21" s="127" customFormat="1">
      <c r="B126" s="86" t="s">
        <v>583</v>
      </c>
      <c r="C126" s="83" t="s">
        <v>584</v>
      </c>
      <c r="D126" s="96" t="s">
        <v>118</v>
      </c>
      <c r="E126" s="96" t="s">
        <v>311</v>
      </c>
      <c r="F126" s="83" t="s">
        <v>585</v>
      </c>
      <c r="G126" s="96" t="s">
        <v>365</v>
      </c>
      <c r="H126" s="83" t="s">
        <v>582</v>
      </c>
      <c r="I126" s="83" t="s">
        <v>315</v>
      </c>
      <c r="J126" s="83"/>
      <c r="K126" s="93">
        <v>2.0099999999960789</v>
      </c>
      <c r="L126" s="96" t="s">
        <v>162</v>
      </c>
      <c r="M126" s="97">
        <v>2.8500000000000001E-2</v>
      </c>
      <c r="N126" s="97">
        <v>1.8799999999910375E-2</v>
      </c>
      <c r="O126" s="93">
        <v>68469.515494000007</v>
      </c>
      <c r="P126" s="95">
        <v>104.29</v>
      </c>
      <c r="Q126" s="83"/>
      <c r="R126" s="93">
        <v>71.406856128000001</v>
      </c>
      <c r="S126" s="94">
        <v>2.3477943502073976E-4</v>
      </c>
      <c r="T126" s="94">
        <f t="shared" si="1"/>
        <v>1.2917919669996299E-3</v>
      </c>
      <c r="U126" s="94">
        <f>R126/'סכום נכסי הקרן'!$C$42</f>
        <v>3.1669682486846205E-4</v>
      </c>
    </row>
    <row r="127" spans="2:21" s="127" customFormat="1">
      <c r="B127" s="86" t="s">
        <v>586</v>
      </c>
      <c r="C127" s="83" t="s">
        <v>587</v>
      </c>
      <c r="D127" s="96" t="s">
        <v>118</v>
      </c>
      <c r="E127" s="96" t="s">
        <v>311</v>
      </c>
      <c r="F127" s="83" t="s">
        <v>350</v>
      </c>
      <c r="G127" s="96" t="s">
        <v>319</v>
      </c>
      <c r="H127" s="83" t="s">
        <v>582</v>
      </c>
      <c r="I127" s="83" t="s">
        <v>158</v>
      </c>
      <c r="J127" s="83"/>
      <c r="K127" s="93">
        <v>2.1600000000019781</v>
      </c>
      <c r="L127" s="96" t="s">
        <v>162</v>
      </c>
      <c r="M127" s="97">
        <v>2.7999999999999997E-2</v>
      </c>
      <c r="N127" s="97">
        <v>8.8999999999987631E-3</v>
      </c>
      <c r="O127" s="93">
        <f>375388.88975/50000</f>
        <v>7.5077777949999991</v>
      </c>
      <c r="P127" s="95">
        <v>5387000</v>
      </c>
      <c r="Q127" s="83"/>
      <c r="R127" s="93">
        <v>404.44399004500002</v>
      </c>
      <c r="S127" s="94">
        <f>2122.40000989427%/50000</f>
        <v>4.2448000197885407E-4</v>
      </c>
      <c r="T127" s="94">
        <f t="shared" si="1"/>
        <v>7.3166293234487286E-3</v>
      </c>
      <c r="U127" s="94">
        <f>R127/'סכום נכסי הקרן'!$C$42</f>
        <v>1.793751110604607E-3</v>
      </c>
    </row>
    <row r="128" spans="2:21" s="127" customFormat="1">
      <c r="B128" s="86" t="s">
        <v>588</v>
      </c>
      <c r="C128" s="83" t="s">
        <v>589</v>
      </c>
      <c r="D128" s="96" t="s">
        <v>118</v>
      </c>
      <c r="E128" s="96" t="s">
        <v>311</v>
      </c>
      <c r="F128" s="83" t="s">
        <v>350</v>
      </c>
      <c r="G128" s="96" t="s">
        <v>319</v>
      </c>
      <c r="H128" s="83" t="s">
        <v>582</v>
      </c>
      <c r="I128" s="83" t="s">
        <v>158</v>
      </c>
      <c r="J128" s="83"/>
      <c r="K128" s="93">
        <v>3.4200000000556403</v>
      </c>
      <c r="L128" s="96" t="s">
        <v>162</v>
      </c>
      <c r="M128" s="97">
        <v>1.49E-2</v>
      </c>
      <c r="N128" s="97">
        <v>1.8000000000292841E-2</v>
      </c>
      <c r="O128" s="93">
        <f>20353.0985/50000</f>
        <v>0.40706197</v>
      </c>
      <c r="P128" s="95">
        <v>5033372</v>
      </c>
      <c r="Q128" s="83"/>
      <c r="R128" s="93">
        <v>20.488943082999999</v>
      </c>
      <c r="S128" s="94">
        <f>336.526099537037%/50000</f>
        <v>6.7305219907407395E-5</v>
      </c>
      <c r="T128" s="94">
        <f t="shared" si="1"/>
        <v>3.7065701421566487E-4</v>
      </c>
      <c r="U128" s="94">
        <f>R128/'סכום נכסי הקרן'!$C$42</f>
        <v>9.0870591020914042E-5</v>
      </c>
    </row>
    <row r="129" spans="2:21" s="127" customFormat="1">
      <c r="B129" s="86" t="s">
        <v>590</v>
      </c>
      <c r="C129" s="83" t="s">
        <v>591</v>
      </c>
      <c r="D129" s="96" t="s">
        <v>118</v>
      </c>
      <c r="E129" s="96" t="s">
        <v>311</v>
      </c>
      <c r="F129" s="83" t="s">
        <v>350</v>
      </c>
      <c r="G129" s="96" t="s">
        <v>319</v>
      </c>
      <c r="H129" s="83" t="s">
        <v>582</v>
      </c>
      <c r="I129" s="83" t="s">
        <v>158</v>
      </c>
      <c r="J129" s="83"/>
      <c r="K129" s="93">
        <v>4.9699999999823845</v>
      </c>
      <c r="L129" s="96" t="s">
        <v>162</v>
      </c>
      <c r="M129" s="97">
        <v>2.2000000000000002E-2</v>
      </c>
      <c r="N129" s="97">
        <v>1.9899999999903398E-2</v>
      </c>
      <c r="O129" s="93">
        <f>85757.4375/50000</f>
        <v>1.71514875</v>
      </c>
      <c r="P129" s="95">
        <v>5130000</v>
      </c>
      <c r="Q129" s="83"/>
      <c r="R129" s="93">
        <v>87.987135814999988</v>
      </c>
      <c r="S129" s="94">
        <f>1703.564511323%/50000</f>
        <v>3.4071290226460002E-4</v>
      </c>
      <c r="T129" s="94">
        <f t="shared" si="1"/>
        <v>1.5917389646924076E-3</v>
      </c>
      <c r="U129" s="94">
        <f>R129/'סכום נכסי הקרן'!$C$42</f>
        <v>3.9023208768540279E-4</v>
      </c>
    </row>
    <row r="130" spans="2:21" s="127" customFormat="1">
      <c r="B130" s="86" t="s">
        <v>592</v>
      </c>
      <c r="C130" s="83" t="s">
        <v>593</v>
      </c>
      <c r="D130" s="96" t="s">
        <v>118</v>
      </c>
      <c r="E130" s="96" t="s">
        <v>311</v>
      </c>
      <c r="F130" s="83" t="s">
        <v>594</v>
      </c>
      <c r="G130" s="96" t="s">
        <v>369</v>
      </c>
      <c r="H130" s="83" t="s">
        <v>582</v>
      </c>
      <c r="I130" s="83" t="s">
        <v>158</v>
      </c>
      <c r="J130" s="83"/>
      <c r="K130" s="93">
        <v>5.2200000000433535</v>
      </c>
      <c r="L130" s="96" t="s">
        <v>162</v>
      </c>
      <c r="M130" s="97">
        <v>2.5000000000000001E-2</v>
      </c>
      <c r="N130" s="97">
        <v>1.5500000000197058E-2</v>
      </c>
      <c r="O130" s="93">
        <v>47439.734067999998</v>
      </c>
      <c r="P130" s="95">
        <v>106.97</v>
      </c>
      <c r="Q130" s="83"/>
      <c r="R130" s="93">
        <v>50.746284939999995</v>
      </c>
      <c r="S130" s="94">
        <v>1.9841296205688007E-4</v>
      </c>
      <c r="T130" s="94">
        <f t="shared" si="1"/>
        <v>9.1803009956156647E-4</v>
      </c>
      <c r="U130" s="94">
        <f>R130/'סכום נכסי הקרן'!$C$42</f>
        <v>2.25065045372673E-4</v>
      </c>
    </row>
    <row r="131" spans="2:21" s="127" customFormat="1">
      <c r="B131" s="86" t="s">
        <v>595</v>
      </c>
      <c r="C131" s="83" t="s">
        <v>596</v>
      </c>
      <c r="D131" s="96" t="s">
        <v>118</v>
      </c>
      <c r="E131" s="96" t="s">
        <v>311</v>
      </c>
      <c r="F131" s="83" t="s">
        <v>594</v>
      </c>
      <c r="G131" s="96" t="s">
        <v>369</v>
      </c>
      <c r="H131" s="83" t="s">
        <v>582</v>
      </c>
      <c r="I131" s="83" t="s">
        <v>158</v>
      </c>
      <c r="J131" s="83"/>
      <c r="K131" s="93">
        <v>7.1899999999877222</v>
      </c>
      <c r="L131" s="96" t="s">
        <v>162</v>
      </c>
      <c r="M131" s="97">
        <v>1.9E-2</v>
      </c>
      <c r="N131" s="97">
        <v>2.5199999999951959E-2</v>
      </c>
      <c r="O131" s="93">
        <v>154849.76968900001</v>
      </c>
      <c r="P131" s="95">
        <v>96.78</v>
      </c>
      <c r="Q131" s="83"/>
      <c r="R131" s="93">
        <v>149.86361043599999</v>
      </c>
      <c r="S131" s="94">
        <v>6.2503337965354893E-4</v>
      </c>
      <c r="T131" s="94">
        <f t="shared" si="1"/>
        <v>2.7111207327173634E-3</v>
      </c>
      <c r="U131" s="94">
        <f>R131/'סכום נכסי הקרן'!$C$42</f>
        <v>6.646606805280538E-4</v>
      </c>
    </row>
    <row r="132" spans="2:21" s="127" customFormat="1">
      <c r="B132" s="86" t="s">
        <v>597</v>
      </c>
      <c r="C132" s="83" t="s">
        <v>598</v>
      </c>
      <c r="D132" s="96" t="s">
        <v>118</v>
      </c>
      <c r="E132" s="96" t="s">
        <v>311</v>
      </c>
      <c r="F132" s="83" t="s">
        <v>599</v>
      </c>
      <c r="G132" s="96" t="s">
        <v>369</v>
      </c>
      <c r="H132" s="83" t="s">
        <v>582</v>
      </c>
      <c r="I132" s="83" t="s">
        <v>158</v>
      </c>
      <c r="J132" s="83"/>
      <c r="K132" s="93">
        <v>1.2399999999938789</v>
      </c>
      <c r="L132" s="96" t="s">
        <v>162</v>
      </c>
      <c r="M132" s="97">
        <v>4.5999999999999999E-2</v>
      </c>
      <c r="N132" s="97">
        <v>-5.0000000000000001E-3</v>
      </c>
      <c r="O132" s="93">
        <v>54292.983003000001</v>
      </c>
      <c r="P132" s="95">
        <v>132.4</v>
      </c>
      <c r="Q132" s="83"/>
      <c r="R132" s="93">
        <v>71.883909906</v>
      </c>
      <c r="S132" s="94">
        <v>1.8845528656293947E-4</v>
      </c>
      <c r="T132" s="94">
        <f t="shared" si="1"/>
        <v>1.3004221500333511E-3</v>
      </c>
      <c r="U132" s="94">
        <f>R132/'סכום נכסי הקרן'!$C$42</f>
        <v>3.1881260793155175E-4</v>
      </c>
    </row>
    <row r="133" spans="2:21" s="127" customFormat="1">
      <c r="B133" s="86" t="s">
        <v>600</v>
      </c>
      <c r="C133" s="83" t="s">
        <v>601</v>
      </c>
      <c r="D133" s="96" t="s">
        <v>118</v>
      </c>
      <c r="E133" s="96" t="s">
        <v>311</v>
      </c>
      <c r="F133" s="83" t="s">
        <v>602</v>
      </c>
      <c r="G133" s="96" t="s">
        <v>319</v>
      </c>
      <c r="H133" s="83" t="s">
        <v>582</v>
      </c>
      <c r="I133" s="83" t="s">
        <v>315</v>
      </c>
      <c r="J133" s="83"/>
      <c r="K133" s="93">
        <v>1.7499999999954781</v>
      </c>
      <c r="L133" s="96" t="s">
        <v>162</v>
      </c>
      <c r="M133" s="97">
        <v>0.02</v>
      </c>
      <c r="N133" s="97">
        <v>-5.8999999999764874E-3</v>
      </c>
      <c r="O133" s="93">
        <v>103357.771332</v>
      </c>
      <c r="P133" s="95">
        <v>106.98</v>
      </c>
      <c r="Q133" s="83"/>
      <c r="R133" s="93">
        <v>110.57214471399999</v>
      </c>
      <c r="S133" s="94">
        <v>2.4220530466363062E-4</v>
      </c>
      <c r="T133" s="94">
        <f t="shared" si="1"/>
        <v>2.0003150406093422E-3</v>
      </c>
      <c r="U133" s="94">
        <f>R133/'סכום נכסי הקרן'!$C$42</f>
        <v>4.9039894834536379E-4</v>
      </c>
    </row>
    <row r="134" spans="2:21" s="127" customFormat="1">
      <c r="B134" s="86" t="s">
        <v>603</v>
      </c>
      <c r="C134" s="83" t="s">
        <v>604</v>
      </c>
      <c r="D134" s="96" t="s">
        <v>118</v>
      </c>
      <c r="E134" s="96" t="s">
        <v>311</v>
      </c>
      <c r="F134" s="83" t="s">
        <v>540</v>
      </c>
      <c r="G134" s="96" t="s">
        <v>369</v>
      </c>
      <c r="H134" s="83" t="s">
        <v>582</v>
      </c>
      <c r="I134" s="83" t="s">
        <v>315</v>
      </c>
      <c r="J134" s="83"/>
      <c r="K134" s="93">
        <v>6.7000000000086324</v>
      </c>
      <c r="L134" s="96" t="s">
        <v>162</v>
      </c>
      <c r="M134" s="97">
        <v>2.81E-2</v>
      </c>
      <c r="N134" s="97">
        <v>2.0199999999965464E-2</v>
      </c>
      <c r="O134" s="93">
        <v>21567.782993999997</v>
      </c>
      <c r="P134" s="95">
        <v>107.41</v>
      </c>
      <c r="Q134" s="83"/>
      <c r="R134" s="93">
        <v>23.165956654000002</v>
      </c>
      <c r="S134" s="94">
        <v>4.1197550803119639E-5</v>
      </c>
      <c r="T134" s="94">
        <f t="shared" si="1"/>
        <v>4.1908576201500668E-4</v>
      </c>
      <c r="U134" s="94">
        <f>R134/'סכום נכסי הקרן'!$C$42</f>
        <v>1.0274342430383805E-4</v>
      </c>
    </row>
    <row r="135" spans="2:21" s="127" customFormat="1">
      <c r="B135" s="86" t="s">
        <v>605</v>
      </c>
      <c r="C135" s="83" t="s">
        <v>606</v>
      </c>
      <c r="D135" s="96" t="s">
        <v>118</v>
      </c>
      <c r="E135" s="96" t="s">
        <v>311</v>
      </c>
      <c r="F135" s="83" t="s">
        <v>540</v>
      </c>
      <c r="G135" s="96" t="s">
        <v>369</v>
      </c>
      <c r="H135" s="83" t="s">
        <v>582</v>
      </c>
      <c r="I135" s="83" t="s">
        <v>315</v>
      </c>
      <c r="J135" s="83"/>
      <c r="K135" s="93">
        <v>4.7899999999926646</v>
      </c>
      <c r="L135" s="96" t="s">
        <v>162</v>
      </c>
      <c r="M135" s="97">
        <v>3.7000000000000005E-2</v>
      </c>
      <c r="N135" s="97">
        <v>1.339999999993181E-2</v>
      </c>
      <c r="O135" s="93">
        <v>85867.306611000007</v>
      </c>
      <c r="P135" s="95">
        <v>112.72</v>
      </c>
      <c r="Q135" s="83"/>
      <c r="R135" s="93">
        <v>96.789629748999999</v>
      </c>
      <c r="S135" s="94">
        <v>1.26895802489318E-4</v>
      </c>
      <c r="T135" s="94">
        <f t="shared" si="1"/>
        <v>1.7509812499587015E-3</v>
      </c>
      <c r="U135" s="94">
        <f>R135/'סכום נכסי הקרן'!$C$42</f>
        <v>4.2927206270999406E-4</v>
      </c>
    </row>
    <row r="136" spans="2:21" s="127" customFormat="1">
      <c r="B136" s="86" t="s">
        <v>607</v>
      </c>
      <c r="C136" s="83" t="s">
        <v>608</v>
      </c>
      <c r="D136" s="96" t="s">
        <v>118</v>
      </c>
      <c r="E136" s="96" t="s">
        <v>311</v>
      </c>
      <c r="F136" s="83" t="s">
        <v>324</v>
      </c>
      <c r="G136" s="96" t="s">
        <v>319</v>
      </c>
      <c r="H136" s="83" t="s">
        <v>582</v>
      </c>
      <c r="I136" s="83" t="s">
        <v>315</v>
      </c>
      <c r="J136" s="83"/>
      <c r="K136" s="93">
        <v>2.6200000000002737</v>
      </c>
      <c r="L136" s="96" t="s">
        <v>162</v>
      </c>
      <c r="M136" s="97">
        <v>4.4999999999999998E-2</v>
      </c>
      <c r="N136" s="97">
        <v>-4.0000000000548061E-4</v>
      </c>
      <c r="O136" s="93">
        <v>532705.28315599996</v>
      </c>
      <c r="P136" s="95">
        <v>135.65</v>
      </c>
      <c r="Q136" s="93">
        <v>7.2259962360000012</v>
      </c>
      <c r="R136" s="93">
        <v>729.8407027400001</v>
      </c>
      <c r="S136" s="94">
        <v>3.1299071473809631E-4</v>
      </c>
      <c r="T136" s="94">
        <f t="shared" si="1"/>
        <v>1.3203246972515936E-2</v>
      </c>
      <c r="U136" s="94">
        <f>R136/'סכום נכסי הקרן'!$C$42</f>
        <v>3.2369193345131932E-3</v>
      </c>
    </row>
    <row r="137" spans="2:21" s="127" customFormat="1">
      <c r="B137" s="86" t="s">
        <v>609</v>
      </c>
      <c r="C137" s="83" t="s">
        <v>610</v>
      </c>
      <c r="D137" s="96" t="s">
        <v>118</v>
      </c>
      <c r="E137" s="96" t="s">
        <v>311</v>
      </c>
      <c r="F137" s="83" t="s">
        <v>611</v>
      </c>
      <c r="G137" s="96" t="s">
        <v>369</v>
      </c>
      <c r="H137" s="83" t="s">
        <v>582</v>
      </c>
      <c r="I137" s="83" t="s">
        <v>158</v>
      </c>
      <c r="J137" s="83"/>
      <c r="K137" s="93">
        <v>2.6299998766687418</v>
      </c>
      <c r="L137" s="96" t="s">
        <v>162</v>
      </c>
      <c r="M137" s="97">
        <v>4.9500000000000002E-2</v>
      </c>
      <c r="N137" s="97">
        <v>1.5999996092474996E-3</v>
      </c>
      <c r="O137" s="93">
        <v>7.0336800000000004</v>
      </c>
      <c r="P137" s="95">
        <v>116.43</v>
      </c>
      <c r="Q137" s="83"/>
      <c r="R137" s="93">
        <v>8.1893269999999997E-3</v>
      </c>
      <c r="S137" s="94">
        <v>1.1375372666537304E-8</v>
      </c>
      <c r="T137" s="94">
        <f t="shared" si="1"/>
        <v>1.4814973529670614E-7</v>
      </c>
      <c r="U137" s="94">
        <f>R137/'סכום נכסי הקרן'!$C$42</f>
        <v>3.6320515974832185E-8</v>
      </c>
    </row>
    <row r="138" spans="2:21" s="127" customFormat="1">
      <c r="B138" s="86" t="s">
        <v>612</v>
      </c>
      <c r="C138" s="83" t="s">
        <v>613</v>
      </c>
      <c r="D138" s="96" t="s">
        <v>118</v>
      </c>
      <c r="E138" s="96" t="s">
        <v>311</v>
      </c>
      <c r="F138" s="83" t="s">
        <v>614</v>
      </c>
      <c r="G138" s="96" t="s">
        <v>404</v>
      </c>
      <c r="H138" s="83" t="s">
        <v>582</v>
      </c>
      <c r="I138" s="83" t="s">
        <v>315</v>
      </c>
      <c r="J138" s="83"/>
      <c r="K138" s="93">
        <v>0.75000000007654499</v>
      </c>
      <c r="L138" s="96" t="s">
        <v>162</v>
      </c>
      <c r="M138" s="97">
        <v>4.5999999999999999E-2</v>
      </c>
      <c r="N138" s="97">
        <v>-3.7000000001735016E-3</v>
      </c>
      <c r="O138" s="93">
        <v>9045.5751789999995</v>
      </c>
      <c r="P138" s="95">
        <v>108.32</v>
      </c>
      <c r="Q138" s="83"/>
      <c r="R138" s="93">
        <v>9.798166758999999</v>
      </c>
      <c r="S138" s="94">
        <v>4.2182194878208694E-5</v>
      </c>
      <c r="T138" s="94">
        <f t="shared" si="1"/>
        <v>1.7725459146262384E-4</v>
      </c>
      <c r="U138" s="94">
        <f>R138/'סכום נכסי הקרן'!$C$42</f>
        <v>4.3455887436700138E-5</v>
      </c>
    </row>
    <row r="139" spans="2:21" s="127" customFormat="1">
      <c r="B139" s="86" t="s">
        <v>615</v>
      </c>
      <c r="C139" s="83" t="s">
        <v>616</v>
      </c>
      <c r="D139" s="96" t="s">
        <v>118</v>
      </c>
      <c r="E139" s="96" t="s">
        <v>311</v>
      </c>
      <c r="F139" s="83" t="s">
        <v>614</v>
      </c>
      <c r="G139" s="96" t="s">
        <v>404</v>
      </c>
      <c r="H139" s="83" t="s">
        <v>582</v>
      </c>
      <c r="I139" s="83" t="s">
        <v>315</v>
      </c>
      <c r="J139" s="83"/>
      <c r="K139" s="93">
        <v>2.84000000000013</v>
      </c>
      <c r="L139" s="96" t="s">
        <v>162</v>
      </c>
      <c r="M139" s="97">
        <v>1.9799999999999998E-2</v>
      </c>
      <c r="N139" s="97">
        <v>1.7799999999989571E-2</v>
      </c>
      <c r="O139" s="93">
        <v>303318.10032799997</v>
      </c>
      <c r="P139" s="95">
        <v>101.15</v>
      </c>
      <c r="Q139" s="83"/>
      <c r="R139" s="93">
        <v>306.80624409400002</v>
      </c>
      <c r="S139" s="94">
        <v>3.6296447151977344E-4</v>
      </c>
      <c r="T139" s="94">
        <f t="shared" si="1"/>
        <v>5.550305153268726E-3</v>
      </c>
      <c r="U139" s="94">
        <f>R139/'סכום נכסי הקרן'!$C$42</f>
        <v>1.3607175644340971E-3</v>
      </c>
    </row>
    <row r="140" spans="2:21" s="127" customFormat="1">
      <c r="B140" s="86" t="s">
        <v>617</v>
      </c>
      <c r="C140" s="83" t="s">
        <v>618</v>
      </c>
      <c r="D140" s="96" t="s">
        <v>118</v>
      </c>
      <c r="E140" s="96" t="s">
        <v>311</v>
      </c>
      <c r="F140" s="83" t="s">
        <v>619</v>
      </c>
      <c r="G140" s="96" t="s">
        <v>369</v>
      </c>
      <c r="H140" s="83" t="s">
        <v>582</v>
      </c>
      <c r="I140" s="83" t="s">
        <v>158</v>
      </c>
      <c r="J140" s="83"/>
      <c r="K140" s="93">
        <v>0.75</v>
      </c>
      <c r="L140" s="96" t="s">
        <v>162</v>
      </c>
      <c r="M140" s="97">
        <v>4.4999999999999998E-2</v>
      </c>
      <c r="N140" s="97">
        <v>-1.3400000000053472E-2</v>
      </c>
      <c r="O140" s="93">
        <v>91949.319562999997</v>
      </c>
      <c r="P140" s="95">
        <v>113.9</v>
      </c>
      <c r="Q140" s="83"/>
      <c r="R140" s="93">
        <v>104.730278216</v>
      </c>
      <c r="S140" s="94">
        <v>2.6460235845467627E-4</v>
      </c>
      <c r="T140" s="94">
        <f t="shared" ref="T140:T164" si="2">R140/$R$11</f>
        <v>1.8946322445361858E-3</v>
      </c>
      <c r="U140" s="94">
        <f>R140/'סכום נכסי הקרן'!$C$42</f>
        <v>4.6448966355756068E-4</v>
      </c>
    </row>
    <row r="141" spans="2:21" s="127" customFormat="1">
      <c r="B141" s="86" t="s">
        <v>620</v>
      </c>
      <c r="C141" s="83" t="s">
        <v>621</v>
      </c>
      <c r="D141" s="96" t="s">
        <v>118</v>
      </c>
      <c r="E141" s="96" t="s">
        <v>311</v>
      </c>
      <c r="F141" s="83" t="s">
        <v>619</v>
      </c>
      <c r="G141" s="96" t="s">
        <v>369</v>
      </c>
      <c r="H141" s="83" t="s">
        <v>582</v>
      </c>
      <c r="I141" s="83" t="s">
        <v>158</v>
      </c>
      <c r="J141" s="83"/>
      <c r="K141" s="93">
        <v>2.9300000034484612</v>
      </c>
      <c r="L141" s="96" t="s">
        <v>162</v>
      </c>
      <c r="M141" s="97">
        <v>3.3000000000000002E-2</v>
      </c>
      <c r="N141" s="97">
        <v>3.8999999941123835E-3</v>
      </c>
      <c r="O141" s="93">
        <v>216.761369</v>
      </c>
      <c r="P141" s="95">
        <v>109.7</v>
      </c>
      <c r="Q141" s="83"/>
      <c r="R141" s="93">
        <v>0.23778722599999999</v>
      </c>
      <c r="S141" s="94">
        <v>3.6125650003643624E-7</v>
      </c>
      <c r="T141" s="94">
        <f t="shared" si="2"/>
        <v>4.3017105787616053E-6</v>
      </c>
      <c r="U141" s="94">
        <f>R141/'סכום נכסי הקרן'!$C$42</f>
        <v>1.0546110493016132E-6</v>
      </c>
    </row>
    <row r="142" spans="2:21" s="127" customFormat="1">
      <c r="B142" s="86" t="s">
        <v>622</v>
      </c>
      <c r="C142" s="83" t="s">
        <v>623</v>
      </c>
      <c r="D142" s="96" t="s">
        <v>118</v>
      </c>
      <c r="E142" s="96" t="s">
        <v>311</v>
      </c>
      <c r="F142" s="83" t="s">
        <v>619</v>
      </c>
      <c r="G142" s="96" t="s">
        <v>369</v>
      </c>
      <c r="H142" s="83" t="s">
        <v>582</v>
      </c>
      <c r="I142" s="83" t="s">
        <v>158</v>
      </c>
      <c r="J142" s="83"/>
      <c r="K142" s="93">
        <v>5.049999999990713</v>
      </c>
      <c r="L142" s="96" t="s">
        <v>162</v>
      </c>
      <c r="M142" s="97">
        <v>1.6E-2</v>
      </c>
      <c r="N142" s="97">
        <v>8.999999999876173E-3</v>
      </c>
      <c r="O142" s="93">
        <v>30590.00806</v>
      </c>
      <c r="P142" s="95">
        <v>105.6</v>
      </c>
      <c r="Q142" s="83"/>
      <c r="R142" s="93">
        <v>32.303050306000003</v>
      </c>
      <c r="S142" s="94">
        <v>1.8998804069385005E-4</v>
      </c>
      <c r="T142" s="94">
        <f t="shared" si="2"/>
        <v>5.8438115270156908E-4</v>
      </c>
      <c r="U142" s="94">
        <f>R142/'סכום נכסי הקרן'!$C$42</f>
        <v>1.4326738383689904E-4</v>
      </c>
    </row>
    <row r="143" spans="2:21" s="127" customFormat="1">
      <c r="B143" s="86" t="s">
        <v>624</v>
      </c>
      <c r="C143" s="83" t="s">
        <v>625</v>
      </c>
      <c r="D143" s="96" t="s">
        <v>118</v>
      </c>
      <c r="E143" s="96" t="s">
        <v>311</v>
      </c>
      <c r="F143" s="83" t="s">
        <v>581</v>
      </c>
      <c r="G143" s="96" t="s">
        <v>319</v>
      </c>
      <c r="H143" s="83" t="s">
        <v>626</v>
      </c>
      <c r="I143" s="83" t="s">
        <v>158</v>
      </c>
      <c r="J143" s="83"/>
      <c r="K143" s="93">
        <v>1.3999999999963191</v>
      </c>
      <c r="L143" s="96" t="s">
        <v>162</v>
      </c>
      <c r="M143" s="97">
        <v>5.2999999999999999E-2</v>
      </c>
      <c r="N143" s="97">
        <v>-5.1999999999521474E-3</v>
      </c>
      <c r="O143" s="93">
        <v>91646.87411400002</v>
      </c>
      <c r="P143" s="95">
        <v>118.57</v>
      </c>
      <c r="Q143" s="83"/>
      <c r="R143" s="93">
        <v>108.665701376</v>
      </c>
      <c r="S143" s="94">
        <v>3.5247984321131056E-4</v>
      </c>
      <c r="T143" s="94">
        <f t="shared" si="2"/>
        <v>1.9658263609067406E-3</v>
      </c>
      <c r="U143" s="94">
        <f>R143/'סכום נכסי הקרן'!$C$42</f>
        <v>4.8194367409475189E-4</v>
      </c>
    </row>
    <row r="144" spans="2:21" s="127" customFormat="1">
      <c r="B144" s="86" t="s">
        <v>627</v>
      </c>
      <c r="C144" s="83" t="s">
        <v>628</v>
      </c>
      <c r="D144" s="96" t="s">
        <v>118</v>
      </c>
      <c r="E144" s="96" t="s">
        <v>311</v>
      </c>
      <c r="F144" s="83" t="s">
        <v>629</v>
      </c>
      <c r="G144" s="96" t="s">
        <v>369</v>
      </c>
      <c r="H144" s="83" t="s">
        <v>626</v>
      </c>
      <c r="I144" s="83" t="s">
        <v>158</v>
      </c>
      <c r="J144" s="83"/>
      <c r="K144" s="93">
        <v>1.6899999996557606</v>
      </c>
      <c r="L144" s="96" t="s">
        <v>162</v>
      </c>
      <c r="M144" s="97">
        <v>5.3499999999999999E-2</v>
      </c>
      <c r="N144" s="97">
        <v>6.4999999991248144E-3</v>
      </c>
      <c r="O144" s="93">
        <v>1537.84113</v>
      </c>
      <c r="P144" s="95">
        <v>111.45</v>
      </c>
      <c r="Q144" s="83"/>
      <c r="R144" s="93">
        <v>1.713924011</v>
      </c>
      <c r="S144" s="94">
        <v>8.7276237823941153E-6</v>
      </c>
      <c r="T144" s="94">
        <f t="shared" si="2"/>
        <v>3.100589200410716E-5</v>
      </c>
      <c r="U144" s="94">
        <f>R144/'סכום נכסי הקרן'!$C$42</f>
        <v>7.6014310359293211E-6</v>
      </c>
    </row>
    <row r="145" spans="2:21" s="127" customFormat="1">
      <c r="B145" s="86" t="s">
        <v>630</v>
      </c>
      <c r="C145" s="83" t="s">
        <v>631</v>
      </c>
      <c r="D145" s="96" t="s">
        <v>118</v>
      </c>
      <c r="E145" s="96" t="s">
        <v>311</v>
      </c>
      <c r="F145" s="83" t="s">
        <v>632</v>
      </c>
      <c r="G145" s="96" t="s">
        <v>369</v>
      </c>
      <c r="H145" s="83" t="s">
        <v>626</v>
      </c>
      <c r="I145" s="83" t="s">
        <v>315</v>
      </c>
      <c r="J145" s="83"/>
      <c r="K145" s="93">
        <v>0.65999999995888248</v>
      </c>
      <c r="L145" s="96" t="s">
        <v>162</v>
      </c>
      <c r="M145" s="97">
        <v>4.8499999999999995E-2</v>
      </c>
      <c r="N145" s="97">
        <v>-6.7999999989533724E-3</v>
      </c>
      <c r="O145" s="93">
        <v>4195.1739399999997</v>
      </c>
      <c r="P145" s="95">
        <v>127.54</v>
      </c>
      <c r="Q145" s="83"/>
      <c r="R145" s="93">
        <v>5.3505247669999996</v>
      </c>
      <c r="S145" s="94">
        <v>3.0844337516612787E-5</v>
      </c>
      <c r="T145" s="94">
        <f t="shared" si="2"/>
        <v>9.6794135577871082E-5</v>
      </c>
      <c r="U145" s="94">
        <f>R145/'סכום נכסי הקרן'!$C$42</f>
        <v>2.3730133168886622E-5</v>
      </c>
    </row>
    <row r="146" spans="2:21" s="127" customFormat="1">
      <c r="B146" s="86" t="s">
        <v>633</v>
      </c>
      <c r="C146" s="83" t="s">
        <v>634</v>
      </c>
      <c r="D146" s="96" t="s">
        <v>118</v>
      </c>
      <c r="E146" s="96" t="s">
        <v>311</v>
      </c>
      <c r="F146" s="83" t="s">
        <v>635</v>
      </c>
      <c r="G146" s="96" t="s">
        <v>369</v>
      </c>
      <c r="H146" s="83" t="s">
        <v>626</v>
      </c>
      <c r="I146" s="83" t="s">
        <v>315</v>
      </c>
      <c r="J146" s="83"/>
      <c r="K146" s="93">
        <v>1.2300000002755815</v>
      </c>
      <c r="L146" s="96" t="s">
        <v>162</v>
      </c>
      <c r="M146" s="97">
        <v>4.2500000000000003E-2</v>
      </c>
      <c r="N146" s="97">
        <v>-3.0000000010599291E-3</v>
      </c>
      <c r="O146" s="93">
        <v>1642.3698589999999</v>
      </c>
      <c r="P146" s="95">
        <v>114.89</v>
      </c>
      <c r="Q146" s="83"/>
      <c r="R146" s="93">
        <v>1.8869186760000001</v>
      </c>
      <c r="S146" s="94">
        <v>1.2802062459153898E-5</v>
      </c>
      <c r="T146" s="94">
        <f t="shared" si="2"/>
        <v>3.4135467099532262E-5</v>
      </c>
      <c r="U146" s="94">
        <f>R146/'סכום נכסי הקרן'!$C$42</f>
        <v>8.368680346366338E-6</v>
      </c>
    </row>
    <row r="147" spans="2:21" s="127" customFormat="1">
      <c r="B147" s="86" t="s">
        <v>636</v>
      </c>
      <c r="C147" s="83" t="s">
        <v>637</v>
      </c>
      <c r="D147" s="96" t="s">
        <v>118</v>
      </c>
      <c r="E147" s="96" t="s">
        <v>311</v>
      </c>
      <c r="F147" s="83" t="s">
        <v>423</v>
      </c>
      <c r="G147" s="96" t="s">
        <v>319</v>
      </c>
      <c r="H147" s="83" t="s">
        <v>626</v>
      </c>
      <c r="I147" s="83" t="s">
        <v>315</v>
      </c>
      <c r="J147" s="83"/>
      <c r="K147" s="93">
        <v>2.6000000000011494</v>
      </c>
      <c r="L147" s="96" t="s">
        <v>162</v>
      </c>
      <c r="M147" s="97">
        <v>5.0999999999999997E-2</v>
      </c>
      <c r="N147" s="97">
        <v>3.9999999999885076E-4</v>
      </c>
      <c r="O147" s="93">
        <v>500323.83275100001</v>
      </c>
      <c r="P147" s="95">
        <v>137.6</v>
      </c>
      <c r="Q147" s="93">
        <v>7.7066026410000008</v>
      </c>
      <c r="R147" s="93">
        <v>696.15222165199998</v>
      </c>
      <c r="S147" s="94">
        <v>4.3610996032591678E-4</v>
      </c>
      <c r="T147" s="94">
        <f t="shared" si="2"/>
        <v>1.2593802563257969E-2</v>
      </c>
      <c r="U147" s="94">
        <f>R147/'סכום נכסי הקרן'!$C$42</f>
        <v>3.0875074212357604E-3</v>
      </c>
    </row>
    <row r="148" spans="2:21" s="127" customFormat="1">
      <c r="B148" s="86" t="s">
        <v>638</v>
      </c>
      <c r="C148" s="83" t="s">
        <v>639</v>
      </c>
      <c r="D148" s="96" t="s">
        <v>118</v>
      </c>
      <c r="E148" s="96" t="s">
        <v>311</v>
      </c>
      <c r="F148" s="83" t="s">
        <v>640</v>
      </c>
      <c r="G148" s="96" t="s">
        <v>369</v>
      </c>
      <c r="H148" s="83" t="s">
        <v>626</v>
      </c>
      <c r="I148" s="83" t="s">
        <v>315</v>
      </c>
      <c r="J148" s="83"/>
      <c r="K148" s="93">
        <v>1.2299999999914031</v>
      </c>
      <c r="L148" s="96" t="s">
        <v>162</v>
      </c>
      <c r="M148" s="97">
        <v>5.4000000000000006E-2</v>
      </c>
      <c r="N148" s="97">
        <v>-5.8000000000132243E-3</v>
      </c>
      <c r="O148" s="93">
        <v>34591.290246999997</v>
      </c>
      <c r="P148" s="95">
        <v>131.15</v>
      </c>
      <c r="Q148" s="83"/>
      <c r="R148" s="93">
        <v>45.366477493000005</v>
      </c>
      <c r="S148" s="94">
        <v>3.3948748396867202E-4</v>
      </c>
      <c r="T148" s="94">
        <f t="shared" si="2"/>
        <v>8.2070622310379438E-4</v>
      </c>
      <c r="U148" s="94">
        <f>R148/'סכום נכסי הקרן'!$C$42</f>
        <v>2.0120504047602101E-4</v>
      </c>
    </row>
    <row r="149" spans="2:21" s="127" customFormat="1">
      <c r="B149" s="86" t="s">
        <v>641</v>
      </c>
      <c r="C149" s="83" t="s">
        <v>642</v>
      </c>
      <c r="D149" s="96" t="s">
        <v>118</v>
      </c>
      <c r="E149" s="96" t="s">
        <v>311</v>
      </c>
      <c r="F149" s="83" t="s">
        <v>643</v>
      </c>
      <c r="G149" s="96" t="s">
        <v>369</v>
      </c>
      <c r="H149" s="83" t="s">
        <v>626</v>
      </c>
      <c r="I149" s="83" t="s">
        <v>158</v>
      </c>
      <c r="J149" s="83"/>
      <c r="K149" s="93">
        <v>6.6699999999985282</v>
      </c>
      <c r="L149" s="96" t="s">
        <v>162</v>
      </c>
      <c r="M149" s="97">
        <v>2.6000000000000002E-2</v>
      </c>
      <c r="N149" s="97">
        <v>1.7599999999999994E-2</v>
      </c>
      <c r="O149" s="93">
        <v>318137.81892599998</v>
      </c>
      <c r="P149" s="95">
        <v>106.93</v>
      </c>
      <c r="Q149" s="83"/>
      <c r="R149" s="93">
        <v>340.1847717500001</v>
      </c>
      <c r="S149" s="94">
        <v>5.1914593255005621E-4</v>
      </c>
      <c r="T149" s="94">
        <f t="shared" si="2"/>
        <v>6.1541423228957531E-3</v>
      </c>
      <c r="U149" s="94">
        <f>R149/'סכום נכסי הקרן'!$C$42</f>
        <v>1.5087548020417943E-3</v>
      </c>
    </row>
    <row r="150" spans="2:21" s="127" customFormat="1">
      <c r="B150" s="86" t="s">
        <v>644</v>
      </c>
      <c r="C150" s="83" t="s">
        <v>645</v>
      </c>
      <c r="D150" s="96" t="s">
        <v>118</v>
      </c>
      <c r="E150" s="96" t="s">
        <v>311</v>
      </c>
      <c r="F150" s="83" t="s">
        <v>643</v>
      </c>
      <c r="G150" s="96" t="s">
        <v>369</v>
      </c>
      <c r="H150" s="83" t="s">
        <v>626</v>
      </c>
      <c r="I150" s="83" t="s">
        <v>158</v>
      </c>
      <c r="J150" s="83"/>
      <c r="K150" s="93">
        <v>3.47000000003771</v>
      </c>
      <c r="L150" s="96" t="s">
        <v>162</v>
      </c>
      <c r="M150" s="97">
        <v>4.4000000000000004E-2</v>
      </c>
      <c r="N150" s="97">
        <v>7.3999999994425426E-3</v>
      </c>
      <c r="O150" s="93">
        <v>5332.3399589999999</v>
      </c>
      <c r="P150" s="95">
        <v>114.38</v>
      </c>
      <c r="Q150" s="83"/>
      <c r="R150" s="93">
        <v>6.0991306910000009</v>
      </c>
      <c r="S150" s="94">
        <v>3.9063616883021744E-5</v>
      </c>
      <c r="T150" s="94">
        <f t="shared" si="2"/>
        <v>1.1033685642442493E-4</v>
      </c>
      <c r="U150" s="94">
        <f>R150/'סכום נכסי הקרן'!$C$42</f>
        <v>2.7050278209070761E-5</v>
      </c>
    </row>
    <row r="151" spans="2:21" s="127" customFormat="1">
      <c r="B151" s="86" t="s">
        <v>646</v>
      </c>
      <c r="C151" s="83" t="s">
        <v>647</v>
      </c>
      <c r="D151" s="96" t="s">
        <v>118</v>
      </c>
      <c r="E151" s="96" t="s">
        <v>311</v>
      </c>
      <c r="F151" s="83" t="s">
        <v>543</v>
      </c>
      <c r="G151" s="96" t="s">
        <v>369</v>
      </c>
      <c r="H151" s="83" t="s">
        <v>626</v>
      </c>
      <c r="I151" s="83" t="s">
        <v>315</v>
      </c>
      <c r="J151" s="83"/>
      <c r="K151" s="93">
        <v>4.4299999999272988</v>
      </c>
      <c r="L151" s="96" t="s">
        <v>162</v>
      </c>
      <c r="M151" s="97">
        <v>2.0499999999999997E-2</v>
      </c>
      <c r="N151" s="97">
        <v>1.2299999999438219E-2</v>
      </c>
      <c r="O151" s="93">
        <v>11465.712917000003</v>
      </c>
      <c r="P151" s="95">
        <v>105.57</v>
      </c>
      <c r="Q151" s="83"/>
      <c r="R151" s="93">
        <v>12.104353616000001</v>
      </c>
      <c r="S151" s="94">
        <v>2.4569683168295621E-5</v>
      </c>
      <c r="T151" s="94">
        <f t="shared" si="2"/>
        <v>2.189748662067259E-4</v>
      </c>
      <c r="U151" s="94">
        <f>R151/'סכום נכסי הקרן'!$C$42</f>
        <v>5.3684065720534276E-5</v>
      </c>
    </row>
    <row r="152" spans="2:21" s="127" customFormat="1">
      <c r="B152" s="86" t="s">
        <v>648</v>
      </c>
      <c r="C152" s="83" t="s">
        <v>649</v>
      </c>
      <c r="D152" s="96" t="s">
        <v>118</v>
      </c>
      <c r="E152" s="96" t="s">
        <v>311</v>
      </c>
      <c r="F152" s="83" t="s">
        <v>543</v>
      </c>
      <c r="G152" s="96" t="s">
        <v>369</v>
      </c>
      <c r="H152" s="83" t="s">
        <v>626</v>
      </c>
      <c r="I152" s="83" t="s">
        <v>315</v>
      </c>
      <c r="J152" s="83"/>
      <c r="K152" s="93">
        <v>5.6700000000002255</v>
      </c>
      <c r="L152" s="96" t="s">
        <v>162</v>
      </c>
      <c r="M152" s="97">
        <v>2.0499999999999997E-2</v>
      </c>
      <c r="N152" s="97">
        <v>1.6100000000036762E-2</v>
      </c>
      <c r="O152" s="93">
        <v>128077.9</v>
      </c>
      <c r="P152" s="95">
        <v>104.07</v>
      </c>
      <c r="Q152" s="83"/>
      <c r="R152" s="93">
        <v>133.29067099099998</v>
      </c>
      <c r="S152" s="94">
        <v>2.5525271589117699E-4</v>
      </c>
      <c r="T152" s="94">
        <f t="shared" si="2"/>
        <v>2.4113065243135359E-3</v>
      </c>
      <c r="U152" s="94">
        <f>R152/'סכום נכסי הקרן'!$C$42</f>
        <v>5.9115797244690764E-4</v>
      </c>
    </row>
    <row r="153" spans="2:21" s="127" customFormat="1">
      <c r="B153" s="86" t="s">
        <v>650</v>
      </c>
      <c r="C153" s="83" t="s">
        <v>651</v>
      </c>
      <c r="D153" s="96" t="s">
        <v>118</v>
      </c>
      <c r="E153" s="96" t="s">
        <v>311</v>
      </c>
      <c r="F153" s="83" t="s">
        <v>652</v>
      </c>
      <c r="G153" s="96" t="s">
        <v>369</v>
      </c>
      <c r="H153" s="83" t="s">
        <v>626</v>
      </c>
      <c r="I153" s="83" t="s">
        <v>158</v>
      </c>
      <c r="J153" s="83"/>
      <c r="K153" s="93">
        <v>3.8700000881770862</v>
      </c>
      <c r="L153" s="96" t="s">
        <v>162</v>
      </c>
      <c r="M153" s="97">
        <v>4.3400000000000001E-2</v>
      </c>
      <c r="N153" s="97">
        <v>1.7700000448113061E-2</v>
      </c>
      <c r="O153" s="93">
        <v>5.8765220000000005</v>
      </c>
      <c r="P153" s="95">
        <v>110.2</v>
      </c>
      <c r="Q153" s="93">
        <v>4.1343499999999997E-4</v>
      </c>
      <c r="R153" s="93">
        <v>6.9178970000000001E-3</v>
      </c>
      <c r="S153" s="94">
        <v>4.0028448468128778E-9</v>
      </c>
      <c r="T153" s="94">
        <f t="shared" si="2"/>
        <v>1.2514881984317851E-7</v>
      </c>
      <c r="U153" s="94">
        <f>R153/'סכום נכסי הקרן'!$C$42</f>
        <v>3.0681591845183823E-8</v>
      </c>
    </row>
    <row r="154" spans="2:21" s="127" customFormat="1">
      <c r="B154" s="86" t="s">
        <v>653</v>
      </c>
      <c r="C154" s="83" t="s">
        <v>654</v>
      </c>
      <c r="D154" s="96" t="s">
        <v>118</v>
      </c>
      <c r="E154" s="96" t="s">
        <v>311</v>
      </c>
      <c r="F154" s="83" t="s">
        <v>655</v>
      </c>
      <c r="G154" s="96" t="s">
        <v>369</v>
      </c>
      <c r="H154" s="83" t="s">
        <v>656</v>
      </c>
      <c r="I154" s="83" t="s">
        <v>158</v>
      </c>
      <c r="J154" s="83"/>
      <c r="K154" s="93">
        <v>3.9</v>
      </c>
      <c r="L154" s="96" t="s">
        <v>162</v>
      </c>
      <c r="M154" s="97">
        <v>4.6500000000000007E-2</v>
      </c>
      <c r="N154" s="97">
        <v>1.8699699699699698E-2</v>
      </c>
      <c r="O154" s="93">
        <v>2.9459999999999998E-3</v>
      </c>
      <c r="P154" s="95">
        <v>113.01</v>
      </c>
      <c r="Q154" s="83"/>
      <c r="R154" s="93">
        <v>3.3299999999999999E-6</v>
      </c>
      <c r="S154" s="94">
        <v>4.1109538920100135E-12</v>
      </c>
      <c r="T154" s="94">
        <f t="shared" si="2"/>
        <v>6.0241655820805721E-11</v>
      </c>
      <c r="U154" s="94">
        <f>R154/'סכום נכסי הקרן'!$C$42</f>
        <v>1.4768895929566763E-11</v>
      </c>
    </row>
    <row r="155" spans="2:21" s="127" customFormat="1">
      <c r="B155" s="86" t="s">
        <v>657</v>
      </c>
      <c r="C155" s="83" t="s">
        <v>658</v>
      </c>
      <c r="D155" s="96" t="s">
        <v>118</v>
      </c>
      <c r="E155" s="96" t="s">
        <v>311</v>
      </c>
      <c r="F155" s="83" t="s">
        <v>655</v>
      </c>
      <c r="G155" s="96" t="s">
        <v>369</v>
      </c>
      <c r="H155" s="83" t="s">
        <v>656</v>
      </c>
      <c r="I155" s="83" t="s">
        <v>158</v>
      </c>
      <c r="J155" s="83"/>
      <c r="K155" s="93">
        <v>0.74000000000376265</v>
      </c>
      <c r="L155" s="96" t="s">
        <v>162</v>
      </c>
      <c r="M155" s="97">
        <v>5.5999999999999994E-2</v>
      </c>
      <c r="N155" s="97">
        <v>-6.300000000169316E-3</v>
      </c>
      <c r="O155" s="93">
        <v>23653.951922</v>
      </c>
      <c r="P155" s="95">
        <v>112.36</v>
      </c>
      <c r="Q155" s="83"/>
      <c r="R155" s="93">
        <v>26.577579484999998</v>
      </c>
      <c r="S155" s="94">
        <v>3.7363290456182474E-4</v>
      </c>
      <c r="T155" s="94">
        <f t="shared" si="2"/>
        <v>4.8080402278843145E-4</v>
      </c>
      <c r="U155" s="94">
        <f>R155/'סכום נכסי הקרן'!$C$42</f>
        <v>1.1787432596809417E-4</v>
      </c>
    </row>
    <row r="156" spans="2:21" s="127" customFormat="1">
      <c r="B156" s="86" t="s">
        <v>659</v>
      </c>
      <c r="C156" s="83" t="s">
        <v>660</v>
      </c>
      <c r="D156" s="96" t="s">
        <v>118</v>
      </c>
      <c r="E156" s="96" t="s">
        <v>311</v>
      </c>
      <c r="F156" s="83" t="s">
        <v>661</v>
      </c>
      <c r="G156" s="96" t="s">
        <v>365</v>
      </c>
      <c r="H156" s="83" t="s">
        <v>656</v>
      </c>
      <c r="I156" s="83" t="s">
        <v>158</v>
      </c>
      <c r="J156" s="83"/>
      <c r="K156" s="93">
        <v>3.9999999911753105E-2</v>
      </c>
      <c r="L156" s="96" t="s">
        <v>162</v>
      </c>
      <c r="M156" s="97">
        <v>4.2000000000000003E-2</v>
      </c>
      <c r="N156" s="97">
        <v>2.0599999999595539E-2</v>
      </c>
      <c r="O156" s="93">
        <v>5301.4463910000004</v>
      </c>
      <c r="P156" s="95">
        <v>102.6</v>
      </c>
      <c r="Q156" s="83"/>
      <c r="R156" s="93">
        <v>5.439284236999999</v>
      </c>
      <c r="S156" s="94">
        <v>1.182250025294363E-4</v>
      </c>
      <c r="T156" s="94">
        <f t="shared" si="2"/>
        <v>9.8399846521587925E-5</v>
      </c>
      <c r="U156" s="94">
        <f>R156/'סכום נכסי הקרן'!$C$42</f>
        <v>2.4123790638914696E-5</v>
      </c>
    </row>
    <row r="157" spans="2:21" s="127" customFormat="1">
      <c r="B157" s="86" t="s">
        <v>662</v>
      </c>
      <c r="C157" s="83" t="s">
        <v>663</v>
      </c>
      <c r="D157" s="96" t="s">
        <v>118</v>
      </c>
      <c r="E157" s="96" t="s">
        <v>311</v>
      </c>
      <c r="F157" s="83" t="s">
        <v>664</v>
      </c>
      <c r="G157" s="96" t="s">
        <v>369</v>
      </c>
      <c r="H157" s="83" t="s">
        <v>656</v>
      </c>
      <c r="I157" s="83" t="s">
        <v>158</v>
      </c>
      <c r="J157" s="83"/>
      <c r="K157" s="93">
        <v>1.2899999999911749</v>
      </c>
      <c r="L157" s="96" t="s">
        <v>162</v>
      </c>
      <c r="M157" s="97">
        <v>4.8000000000000001E-2</v>
      </c>
      <c r="N157" s="97">
        <v>-7.0000000006916971E-4</v>
      </c>
      <c r="O157" s="93">
        <v>38979.048854000001</v>
      </c>
      <c r="P157" s="95">
        <v>107.56</v>
      </c>
      <c r="Q157" s="83"/>
      <c r="R157" s="93">
        <v>41.925866253000002</v>
      </c>
      <c r="S157" s="94">
        <v>2.7818492293704217E-4</v>
      </c>
      <c r="T157" s="94">
        <f t="shared" si="2"/>
        <v>7.5846354498569364E-4</v>
      </c>
      <c r="U157" s="94">
        <f>R157/'סכום נכסי הקרן'!$C$42</f>
        <v>1.8594557220645412E-4</v>
      </c>
    </row>
    <row r="158" spans="2:21" s="127" customFormat="1">
      <c r="B158" s="86" t="s">
        <v>665</v>
      </c>
      <c r="C158" s="83" t="s">
        <v>666</v>
      </c>
      <c r="D158" s="96" t="s">
        <v>118</v>
      </c>
      <c r="E158" s="96" t="s">
        <v>311</v>
      </c>
      <c r="F158" s="83" t="s">
        <v>667</v>
      </c>
      <c r="G158" s="96" t="s">
        <v>489</v>
      </c>
      <c r="H158" s="83" t="s">
        <v>656</v>
      </c>
      <c r="I158" s="83" t="s">
        <v>315</v>
      </c>
      <c r="J158" s="83"/>
      <c r="K158" s="93">
        <v>0.73999999999801547</v>
      </c>
      <c r="L158" s="96" t="s">
        <v>162</v>
      </c>
      <c r="M158" s="97">
        <v>4.8000000000000001E-2</v>
      </c>
      <c r="N158" s="97">
        <v>-6.7999999999162107E-3</v>
      </c>
      <c r="O158" s="93">
        <v>72977.837799000001</v>
      </c>
      <c r="P158" s="95">
        <v>124.29</v>
      </c>
      <c r="Q158" s="83"/>
      <c r="R158" s="93">
        <v>90.704161307000007</v>
      </c>
      <c r="S158" s="94">
        <v>2.3780677975021467E-4</v>
      </c>
      <c r="T158" s="94">
        <f t="shared" si="2"/>
        <v>1.6408915516429843E-3</v>
      </c>
      <c r="U158" s="94">
        <f>R158/'סכום נכסי הקרן'!$C$42</f>
        <v>4.0228237799451038E-4</v>
      </c>
    </row>
    <row r="159" spans="2:21" s="127" customFormat="1">
      <c r="B159" s="86" t="s">
        <v>668</v>
      </c>
      <c r="C159" s="83" t="s">
        <v>669</v>
      </c>
      <c r="D159" s="96" t="s">
        <v>118</v>
      </c>
      <c r="E159" s="96" t="s">
        <v>311</v>
      </c>
      <c r="F159" s="83" t="s">
        <v>670</v>
      </c>
      <c r="G159" s="96" t="s">
        <v>369</v>
      </c>
      <c r="H159" s="83" t="s">
        <v>656</v>
      </c>
      <c r="I159" s="83" t="s">
        <v>315</v>
      </c>
      <c r="J159" s="83"/>
      <c r="K159" s="93">
        <v>1.0899999999952845</v>
      </c>
      <c r="L159" s="96" t="s">
        <v>162</v>
      </c>
      <c r="M159" s="97">
        <v>5.4000000000000006E-2</v>
      </c>
      <c r="N159" s="97">
        <v>4.1699999999779955E-2</v>
      </c>
      <c r="O159" s="93">
        <v>24633.569035</v>
      </c>
      <c r="P159" s="95">
        <v>103.31</v>
      </c>
      <c r="Q159" s="83"/>
      <c r="R159" s="93">
        <v>25.448939868</v>
      </c>
      <c r="S159" s="94">
        <v>4.9764785929292928E-4</v>
      </c>
      <c r="T159" s="94">
        <f t="shared" si="2"/>
        <v>4.6038626922896006E-4</v>
      </c>
      <c r="U159" s="94">
        <f>R159/'סכום נכסי הקרן'!$C$42</f>
        <v>1.1286869202050887E-4</v>
      </c>
    </row>
    <row r="160" spans="2:21" s="127" customFormat="1">
      <c r="B160" s="86" t="s">
        <v>671</v>
      </c>
      <c r="C160" s="83" t="s">
        <v>672</v>
      </c>
      <c r="D160" s="96" t="s">
        <v>118</v>
      </c>
      <c r="E160" s="96" t="s">
        <v>311</v>
      </c>
      <c r="F160" s="83" t="s">
        <v>670</v>
      </c>
      <c r="G160" s="96" t="s">
        <v>369</v>
      </c>
      <c r="H160" s="83" t="s">
        <v>656</v>
      </c>
      <c r="I160" s="83" t="s">
        <v>315</v>
      </c>
      <c r="J160" s="83"/>
      <c r="K160" s="93">
        <v>0.17999999997455907</v>
      </c>
      <c r="L160" s="96" t="s">
        <v>162</v>
      </c>
      <c r="M160" s="97">
        <v>6.4000000000000001E-2</v>
      </c>
      <c r="N160" s="97">
        <v>1.2399999999872796E-2</v>
      </c>
      <c r="O160" s="93">
        <v>13962.080316</v>
      </c>
      <c r="P160" s="95">
        <v>112.61</v>
      </c>
      <c r="Q160" s="83"/>
      <c r="R160" s="93">
        <v>15.722698430000001</v>
      </c>
      <c r="S160" s="94">
        <v>4.068821708417359E-4</v>
      </c>
      <c r="T160" s="94">
        <f t="shared" si="2"/>
        <v>2.8443284906738215E-4</v>
      </c>
      <c r="U160" s="94">
        <f>R160/'סכום נכסי הקרן'!$C$42</f>
        <v>6.9731800854244073E-5</v>
      </c>
    </row>
    <row r="161" spans="2:21" s="127" customFormat="1">
      <c r="B161" s="86" t="s">
        <v>673</v>
      </c>
      <c r="C161" s="83" t="s">
        <v>674</v>
      </c>
      <c r="D161" s="96" t="s">
        <v>118</v>
      </c>
      <c r="E161" s="96" t="s">
        <v>311</v>
      </c>
      <c r="F161" s="83" t="s">
        <v>670</v>
      </c>
      <c r="G161" s="96" t="s">
        <v>369</v>
      </c>
      <c r="H161" s="83" t="s">
        <v>656</v>
      </c>
      <c r="I161" s="83" t="s">
        <v>315</v>
      </c>
      <c r="J161" s="83"/>
      <c r="K161" s="93">
        <v>1.940000000008903</v>
      </c>
      <c r="L161" s="96" t="s">
        <v>162</v>
      </c>
      <c r="M161" s="97">
        <v>2.5000000000000001E-2</v>
      </c>
      <c r="N161" s="97">
        <v>5.3700000000192906E-2</v>
      </c>
      <c r="O161" s="93">
        <v>77220.964565999995</v>
      </c>
      <c r="P161" s="95">
        <v>96</v>
      </c>
      <c r="Q161" s="83"/>
      <c r="R161" s="93">
        <v>74.132125860999992</v>
      </c>
      <c r="S161" s="94">
        <v>1.586053252644036E-4</v>
      </c>
      <c r="T161" s="94">
        <f t="shared" si="2"/>
        <v>1.3410936971120157E-3</v>
      </c>
      <c r="U161" s="94">
        <f>R161/'סכום נכסי הקרן'!$C$42</f>
        <v>3.2878367924283898E-4</v>
      </c>
    </row>
    <row r="162" spans="2:21" s="127" customFormat="1">
      <c r="B162" s="86" t="s">
        <v>675</v>
      </c>
      <c r="C162" s="83" t="s">
        <v>676</v>
      </c>
      <c r="D162" s="96" t="s">
        <v>118</v>
      </c>
      <c r="E162" s="96" t="s">
        <v>311</v>
      </c>
      <c r="F162" s="83" t="s">
        <v>602</v>
      </c>
      <c r="G162" s="96" t="s">
        <v>319</v>
      </c>
      <c r="H162" s="83" t="s">
        <v>656</v>
      </c>
      <c r="I162" s="83" t="s">
        <v>315</v>
      </c>
      <c r="J162" s="83"/>
      <c r="K162" s="93">
        <v>1.2400000000074622</v>
      </c>
      <c r="L162" s="96" t="s">
        <v>162</v>
      </c>
      <c r="M162" s="97">
        <v>2.4E-2</v>
      </c>
      <c r="N162" s="97">
        <v>-3.2000000000106592E-3</v>
      </c>
      <c r="O162" s="93">
        <v>35435.327639000003</v>
      </c>
      <c r="P162" s="95">
        <v>105.89</v>
      </c>
      <c r="Q162" s="83"/>
      <c r="R162" s="93">
        <v>37.522469078</v>
      </c>
      <c r="S162" s="94">
        <v>2.7142900199155889E-4</v>
      </c>
      <c r="T162" s="94">
        <f t="shared" si="2"/>
        <v>6.7880350382693738E-4</v>
      </c>
      <c r="U162" s="94">
        <f>R162/'סכום נכסי הקרן'!$C$42</f>
        <v>1.66416048298309E-4</v>
      </c>
    </row>
    <row r="163" spans="2:21" s="127" customFormat="1">
      <c r="B163" s="86" t="s">
        <v>677</v>
      </c>
      <c r="C163" s="83" t="s">
        <v>678</v>
      </c>
      <c r="D163" s="96" t="s">
        <v>118</v>
      </c>
      <c r="E163" s="96" t="s">
        <v>311</v>
      </c>
      <c r="F163" s="83" t="s">
        <v>679</v>
      </c>
      <c r="G163" s="96" t="s">
        <v>568</v>
      </c>
      <c r="H163" s="83" t="s">
        <v>680</v>
      </c>
      <c r="I163" s="83" t="s">
        <v>315</v>
      </c>
      <c r="J163" s="83"/>
      <c r="K163" s="93">
        <v>1.459999995188269</v>
      </c>
      <c r="L163" s="96" t="s">
        <v>162</v>
      </c>
      <c r="M163" s="97">
        <v>0.05</v>
      </c>
      <c r="N163" s="97">
        <v>1.2500000085923765E-2</v>
      </c>
      <c r="O163" s="93">
        <v>27.591822000000001</v>
      </c>
      <c r="P163" s="95">
        <v>105.45</v>
      </c>
      <c r="Q163" s="83"/>
      <c r="R163" s="93">
        <v>2.9095559E-2</v>
      </c>
      <c r="S163" s="94">
        <v>2.6820856480468921E-7</v>
      </c>
      <c r="T163" s="94">
        <f t="shared" si="2"/>
        <v>5.2635575110869259E-7</v>
      </c>
      <c r="U163" s="94">
        <f>R163/'סכום נכסי הקרן'!$C$42</f>
        <v>1.2904182669176265E-7</v>
      </c>
    </row>
    <row r="164" spans="2:21" s="127" customFormat="1">
      <c r="B164" s="86" t="s">
        <v>681</v>
      </c>
      <c r="C164" s="83" t="s">
        <v>682</v>
      </c>
      <c r="D164" s="96" t="s">
        <v>118</v>
      </c>
      <c r="E164" s="96" t="s">
        <v>311</v>
      </c>
      <c r="F164" s="83" t="s">
        <v>683</v>
      </c>
      <c r="G164" s="96" t="s">
        <v>568</v>
      </c>
      <c r="H164" s="83" t="s">
        <v>684</v>
      </c>
      <c r="I164" s="83" t="s">
        <v>315</v>
      </c>
      <c r="J164" s="83"/>
      <c r="K164" s="93">
        <v>0.83999999998762054</v>
      </c>
      <c r="L164" s="96" t="s">
        <v>162</v>
      </c>
      <c r="M164" s="97">
        <v>4.9000000000000002E-2</v>
      </c>
      <c r="N164" s="97">
        <v>0</v>
      </c>
      <c r="O164" s="93">
        <v>100910.061166</v>
      </c>
      <c r="P164" s="95">
        <v>48.03</v>
      </c>
      <c r="Q164" s="83"/>
      <c r="R164" s="93">
        <v>48.467096265000002</v>
      </c>
      <c r="S164" s="94">
        <v>1.3238143747165866E-4</v>
      </c>
      <c r="T164" s="94">
        <f t="shared" si="2"/>
        <v>8.7679823778678335E-4</v>
      </c>
      <c r="U164" s="94">
        <f>R164/'סכום נכסי הקרן'!$C$42</f>
        <v>2.1495660683065436E-4</v>
      </c>
    </row>
    <row r="165" spans="2:21" s="127" customFormat="1">
      <c r="B165" s="82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93"/>
      <c r="P165" s="95"/>
      <c r="Q165" s="83"/>
      <c r="R165" s="83"/>
      <c r="S165" s="83"/>
      <c r="T165" s="94"/>
      <c r="U165" s="83"/>
    </row>
    <row r="166" spans="2:21" s="127" customFormat="1">
      <c r="B166" s="101" t="s">
        <v>44</v>
      </c>
      <c r="C166" s="81"/>
      <c r="D166" s="81"/>
      <c r="E166" s="81"/>
      <c r="F166" s="81"/>
      <c r="G166" s="81"/>
      <c r="H166" s="81"/>
      <c r="I166" s="81"/>
      <c r="J166" s="81"/>
      <c r="K166" s="90">
        <v>3.9266474372489979</v>
      </c>
      <c r="L166" s="81"/>
      <c r="M166" s="81"/>
      <c r="N166" s="103">
        <v>2.4115237528022849E-2</v>
      </c>
      <c r="O166" s="90"/>
      <c r="P166" s="92"/>
      <c r="Q166" s="90">
        <v>10.826207276000002</v>
      </c>
      <c r="R166" s="90">
        <v>10685.069545676004</v>
      </c>
      <c r="S166" s="81"/>
      <c r="T166" s="91">
        <f t="shared" ref="T166:T229" si="3">R166/$R$11</f>
        <v>0.19329918378137742</v>
      </c>
      <c r="U166" s="91">
        <f>R166/'סכום נכסי הקרן'!$C$42</f>
        <v>4.7389393429511144E-2</v>
      </c>
    </row>
    <row r="167" spans="2:21" s="127" customFormat="1">
      <c r="B167" s="86" t="s">
        <v>685</v>
      </c>
      <c r="C167" s="83" t="s">
        <v>686</v>
      </c>
      <c r="D167" s="96" t="s">
        <v>118</v>
      </c>
      <c r="E167" s="96" t="s">
        <v>311</v>
      </c>
      <c r="F167" s="83" t="s">
        <v>324</v>
      </c>
      <c r="G167" s="96" t="s">
        <v>319</v>
      </c>
      <c r="H167" s="83" t="s">
        <v>314</v>
      </c>
      <c r="I167" s="83" t="s">
        <v>158</v>
      </c>
      <c r="J167" s="83"/>
      <c r="K167" s="93">
        <v>5.6299999999885593</v>
      </c>
      <c r="L167" s="96" t="s">
        <v>162</v>
      </c>
      <c r="M167" s="97">
        <v>2.98E-2</v>
      </c>
      <c r="N167" s="97">
        <v>2.0099999999971897E-2</v>
      </c>
      <c r="O167" s="93">
        <v>184549.69906000004</v>
      </c>
      <c r="P167" s="95">
        <v>107.99</v>
      </c>
      <c r="Q167" s="83"/>
      <c r="R167" s="93">
        <v>199.295213856</v>
      </c>
      <c r="S167" s="94">
        <v>7.2597026274619805E-5</v>
      </c>
      <c r="T167" s="94">
        <f t="shared" si="3"/>
        <v>3.6053674714255327E-3</v>
      </c>
      <c r="U167" s="94">
        <f>R167/'סכום נכסי הקרן'!$C$42</f>
        <v>8.8389497678679162E-4</v>
      </c>
    </row>
    <row r="168" spans="2:21" s="127" customFormat="1">
      <c r="B168" s="86" t="s">
        <v>687</v>
      </c>
      <c r="C168" s="83" t="s">
        <v>688</v>
      </c>
      <c r="D168" s="96" t="s">
        <v>118</v>
      </c>
      <c r="E168" s="96" t="s">
        <v>311</v>
      </c>
      <c r="F168" s="83" t="s">
        <v>324</v>
      </c>
      <c r="G168" s="96" t="s">
        <v>319</v>
      </c>
      <c r="H168" s="83" t="s">
        <v>314</v>
      </c>
      <c r="I168" s="83" t="s">
        <v>158</v>
      </c>
      <c r="J168" s="83"/>
      <c r="K168" s="93">
        <v>3.0500000000011145</v>
      </c>
      <c r="L168" s="96" t="s">
        <v>162</v>
      </c>
      <c r="M168" s="97">
        <v>2.4700000000000003E-2</v>
      </c>
      <c r="N168" s="97">
        <v>1.2599999999991092E-2</v>
      </c>
      <c r="O168" s="93">
        <v>169813.27592500002</v>
      </c>
      <c r="P168" s="95">
        <v>105.75</v>
      </c>
      <c r="Q168" s="83"/>
      <c r="R168" s="93">
        <v>179.57754391599997</v>
      </c>
      <c r="S168" s="94">
        <v>5.0976148727346961E-5</v>
      </c>
      <c r="T168" s="94">
        <f t="shared" si="3"/>
        <v>3.2486632413613495E-3</v>
      </c>
      <c r="U168" s="94">
        <f>R168/'סכום נכסי הקרן'!$C$42</f>
        <v>7.964450622770596E-4</v>
      </c>
    </row>
    <row r="169" spans="2:21" s="127" customFormat="1">
      <c r="B169" s="86" t="s">
        <v>689</v>
      </c>
      <c r="C169" s="83" t="s">
        <v>690</v>
      </c>
      <c r="D169" s="96" t="s">
        <v>118</v>
      </c>
      <c r="E169" s="96" t="s">
        <v>311</v>
      </c>
      <c r="F169" s="83" t="s">
        <v>691</v>
      </c>
      <c r="G169" s="96" t="s">
        <v>369</v>
      </c>
      <c r="H169" s="83" t="s">
        <v>314</v>
      </c>
      <c r="I169" s="83" t="s">
        <v>158</v>
      </c>
      <c r="J169" s="83"/>
      <c r="K169" s="93">
        <v>4.5599999999980421</v>
      </c>
      <c r="L169" s="96" t="s">
        <v>162</v>
      </c>
      <c r="M169" s="97">
        <v>1.44E-2</v>
      </c>
      <c r="N169" s="97">
        <v>1.5299999999990203E-2</v>
      </c>
      <c r="O169" s="93">
        <v>205065.52569000001</v>
      </c>
      <c r="P169" s="95">
        <v>99.61</v>
      </c>
      <c r="Q169" s="83"/>
      <c r="R169" s="93">
        <v>204.26577014000003</v>
      </c>
      <c r="S169" s="94">
        <v>2.2785058410000001E-4</v>
      </c>
      <c r="T169" s="94">
        <f t="shared" si="3"/>
        <v>3.6952877539776865E-3</v>
      </c>
      <c r="U169" s="94">
        <f>R169/'סכום נכסי הקרן'!$C$42</f>
        <v>9.0593991026140133E-4</v>
      </c>
    </row>
    <row r="170" spans="2:21" s="127" customFormat="1">
      <c r="B170" s="86" t="s">
        <v>692</v>
      </c>
      <c r="C170" s="83" t="s">
        <v>693</v>
      </c>
      <c r="D170" s="96" t="s">
        <v>118</v>
      </c>
      <c r="E170" s="96" t="s">
        <v>311</v>
      </c>
      <c r="F170" s="83" t="s">
        <v>339</v>
      </c>
      <c r="G170" s="96" t="s">
        <v>319</v>
      </c>
      <c r="H170" s="83" t="s">
        <v>314</v>
      </c>
      <c r="I170" s="83" t="s">
        <v>158</v>
      </c>
      <c r="J170" s="83"/>
      <c r="K170" s="93">
        <v>0.15999999999350789</v>
      </c>
      <c r="L170" s="96" t="s">
        <v>162</v>
      </c>
      <c r="M170" s="97">
        <v>5.9000000000000004E-2</v>
      </c>
      <c r="N170" s="97">
        <v>6.0000000000463708E-4</v>
      </c>
      <c r="O170" s="93">
        <v>83795.072902999993</v>
      </c>
      <c r="P170" s="95">
        <v>102.94</v>
      </c>
      <c r="Q170" s="83"/>
      <c r="R170" s="93">
        <v>86.258645266000002</v>
      </c>
      <c r="S170" s="94">
        <v>1.5534067198957389E-4</v>
      </c>
      <c r="T170" s="94">
        <f t="shared" si="3"/>
        <v>1.560469555460464E-3</v>
      </c>
      <c r="U170" s="94">
        <f>R170/'סכום נכסי הקרן'!$C$42</f>
        <v>3.8256605254023148E-4</v>
      </c>
    </row>
    <row r="171" spans="2:21" s="127" customFormat="1">
      <c r="B171" s="86" t="s">
        <v>694</v>
      </c>
      <c r="C171" s="83" t="s">
        <v>695</v>
      </c>
      <c r="D171" s="96" t="s">
        <v>118</v>
      </c>
      <c r="E171" s="96" t="s">
        <v>311</v>
      </c>
      <c r="F171" s="83" t="s">
        <v>696</v>
      </c>
      <c r="G171" s="96" t="s">
        <v>697</v>
      </c>
      <c r="H171" s="83" t="s">
        <v>351</v>
      </c>
      <c r="I171" s="83" t="s">
        <v>158</v>
      </c>
      <c r="J171" s="83"/>
      <c r="K171" s="93">
        <v>0.73999999998217636</v>
      </c>
      <c r="L171" s="96" t="s">
        <v>162</v>
      </c>
      <c r="M171" s="97">
        <v>4.8399999999999999E-2</v>
      </c>
      <c r="N171" s="97">
        <v>3.8999999998496127E-3</v>
      </c>
      <c r="O171" s="93">
        <v>34348.071518999997</v>
      </c>
      <c r="P171" s="95">
        <v>104.54</v>
      </c>
      <c r="Q171" s="83"/>
      <c r="R171" s="93">
        <v>35.907475486000003</v>
      </c>
      <c r="S171" s="94">
        <v>8.1781122664285706E-5</v>
      </c>
      <c r="T171" s="94">
        <f t="shared" si="3"/>
        <v>6.4958732120769691E-4</v>
      </c>
      <c r="U171" s="94">
        <f>R171/'סכום נכסי הקרן'!$C$42</f>
        <v>1.5925338394780895E-4</v>
      </c>
    </row>
    <row r="172" spans="2:21" s="127" customFormat="1">
      <c r="B172" s="86" t="s">
        <v>698</v>
      </c>
      <c r="C172" s="83" t="s">
        <v>699</v>
      </c>
      <c r="D172" s="96" t="s">
        <v>118</v>
      </c>
      <c r="E172" s="96" t="s">
        <v>311</v>
      </c>
      <c r="F172" s="83" t="s">
        <v>350</v>
      </c>
      <c r="G172" s="96" t="s">
        <v>319</v>
      </c>
      <c r="H172" s="83" t="s">
        <v>351</v>
      </c>
      <c r="I172" s="83" t="s">
        <v>158</v>
      </c>
      <c r="J172" s="83"/>
      <c r="K172" s="93">
        <v>1.2800000000044711</v>
      </c>
      <c r="L172" s="96" t="s">
        <v>162</v>
      </c>
      <c r="M172" s="97">
        <v>1.95E-2</v>
      </c>
      <c r="N172" s="97">
        <v>6.0000000000248396E-3</v>
      </c>
      <c r="O172" s="93">
        <v>78827.570500999995</v>
      </c>
      <c r="P172" s="95">
        <v>102.14</v>
      </c>
      <c r="Q172" s="83"/>
      <c r="R172" s="93">
        <v>80.514480538000001</v>
      </c>
      <c r="S172" s="94">
        <v>1.7261503157788566E-4</v>
      </c>
      <c r="T172" s="94">
        <f t="shared" si="3"/>
        <v>1.4565542417901371E-3</v>
      </c>
      <c r="U172" s="94">
        <f>R172/'סכום נכסי הקרן'!$C$42</f>
        <v>3.5709008525190705E-4</v>
      </c>
    </row>
    <row r="173" spans="2:21" s="127" customFormat="1">
      <c r="B173" s="86" t="s">
        <v>700</v>
      </c>
      <c r="C173" s="83" t="s">
        <v>701</v>
      </c>
      <c r="D173" s="96" t="s">
        <v>118</v>
      </c>
      <c r="E173" s="96" t="s">
        <v>311</v>
      </c>
      <c r="F173" s="83" t="s">
        <v>423</v>
      </c>
      <c r="G173" s="96" t="s">
        <v>319</v>
      </c>
      <c r="H173" s="83" t="s">
        <v>351</v>
      </c>
      <c r="I173" s="83" t="s">
        <v>158</v>
      </c>
      <c r="J173" s="83"/>
      <c r="K173" s="93">
        <v>3.1000000000077361</v>
      </c>
      <c r="L173" s="96" t="s">
        <v>162</v>
      </c>
      <c r="M173" s="97">
        <v>1.8700000000000001E-2</v>
      </c>
      <c r="N173" s="97">
        <v>1.3000000000060163E-2</v>
      </c>
      <c r="O173" s="93">
        <v>113776.10747999999</v>
      </c>
      <c r="P173" s="95">
        <v>102.26</v>
      </c>
      <c r="Q173" s="83"/>
      <c r="R173" s="93">
        <v>116.34744625100001</v>
      </c>
      <c r="S173" s="94">
        <v>1.5695421089805488E-4</v>
      </c>
      <c r="T173" s="94">
        <f t="shared" si="3"/>
        <v>2.1047936374421726E-3</v>
      </c>
      <c r="U173" s="94">
        <f>R173/'סכום נכסי הקרן'!$C$42</f>
        <v>5.1601301061618074E-4</v>
      </c>
    </row>
    <row r="174" spans="2:21" s="127" customFormat="1">
      <c r="B174" s="86" t="s">
        <v>702</v>
      </c>
      <c r="C174" s="83" t="s">
        <v>703</v>
      </c>
      <c r="D174" s="96" t="s">
        <v>118</v>
      </c>
      <c r="E174" s="96" t="s">
        <v>311</v>
      </c>
      <c r="F174" s="83" t="s">
        <v>423</v>
      </c>
      <c r="G174" s="96" t="s">
        <v>319</v>
      </c>
      <c r="H174" s="83" t="s">
        <v>351</v>
      </c>
      <c r="I174" s="83" t="s">
        <v>158</v>
      </c>
      <c r="J174" s="83"/>
      <c r="K174" s="93">
        <v>5.6900000000163828</v>
      </c>
      <c r="L174" s="96" t="s">
        <v>162</v>
      </c>
      <c r="M174" s="97">
        <v>2.6800000000000001E-2</v>
      </c>
      <c r="N174" s="97">
        <v>1.9400000000065979E-2</v>
      </c>
      <c r="O174" s="93">
        <v>170462.91710000002</v>
      </c>
      <c r="P174" s="95">
        <v>104.92</v>
      </c>
      <c r="Q174" s="83"/>
      <c r="R174" s="93">
        <v>178.84969120299999</v>
      </c>
      <c r="S174" s="94">
        <v>2.2180500998014382E-4</v>
      </c>
      <c r="T174" s="94">
        <f t="shared" si="3"/>
        <v>3.2354959582908439E-3</v>
      </c>
      <c r="U174" s="94">
        <f>R174/'סכום נכסי הקרן'!$C$42</f>
        <v>7.9321695988356132E-4</v>
      </c>
    </row>
    <row r="175" spans="2:21" s="127" customFormat="1">
      <c r="B175" s="86" t="s">
        <v>704</v>
      </c>
      <c r="C175" s="83" t="s">
        <v>705</v>
      </c>
      <c r="D175" s="96" t="s">
        <v>118</v>
      </c>
      <c r="E175" s="96" t="s">
        <v>311</v>
      </c>
      <c r="F175" s="83" t="s">
        <v>706</v>
      </c>
      <c r="G175" s="96" t="s">
        <v>319</v>
      </c>
      <c r="H175" s="83" t="s">
        <v>351</v>
      </c>
      <c r="I175" s="83" t="s">
        <v>315</v>
      </c>
      <c r="J175" s="83"/>
      <c r="K175" s="93">
        <v>2.9399999999860991</v>
      </c>
      <c r="L175" s="96" t="s">
        <v>162</v>
      </c>
      <c r="M175" s="97">
        <v>2.07E-2</v>
      </c>
      <c r="N175" s="97">
        <v>1.1799999999991489E-2</v>
      </c>
      <c r="O175" s="93">
        <v>68711.621457999994</v>
      </c>
      <c r="P175" s="95">
        <v>102.6</v>
      </c>
      <c r="Q175" s="83"/>
      <c r="R175" s="93">
        <v>70.498124466999997</v>
      </c>
      <c r="S175" s="94">
        <v>2.710913287462075E-4</v>
      </c>
      <c r="T175" s="94">
        <f t="shared" si="3"/>
        <v>1.2753524775235244E-3</v>
      </c>
      <c r="U175" s="94">
        <f>R175/'סכום נכסי הקרן'!$C$42</f>
        <v>3.1266650555038055E-4</v>
      </c>
    </row>
    <row r="176" spans="2:21" s="127" customFormat="1">
      <c r="B176" s="86" t="s">
        <v>707</v>
      </c>
      <c r="C176" s="83" t="s">
        <v>708</v>
      </c>
      <c r="D176" s="96" t="s">
        <v>118</v>
      </c>
      <c r="E176" s="96" t="s">
        <v>311</v>
      </c>
      <c r="F176" s="83" t="s">
        <v>358</v>
      </c>
      <c r="G176" s="96" t="s">
        <v>359</v>
      </c>
      <c r="H176" s="83" t="s">
        <v>351</v>
      </c>
      <c r="I176" s="83" t="s">
        <v>158</v>
      </c>
      <c r="J176" s="83"/>
      <c r="K176" s="93">
        <v>4.1100000000059813</v>
      </c>
      <c r="L176" s="96" t="s">
        <v>162</v>
      </c>
      <c r="M176" s="97">
        <v>1.6299999999999999E-2</v>
      </c>
      <c r="N176" s="97">
        <v>1.3600000000035299E-2</v>
      </c>
      <c r="O176" s="93">
        <v>200888.81315500001</v>
      </c>
      <c r="P176" s="95">
        <v>101.53</v>
      </c>
      <c r="Q176" s="83"/>
      <c r="R176" s="93">
        <v>203.96241199799999</v>
      </c>
      <c r="S176" s="94">
        <v>3.6856613214262781E-4</v>
      </c>
      <c r="T176" s="94">
        <f t="shared" si="3"/>
        <v>3.6897998270164836E-3</v>
      </c>
      <c r="U176" s="94">
        <f>R176/'סכום נכסי הקרן'!$C$42</f>
        <v>9.0459448538795237E-4</v>
      </c>
    </row>
    <row r="177" spans="2:21" s="127" customFormat="1">
      <c r="B177" s="86" t="s">
        <v>709</v>
      </c>
      <c r="C177" s="83" t="s">
        <v>710</v>
      </c>
      <c r="D177" s="96" t="s">
        <v>118</v>
      </c>
      <c r="E177" s="96" t="s">
        <v>311</v>
      </c>
      <c r="F177" s="83" t="s">
        <v>339</v>
      </c>
      <c r="G177" s="96" t="s">
        <v>319</v>
      </c>
      <c r="H177" s="83" t="s">
        <v>351</v>
      </c>
      <c r="I177" s="83" t="s">
        <v>158</v>
      </c>
      <c r="J177" s="83"/>
      <c r="K177" s="93">
        <v>1.4800000000041795</v>
      </c>
      <c r="L177" s="96" t="s">
        <v>162</v>
      </c>
      <c r="M177" s="97">
        <v>6.0999999999999999E-2</v>
      </c>
      <c r="N177" s="97">
        <v>9.0000000000482212E-3</v>
      </c>
      <c r="O177" s="93">
        <v>115517.508663</v>
      </c>
      <c r="P177" s="95">
        <v>107.71</v>
      </c>
      <c r="Q177" s="83"/>
      <c r="R177" s="93">
        <v>124.423908576</v>
      </c>
      <c r="S177" s="94">
        <v>1.6858852092752307E-4</v>
      </c>
      <c r="T177" s="94">
        <f t="shared" si="3"/>
        <v>2.2509015844789158E-3</v>
      </c>
      <c r="U177" s="94">
        <f>R177/'סכום נכסי הקרן'!$C$42</f>
        <v>5.5183296003269476E-4</v>
      </c>
    </row>
    <row r="178" spans="2:21" s="127" customFormat="1">
      <c r="B178" s="86" t="s">
        <v>711</v>
      </c>
      <c r="C178" s="83" t="s">
        <v>712</v>
      </c>
      <c r="D178" s="96" t="s">
        <v>118</v>
      </c>
      <c r="E178" s="96" t="s">
        <v>311</v>
      </c>
      <c r="F178" s="83" t="s">
        <v>394</v>
      </c>
      <c r="G178" s="96" t="s">
        <v>369</v>
      </c>
      <c r="H178" s="83" t="s">
        <v>387</v>
      </c>
      <c r="I178" s="83" t="s">
        <v>158</v>
      </c>
      <c r="J178" s="83"/>
      <c r="K178" s="93">
        <v>4.3600000000075854</v>
      </c>
      <c r="L178" s="96" t="s">
        <v>162</v>
      </c>
      <c r="M178" s="97">
        <v>3.39E-2</v>
      </c>
      <c r="N178" s="97">
        <v>2.1200000000039649E-2</v>
      </c>
      <c r="O178" s="93">
        <v>218200.114137</v>
      </c>
      <c r="P178" s="95">
        <v>106.34</v>
      </c>
      <c r="Q178" s="83"/>
      <c r="R178" s="93">
        <v>232.034001359</v>
      </c>
      <c r="S178" s="94">
        <v>2.0106664244131268E-4</v>
      </c>
      <c r="T178" s="94">
        <f t="shared" si="3"/>
        <v>4.1976313659439169E-3</v>
      </c>
      <c r="U178" s="94">
        <f>R178/'סכום נכסי הקרן'!$C$42</f>
        <v>1.0290949003579652E-3</v>
      </c>
    </row>
    <row r="179" spans="2:21" s="127" customFormat="1">
      <c r="B179" s="86" t="s">
        <v>713</v>
      </c>
      <c r="C179" s="83" t="s">
        <v>714</v>
      </c>
      <c r="D179" s="96" t="s">
        <v>118</v>
      </c>
      <c r="E179" s="96" t="s">
        <v>311</v>
      </c>
      <c r="F179" s="83" t="s">
        <v>403</v>
      </c>
      <c r="G179" s="96" t="s">
        <v>404</v>
      </c>
      <c r="H179" s="83" t="s">
        <v>387</v>
      </c>
      <c r="I179" s="83" t="s">
        <v>158</v>
      </c>
      <c r="J179" s="83"/>
      <c r="K179" s="93">
        <v>2.1299999999808237</v>
      </c>
      <c r="L179" s="96" t="s">
        <v>162</v>
      </c>
      <c r="M179" s="97">
        <v>1.6899999999999998E-2</v>
      </c>
      <c r="N179" s="97">
        <v>1.1399999999982161E-2</v>
      </c>
      <c r="O179" s="93">
        <v>44263.137691999997</v>
      </c>
      <c r="P179" s="95">
        <v>101.32</v>
      </c>
      <c r="Q179" s="83"/>
      <c r="R179" s="93">
        <v>44.847410322000002</v>
      </c>
      <c r="S179" s="94">
        <v>7.5404761120476878E-5</v>
      </c>
      <c r="T179" s="94">
        <f t="shared" si="3"/>
        <v>8.1131599311482698E-4</v>
      </c>
      <c r="U179" s="94">
        <f>R179/'סכום נכסי הקרן'!$C$42</f>
        <v>1.9890292365050939E-4</v>
      </c>
    </row>
    <row r="180" spans="2:21" s="127" customFormat="1">
      <c r="B180" s="86" t="s">
        <v>715</v>
      </c>
      <c r="C180" s="83" t="s">
        <v>716</v>
      </c>
      <c r="D180" s="96" t="s">
        <v>118</v>
      </c>
      <c r="E180" s="96" t="s">
        <v>311</v>
      </c>
      <c r="F180" s="83" t="s">
        <v>403</v>
      </c>
      <c r="G180" s="96" t="s">
        <v>404</v>
      </c>
      <c r="H180" s="83" t="s">
        <v>387</v>
      </c>
      <c r="I180" s="83" t="s">
        <v>158</v>
      </c>
      <c r="J180" s="83"/>
      <c r="K180" s="93">
        <v>4.9600000000056692</v>
      </c>
      <c r="L180" s="96" t="s">
        <v>162</v>
      </c>
      <c r="M180" s="97">
        <v>3.6499999999999998E-2</v>
      </c>
      <c r="N180" s="97">
        <v>2.7200000000022463E-2</v>
      </c>
      <c r="O180" s="93">
        <v>352817.05693700002</v>
      </c>
      <c r="P180" s="95">
        <v>105.98</v>
      </c>
      <c r="Q180" s="83"/>
      <c r="R180" s="93">
        <v>373.91550520300001</v>
      </c>
      <c r="S180" s="94">
        <v>1.6448593029686224E-4</v>
      </c>
      <c r="T180" s="94">
        <f t="shared" si="3"/>
        <v>6.7643511022527983E-3</v>
      </c>
      <c r="U180" s="94">
        <f>R180/'סכום נכסי הקרן'!$C$42</f>
        <v>1.6583541089472934E-3</v>
      </c>
    </row>
    <row r="181" spans="2:21" s="127" customFormat="1">
      <c r="B181" s="86" t="s">
        <v>717</v>
      </c>
      <c r="C181" s="83" t="s">
        <v>718</v>
      </c>
      <c r="D181" s="96" t="s">
        <v>118</v>
      </c>
      <c r="E181" s="96" t="s">
        <v>311</v>
      </c>
      <c r="F181" s="83" t="s">
        <v>318</v>
      </c>
      <c r="G181" s="96" t="s">
        <v>319</v>
      </c>
      <c r="H181" s="83" t="s">
        <v>387</v>
      </c>
      <c r="I181" s="83" t="s">
        <v>158</v>
      </c>
      <c r="J181" s="83"/>
      <c r="K181" s="93">
        <v>1.8200000000002656</v>
      </c>
      <c r="L181" s="96" t="s">
        <v>162</v>
      </c>
      <c r="M181" s="97">
        <v>1.7500000000000002E-2</v>
      </c>
      <c r="N181" s="97">
        <v>9.8000000000039843E-3</v>
      </c>
      <c r="O181" s="93">
        <v>296519.44498999999</v>
      </c>
      <c r="P181" s="95">
        <v>101.58</v>
      </c>
      <c r="Q181" s="83"/>
      <c r="R181" s="93">
        <v>301.20443785599997</v>
      </c>
      <c r="S181" s="94">
        <v>3.1212573156842103E-4</v>
      </c>
      <c r="T181" s="94">
        <f t="shared" si="3"/>
        <v>5.4489651882944192E-3</v>
      </c>
      <c r="U181" s="94">
        <f>R181/'סכום נכסי הקרן'!$C$42</f>
        <v>1.3358729718375144E-3</v>
      </c>
    </row>
    <row r="182" spans="2:21" s="127" customFormat="1">
      <c r="B182" s="86" t="s">
        <v>719</v>
      </c>
      <c r="C182" s="83" t="s">
        <v>720</v>
      </c>
      <c r="D182" s="96" t="s">
        <v>118</v>
      </c>
      <c r="E182" s="96" t="s">
        <v>311</v>
      </c>
      <c r="F182" s="83" t="s">
        <v>420</v>
      </c>
      <c r="G182" s="96" t="s">
        <v>369</v>
      </c>
      <c r="H182" s="83" t="s">
        <v>387</v>
      </c>
      <c r="I182" s="83" t="s">
        <v>315</v>
      </c>
      <c r="J182" s="83"/>
      <c r="K182" s="93">
        <v>5.7000000000018325</v>
      </c>
      <c r="L182" s="96" t="s">
        <v>162</v>
      </c>
      <c r="M182" s="97">
        <v>2.5499999999999998E-2</v>
      </c>
      <c r="N182" s="97">
        <v>2.5300000000008857E-2</v>
      </c>
      <c r="O182" s="93">
        <v>649048.11933699995</v>
      </c>
      <c r="P182" s="95">
        <v>100.86</v>
      </c>
      <c r="Q182" s="83"/>
      <c r="R182" s="93">
        <v>654.62995481400003</v>
      </c>
      <c r="S182" s="94">
        <v>6.2180557354868501E-4</v>
      </c>
      <c r="T182" s="94">
        <f t="shared" si="3"/>
        <v>1.1842640368737114E-2</v>
      </c>
      <c r="U182" s="94">
        <f>R182/'סכום נכסי הקרן'!$C$42</f>
        <v>2.9033518543618497E-3</v>
      </c>
    </row>
    <row r="183" spans="2:21" s="127" customFormat="1">
      <c r="B183" s="86" t="s">
        <v>721</v>
      </c>
      <c r="C183" s="83" t="s">
        <v>722</v>
      </c>
      <c r="D183" s="96" t="s">
        <v>118</v>
      </c>
      <c r="E183" s="96" t="s">
        <v>311</v>
      </c>
      <c r="F183" s="83" t="s">
        <v>723</v>
      </c>
      <c r="G183" s="96" t="s">
        <v>369</v>
      </c>
      <c r="H183" s="83" t="s">
        <v>387</v>
      </c>
      <c r="I183" s="83" t="s">
        <v>315</v>
      </c>
      <c r="J183" s="83"/>
      <c r="K183" s="93">
        <v>4.5399999999940404</v>
      </c>
      <c r="L183" s="96" t="s">
        <v>162</v>
      </c>
      <c r="M183" s="97">
        <v>3.15E-2</v>
      </c>
      <c r="N183" s="97">
        <v>3.3699999999927635E-2</v>
      </c>
      <c r="O183" s="93">
        <v>23621.865590000005</v>
      </c>
      <c r="P183" s="95">
        <v>99.45</v>
      </c>
      <c r="Q183" s="83"/>
      <c r="R183" s="93">
        <v>23.491945340999997</v>
      </c>
      <c r="S183" s="94">
        <v>1.0015740723721736E-4</v>
      </c>
      <c r="T183" s="94">
        <f t="shared" si="3"/>
        <v>4.2498308882693765E-4</v>
      </c>
      <c r="U183" s="94">
        <f>R183/'סכום נכסי הקרן'!$C$42</f>
        <v>1.0418921799528521E-4</v>
      </c>
    </row>
    <row r="184" spans="2:21" s="127" customFormat="1">
      <c r="B184" s="86" t="s">
        <v>724</v>
      </c>
      <c r="C184" s="83" t="s">
        <v>725</v>
      </c>
      <c r="D184" s="96" t="s">
        <v>118</v>
      </c>
      <c r="E184" s="96" t="s">
        <v>311</v>
      </c>
      <c r="F184" s="83" t="s">
        <v>423</v>
      </c>
      <c r="G184" s="96" t="s">
        <v>319</v>
      </c>
      <c r="H184" s="83" t="s">
        <v>387</v>
      </c>
      <c r="I184" s="83" t="s">
        <v>158</v>
      </c>
      <c r="J184" s="83"/>
      <c r="K184" s="93">
        <v>1.6399999999985</v>
      </c>
      <c r="L184" s="96" t="s">
        <v>162</v>
      </c>
      <c r="M184" s="97">
        <v>6.4000000000000001E-2</v>
      </c>
      <c r="N184" s="97">
        <v>7.1000000000243724E-3</v>
      </c>
      <c r="O184" s="93">
        <v>95674.914285999999</v>
      </c>
      <c r="P184" s="95">
        <v>111.5</v>
      </c>
      <c r="Q184" s="83"/>
      <c r="R184" s="93">
        <v>106.67753019400001</v>
      </c>
      <c r="S184" s="94">
        <v>2.94008021381862E-4</v>
      </c>
      <c r="T184" s="94">
        <f t="shared" si="3"/>
        <v>1.9298591765046723E-3</v>
      </c>
      <c r="U184" s="94">
        <f>R184/'סכום נכסי הקרן'!$C$42</f>
        <v>4.7312592836588657E-4</v>
      </c>
    </row>
    <row r="185" spans="2:21" s="127" customFormat="1">
      <c r="B185" s="86" t="s">
        <v>726</v>
      </c>
      <c r="C185" s="83" t="s">
        <v>727</v>
      </c>
      <c r="D185" s="96" t="s">
        <v>118</v>
      </c>
      <c r="E185" s="96" t="s">
        <v>311</v>
      </c>
      <c r="F185" s="83" t="s">
        <v>428</v>
      </c>
      <c r="G185" s="96" t="s">
        <v>319</v>
      </c>
      <c r="H185" s="83" t="s">
        <v>387</v>
      </c>
      <c r="I185" s="83" t="s">
        <v>315</v>
      </c>
      <c r="J185" s="83"/>
      <c r="K185" s="93">
        <v>1</v>
      </c>
      <c r="L185" s="96" t="s">
        <v>162</v>
      </c>
      <c r="M185" s="97">
        <v>1.2E-2</v>
      </c>
      <c r="N185" s="97">
        <v>7.1000000000568083E-3</v>
      </c>
      <c r="O185" s="93">
        <v>45409.295182000002</v>
      </c>
      <c r="P185" s="95">
        <v>100.49</v>
      </c>
      <c r="Q185" s="93">
        <v>0.13436157399999998</v>
      </c>
      <c r="R185" s="93">
        <v>45.766162294000011</v>
      </c>
      <c r="S185" s="94">
        <v>1.5136431727333333E-4</v>
      </c>
      <c r="T185" s="94">
        <f t="shared" si="3"/>
        <v>8.2793675590218767E-4</v>
      </c>
      <c r="U185" s="94">
        <f>R185/'סכום נכסי הקרן'!$C$42</f>
        <v>2.0297768408881339E-4</v>
      </c>
    </row>
    <row r="186" spans="2:21" s="127" customFormat="1">
      <c r="B186" s="86" t="s">
        <v>728</v>
      </c>
      <c r="C186" s="83" t="s">
        <v>729</v>
      </c>
      <c r="D186" s="96" t="s">
        <v>118</v>
      </c>
      <c r="E186" s="96" t="s">
        <v>311</v>
      </c>
      <c r="F186" s="83" t="s">
        <v>442</v>
      </c>
      <c r="G186" s="96" t="s">
        <v>443</v>
      </c>
      <c r="H186" s="83" t="s">
        <v>387</v>
      </c>
      <c r="I186" s="83" t="s">
        <v>158</v>
      </c>
      <c r="J186" s="83"/>
      <c r="K186" s="93">
        <v>3.230000000002621</v>
      </c>
      <c r="L186" s="96" t="s">
        <v>162</v>
      </c>
      <c r="M186" s="97">
        <v>4.8000000000000001E-2</v>
      </c>
      <c r="N186" s="97">
        <v>1.4100000000016268E-2</v>
      </c>
      <c r="O186" s="93">
        <v>389877.61209499999</v>
      </c>
      <c r="P186" s="95">
        <v>111.13</v>
      </c>
      <c r="Q186" s="93">
        <v>9.3570627060000007</v>
      </c>
      <c r="R186" s="93">
        <v>442.62806600800002</v>
      </c>
      <c r="S186" s="94">
        <v>1.896243761213179E-4</v>
      </c>
      <c r="T186" s="94">
        <f t="shared" si="3"/>
        <v>8.0074016844092523E-3</v>
      </c>
      <c r="U186" s="94">
        <f>R186/'סכום נכסי הקרן'!$C$42</f>
        <v>1.9631014541674355E-3</v>
      </c>
    </row>
    <row r="187" spans="2:21" s="127" customFormat="1">
      <c r="B187" s="86" t="s">
        <v>730</v>
      </c>
      <c r="C187" s="83" t="s">
        <v>731</v>
      </c>
      <c r="D187" s="96" t="s">
        <v>118</v>
      </c>
      <c r="E187" s="96" t="s">
        <v>311</v>
      </c>
      <c r="F187" s="83" t="s">
        <v>442</v>
      </c>
      <c r="G187" s="96" t="s">
        <v>443</v>
      </c>
      <c r="H187" s="83" t="s">
        <v>387</v>
      </c>
      <c r="I187" s="83" t="s">
        <v>158</v>
      </c>
      <c r="J187" s="83"/>
      <c r="K187" s="93">
        <v>1.8499999998989427</v>
      </c>
      <c r="L187" s="96" t="s">
        <v>162</v>
      </c>
      <c r="M187" s="97">
        <v>4.4999999999999998E-2</v>
      </c>
      <c r="N187" s="97">
        <v>8.1000000000087877E-3</v>
      </c>
      <c r="O187" s="93">
        <v>10596.566041000002</v>
      </c>
      <c r="P187" s="95">
        <v>107.39</v>
      </c>
      <c r="Q187" s="83"/>
      <c r="R187" s="93">
        <v>11.379652279</v>
      </c>
      <c r="S187" s="94">
        <v>1.7646003119025895E-5</v>
      </c>
      <c r="T187" s="94">
        <f t="shared" si="3"/>
        <v>2.0586459337896859E-4</v>
      </c>
      <c r="U187" s="94">
        <f>R187/'סכום נכסי הקרן'!$C$42</f>
        <v>5.046994000696944E-5</v>
      </c>
    </row>
    <row r="188" spans="2:21" s="127" customFormat="1">
      <c r="B188" s="86" t="s">
        <v>732</v>
      </c>
      <c r="C188" s="83" t="s">
        <v>733</v>
      </c>
      <c r="D188" s="96" t="s">
        <v>118</v>
      </c>
      <c r="E188" s="96" t="s">
        <v>311</v>
      </c>
      <c r="F188" s="83" t="s">
        <v>734</v>
      </c>
      <c r="G188" s="96" t="s">
        <v>489</v>
      </c>
      <c r="H188" s="83" t="s">
        <v>387</v>
      </c>
      <c r="I188" s="83" t="s">
        <v>315</v>
      </c>
      <c r="J188" s="83"/>
      <c r="K188" s="93">
        <v>3.3699999993942256</v>
      </c>
      <c r="L188" s="96" t="s">
        <v>162</v>
      </c>
      <c r="M188" s="97">
        <v>2.4500000000000001E-2</v>
      </c>
      <c r="N188" s="97">
        <v>1.5199999999755243E-2</v>
      </c>
      <c r="O188" s="93">
        <v>1584.057221</v>
      </c>
      <c r="P188" s="95">
        <v>103.17</v>
      </c>
      <c r="Q188" s="83"/>
      <c r="R188" s="93">
        <v>1.6342718270000001</v>
      </c>
      <c r="S188" s="94">
        <v>1.009814237228925E-6</v>
      </c>
      <c r="T188" s="94">
        <f t="shared" si="3"/>
        <v>2.9564937213145152E-5</v>
      </c>
      <c r="U188" s="94">
        <f>R188/'סכום נכסי הקרן'!$C$42</f>
        <v>7.2481653254011826E-6</v>
      </c>
    </row>
    <row r="189" spans="2:21" s="127" customFormat="1">
      <c r="B189" s="86" t="s">
        <v>735</v>
      </c>
      <c r="C189" s="83" t="s">
        <v>736</v>
      </c>
      <c r="D189" s="96" t="s">
        <v>118</v>
      </c>
      <c r="E189" s="96" t="s">
        <v>311</v>
      </c>
      <c r="F189" s="83" t="s">
        <v>318</v>
      </c>
      <c r="G189" s="96" t="s">
        <v>319</v>
      </c>
      <c r="H189" s="83" t="s">
        <v>387</v>
      </c>
      <c r="I189" s="83" t="s">
        <v>315</v>
      </c>
      <c r="J189" s="83"/>
      <c r="K189" s="93">
        <v>1.7700000000050273</v>
      </c>
      <c r="L189" s="96" t="s">
        <v>162</v>
      </c>
      <c r="M189" s="97">
        <v>3.2500000000000001E-2</v>
      </c>
      <c r="N189" s="97">
        <v>1.9000000000055854E-2</v>
      </c>
      <c r="O189" s="93">
        <f>174830.82925/50000</f>
        <v>3.4966165850000004</v>
      </c>
      <c r="P189" s="95">
        <v>5120001</v>
      </c>
      <c r="Q189" s="83"/>
      <c r="R189" s="93">
        <v>179.02680022999999</v>
      </c>
      <c r="S189" s="94">
        <f>944.265888468809%/50000</f>
        <v>1.8885317769376178E-4</v>
      </c>
      <c r="T189" s="94">
        <f t="shared" si="3"/>
        <v>3.238699964611352E-3</v>
      </c>
      <c r="U189" s="94">
        <f>R189/'סכום נכסי הקרן'!$C$42</f>
        <v>7.940024568168796E-4</v>
      </c>
    </row>
    <row r="190" spans="2:21" s="127" customFormat="1">
      <c r="B190" s="86" t="s">
        <v>737</v>
      </c>
      <c r="C190" s="83" t="s">
        <v>738</v>
      </c>
      <c r="D190" s="96" t="s">
        <v>118</v>
      </c>
      <c r="E190" s="96" t="s">
        <v>311</v>
      </c>
      <c r="F190" s="83" t="s">
        <v>318</v>
      </c>
      <c r="G190" s="96" t="s">
        <v>319</v>
      </c>
      <c r="H190" s="83" t="s">
        <v>387</v>
      </c>
      <c r="I190" s="83" t="s">
        <v>158</v>
      </c>
      <c r="J190" s="83"/>
      <c r="K190" s="93">
        <v>1.3400000000344245</v>
      </c>
      <c r="L190" s="96" t="s">
        <v>162</v>
      </c>
      <c r="M190" s="97">
        <v>2.35E-2</v>
      </c>
      <c r="N190" s="97">
        <v>8.5000000001811821E-3</v>
      </c>
      <c r="O190" s="93">
        <v>21585.096708000001</v>
      </c>
      <c r="P190" s="95">
        <v>102.28</v>
      </c>
      <c r="Q190" s="83"/>
      <c r="R190" s="93">
        <v>22.077237236000002</v>
      </c>
      <c r="S190" s="94">
        <v>2.1585118293118293E-5</v>
      </c>
      <c r="T190" s="94">
        <f t="shared" si="3"/>
        <v>3.9939018830191839E-4</v>
      </c>
      <c r="U190" s="94">
        <f>R190/'סכום נכסי הקרן'!$C$42</f>
        <v>9.7914840585837899E-5</v>
      </c>
    </row>
    <row r="191" spans="2:21" s="127" customFormat="1">
      <c r="B191" s="86" t="s">
        <v>739</v>
      </c>
      <c r="C191" s="83" t="s">
        <v>740</v>
      </c>
      <c r="D191" s="96" t="s">
        <v>118</v>
      </c>
      <c r="E191" s="96" t="s">
        <v>311</v>
      </c>
      <c r="F191" s="83" t="s">
        <v>741</v>
      </c>
      <c r="G191" s="96" t="s">
        <v>369</v>
      </c>
      <c r="H191" s="83" t="s">
        <v>387</v>
      </c>
      <c r="I191" s="83" t="s">
        <v>315</v>
      </c>
      <c r="J191" s="83"/>
      <c r="K191" s="93">
        <v>3.9499999999962916</v>
      </c>
      <c r="L191" s="96" t="s">
        <v>162</v>
      </c>
      <c r="M191" s="97">
        <v>3.3799999999999997E-2</v>
      </c>
      <c r="N191" s="97">
        <v>3.4400000000029664E-2</v>
      </c>
      <c r="O191" s="93">
        <v>107124.36580600002</v>
      </c>
      <c r="P191" s="95">
        <v>100.7</v>
      </c>
      <c r="Q191" s="83"/>
      <c r="R191" s="93">
        <v>107.874236372</v>
      </c>
      <c r="S191" s="94">
        <v>1.3087424612445009E-4</v>
      </c>
      <c r="T191" s="94">
        <f t="shared" si="3"/>
        <v>1.9515082941304102E-3</v>
      </c>
      <c r="U191" s="94">
        <f>R191/'סכום נכסי הקרן'!$C$42</f>
        <v>4.7843344458244855E-4</v>
      </c>
    </row>
    <row r="192" spans="2:21" s="127" customFormat="1">
      <c r="B192" s="86" t="s">
        <v>742</v>
      </c>
      <c r="C192" s="83" t="s">
        <v>743</v>
      </c>
      <c r="D192" s="96" t="s">
        <v>118</v>
      </c>
      <c r="E192" s="96" t="s">
        <v>311</v>
      </c>
      <c r="F192" s="83" t="s">
        <v>744</v>
      </c>
      <c r="G192" s="96" t="s">
        <v>149</v>
      </c>
      <c r="H192" s="83" t="s">
        <v>387</v>
      </c>
      <c r="I192" s="83" t="s">
        <v>315</v>
      </c>
      <c r="J192" s="83"/>
      <c r="K192" s="93">
        <v>4.9199999999884501</v>
      </c>
      <c r="L192" s="96" t="s">
        <v>162</v>
      </c>
      <c r="M192" s="97">
        <v>5.0900000000000001E-2</v>
      </c>
      <c r="N192" s="97">
        <v>2.2399999999934007E-2</v>
      </c>
      <c r="O192" s="93">
        <v>145297.85469599999</v>
      </c>
      <c r="P192" s="95">
        <v>116.8</v>
      </c>
      <c r="Q192" s="83"/>
      <c r="R192" s="93">
        <v>169.70789106299998</v>
      </c>
      <c r="S192" s="94">
        <v>1.2793972072530318E-4</v>
      </c>
      <c r="T192" s="94">
        <f t="shared" si="3"/>
        <v>3.0701154244720829E-3</v>
      </c>
      <c r="U192" s="94">
        <f>R192/'סכום נכסי הקרן'!$C$42</f>
        <v>7.526721265872973E-4</v>
      </c>
    </row>
    <row r="193" spans="2:21" s="127" customFormat="1">
      <c r="B193" s="86" t="s">
        <v>745</v>
      </c>
      <c r="C193" s="83" t="s">
        <v>746</v>
      </c>
      <c r="D193" s="96" t="s">
        <v>118</v>
      </c>
      <c r="E193" s="96" t="s">
        <v>311</v>
      </c>
      <c r="F193" s="83" t="s">
        <v>747</v>
      </c>
      <c r="G193" s="96" t="s">
        <v>748</v>
      </c>
      <c r="H193" s="83" t="s">
        <v>387</v>
      </c>
      <c r="I193" s="83" t="s">
        <v>158</v>
      </c>
      <c r="J193" s="83"/>
      <c r="K193" s="93">
        <v>5.5099999999951716</v>
      </c>
      <c r="L193" s="96" t="s">
        <v>162</v>
      </c>
      <c r="M193" s="97">
        <v>2.6099999999999998E-2</v>
      </c>
      <c r="N193" s="97">
        <v>1.8799999999997673E-2</v>
      </c>
      <c r="O193" s="93">
        <v>164121.41867799999</v>
      </c>
      <c r="P193" s="95">
        <v>104.74</v>
      </c>
      <c r="Q193" s="83"/>
      <c r="R193" s="93">
        <v>171.90077393300001</v>
      </c>
      <c r="S193" s="94">
        <v>2.7212427986509968E-4</v>
      </c>
      <c r="T193" s="94">
        <f t="shared" si="3"/>
        <v>3.1097859635441194E-3</v>
      </c>
      <c r="U193" s="94">
        <f>R193/'סכום נכסי הקרן'!$C$42</f>
        <v>7.6239778991845654E-4</v>
      </c>
    </row>
    <row r="194" spans="2:21" s="127" customFormat="1">
      <c r="B194" s="86" t="s">
        <v>749</v>
      </c>
      <c r="C194" s="83" t="s">
        <v>750</v>
      </c>
      <c r="D194" s="96" t="s">
        <v>118</v>
      </c>
      <c r="E194" s="96" t="s">
        <v>311</v>
      </c>
      <c r="F194" s="83" t="s">
        <v>751</v>
      </c>
      <c r="G194" s="96" t="s">
        <v>697</v>
      </c>
      <c r="H194" s="83" t="s">
        <v>387</v>
      </c>
      <c r="I194" s="83" t="s">
        <v>315</v>
      </c>
      <c r="J194" s="83"/>
      <c r="K194" s="93">
        <v>1.2300000003087432</v>
      </c>
      <c r="L194" s="96" t="s">
        <v>162</v>
      </c>
      <c r="M194" s="97">
        <v>4.0999999999999995E-2</v>
      </c>
      <c r="N194" s="97">
        <v>6.000000000000001E-3</v>
      </c>
      <c r="O194" s="93">
        <v>768.46742599999993</v>
      </c>
      <c r="P194" s="95">
        <v>105.37</v>
      </c>
      <c r="Q194" s="83"/>
      <c r="R194" s="93">
        <v>0.80973412499999997</v>
      </c>
      <c r="S194" s="94">
        <v>1.2807790433333333E-6</v>
      </c>
      <c r="T194" s="94">
        <f t="shared" si="3"/>
        <v>1.4648565905288671E-5</v>
      </c>
      <c r="U194" s="94">
        <f>R194/'סכום נכסי הקרן'!$C$42</f>
        <v>3.5912549617849262E-6</v>
      </c>
    </row>
    <row r="195" spans="2:21" s="127" customFormat="1">
      <c r="B195" s="86" t="s">
        <v>752</v>
      </c>
      <c r="C195" s="83" t="s">
        <v>753</v>
      </c>
      <c r="D195" s="96" t="s">
        <v>118</v>
      </c>
      <c r="E195" s="96" t="s">
        <v>311</v>
      </c>
      <c r="F195" s="83" t="s">
        <v>751</v>
      </c>
      <c r="G195" s="96" t="s">
        <v>697</v>
      </c>
      <c r="H195" s="83" t="s">
        <v>387</v>
      </c>
      <c r="I195" s="83" t="s">
        <v>315</v>
      </c>
      <c r="J195" s="83"/>
      <c r="K195" s="93">
        <v>3.5899999999553662</v>
      </c>
      <c r="L195" s="96" t="s">
        <v>162</v>
      </c>
      <c r="M195" s="97">
        <v>1.2E-2</v>
      </c>
      <c r="N195" s="97">
        <v>1.1299999999763706E-2</v>
      </c>
      <c r="O195" s="93">
        <v>37838.492022999999</v>
      </c>
      <c r="P195" s="95">
        <v>100.66</v>
      </c>
      <c r="Q195" s="83"/>
      <c r="R195" s="93">
        <v>38.088227330000002</v>
      </c>
      <c r="S195" s="94">
        <v>8.1664282588239358E-5</v>
      </c>
      <c r="T195" s="94">
        <f t="shared" si="3"/>
        <v>6.8903840289443428E-4</v>
      </c>
      <c r="U195" s="94">
        <f>R195/'סכום נכסי הקרן'!$C$42</f>
        <v>1.6892524491845363E-4</v>
      </c>
    </row>
    <row r="196" spans="2:21" s="127" customFormat="1">
      <c r="B196" s="86" t="s">
        <v>754</v>
      </c>
      <c r="C196" s="83" t="s">
        <v>755</v>
      </c>
      <c r="D196" s="96" t="s">
        <v>118</v>
      </c>
      <c r="E196" s="96" t="s">
        <v>311</v>
      </c>
      <c r="F196" s="83" t="s">
        <v>756</v>
      </c>
      <c r="G196" s="96" t="s">
        <v>568</v>
      </c>
      <c r="H196" s="83" t="s">
        <v>490</v>
      </c>
      <c r="I196" s="83" t="s">
        <v>315</v>
      </c>
      <c r="J196" s="83"/>
      <c r="K196" s="93">
        <v>6.7200000000143749</v>
      </c>
      <c r="L196" s="96" t="s">
        <v>162</v>
      </c>
      <c r="M196" s="97">
        <v>3.7499999999999999E-2</v>
      </c>
      <c r="N196" s="97">
        <v>3.0800000000026483E-2</v>
      </c>
      <c r="O196" s="93">
        <v>99931.500696000003</v>
      </c>
      <c r="P196" s="95">
        <v>105.81</v>
      </c>
      <c r="Q196" s="83"/>
      <c r="R196" s="93">
        <v>105.73752183400001</v>
      </c>
      <c r="S196" s="94">
        <v>4.5423409407272728E-4</v>
      </c>
      <c r="T196" s="94">
        <f t="shared" si="3"/>
        <v>1.9128538731738012E-3</v>
      </c>
      <c r="U196" s="94">
        <f>R196/'סכום נכסי הקרן'!$C$42</f>
        <v>4.6895689363863046E-4</v>
      </c>
    </row>
    <row r="197" spans="2:21" s="127" customFormat="1">
      <c r="B197" s="86" t="s">
        <v>757</v>
      </c>
      <c r="C197" s="83" t="s">
        <v>758</v>
      </c>
      <c r="D197" s="96" t="s">
        <v>118</v>
      </c>
      <c r="E197" s="96" t="s">
        <v>311</v>
      </c>
      <c r="F197" s="83" t="s">
        <v>409</v>
      </c>
      <c r="G197" s="96" t="s">
        <v>369</v>
      </c>
      <c r="H197" s="83" t="s">
        <v>490</v>
      </c>
      <c r="I197" s="83" t="s">
        <v>158</v>
      </c>
      <c r="J197" s="83"/>
      <c r="K197" s="93">
        <v>3.4200000000184456</v>
      </c>
      <c r="L197" s="96" t="s">
        <v>162</v>
      </c>
      <c r="M197" s="97">
        <v>3.5000000000000003E-2</v>
      </c>
      <c r="N197" s="97">
        <v>1.7500000000144109E-2</v>
      </c>
      <c r="O197" s="93">
        <v>64870.783453999997</v>
      </c>
      <c r="P197" s="95">
        <v>106.97</v>
      </c>
      <c r="Q197" s="83"/>
      <c r="R197" s="93">
        <v>69.392274216000004</v>
      </c>
      <c r="S197" s="94">
        <v>4.2675526675720624E-4</v>
      </c>
      <c r="T197" s="94">
        <f t="shared" si="3"/>
        <v>1.2553469969799529E-3</v>
      </c>
      <c r="U197" s="94">
        <f>R197/'סכום נכסי הקרן'!$C$42</f>
        <v>3.0776194480842733E-4</v>
      </c>
    </row>
    <row r="198" spans="2:21" s="127" customFormat="1">
      <c r="B198" s="86" t="s">
        <v>759</v>
      </c>
      <c r="C198" s="83" t="s">
        <v>760</v>
      </c>
      <c r="D198" s="96" t="s">
        <v>118</v>
      </c>
      <c r="E198" s="96" t="s">
        <v>311</v>
      </c>
      <c r="F198" s="83" t="s">
        <v>723</v>
      </c>
      <c r="G198" s="96" t="s">
        <v>369</v>
      </c>
      <c r="H198" s="83" t="s">
        <v>490</v>
      </c>
      <c r="I198" s="83" t="s">
        <v>158</v>
      </c>
      <c r="J198" s="83"/>
      <c r="K198" s="93">
        <v>3.7899999999908398</v>
      </c>
      <c r="L198" s="96" t="s">
        <v>162</v>
      </c>
      <c r="M198" s="97">
        <v>4.3499999999999997E-2</v>
      </c>
      <c r="N198" s="97">
        <v>5.2799999999899129E-2</v>
      </c>
      <c r="O198" s="93">
        <v>197492.23335500003</v>
      </c>
      <c r="P198" s="95">
        <v>98.39</v>
      </c>
      <c r="Q198" s="83"/>
      <c r="R198" s="93">
        <v>194.31261498199999</v>
      </c>
      <c r="S198" s="94">
        <v>1.0526339448355483E-4</v>
      </c>
      <c r="T198" s="94">
        <f t="shared" si="3"/>
        <v>3.5152293313472612E-3</v>
      </c>
      <c r="U198" s="94">
        <f>R198/'סכום נכסי הקרן'!$C$42</f>
        <v>8.6179663317451452E-4</v>
      </c>
    </row>
    <row r="199" spans="2:21" s="127" customFormat="1">
      <c r="B199" s="86" t="s">
        <v>761</v>
      </c>
      <c r="C199" s="83" t="s">
        <v>762</v>
      </c>
      <c r="D199" s="96" t="s">
        <v>118</v>
      </c>
      <c r="E199" s="96" t="s">
        <v>311</v>
      </c>
      <c r="F199" s="83" t="s">
        <v>435</v>
      </c>
      <c r="G199" s="96" t="s">
        <v>436</v>
      </c>
      <c r="H199" s="83" t="s">
        <v>490</v>
      </c>
      <c r="I199" s="83" t="s">
        <v>315</v>
      </c>
      <c r="J199" s="83"/>
      <c r="K199" s="93">
        <v>10.500000000033094</v>
      </c>
      <c r="L199" s="96" t="s">
        <v>162</v>
      </c>
      <c r="M199" s="97">
        <v>3.0499999999999999E-2</v>
      </c>
      <c r="N199" s="97">
        <v>3.6800000000092661E-2</v>
      </c>
      <c r="O199" s="93">
        <v>159591.89507500001</v>
      </c>
      <c r="P199" s="95">
        <v>94.67</v>
      </c>
      <c r="Q199" s="83"/>
      <c r="R199" s="93">
        <v>151.08564706999999</v>
      </c>
      <c r="S199" s="94">
        <v>5.049936954062542E-4</v>
      </c>
      <c r="T199" s="94">
        <f t="shared" si="3"/>
        <v>2.7332280931695687E-3</v>
      </c>
      <c r="U199" s="94">
        <f>R199/'סכום נכסי הקרן'!$C$42</f>
        <v>6.7008053994837343E-4</v>
      </c>
    </row>
    <row r="200" spans="2:21" s="127" customFormat="1">
      <c r="B200" s="86" t="s">
        <v>763</v>
      </c>
      <c r="C200" s="83" t="s">
        <v>764</v>
      </c>
      <c r="D200" s="96" t="s">
        <v>118</v>
      </c>
      <c r="E200" s="96" t="s">
        <v>311</v>
      </c>
      <c r="F200" s="83" t="s">
        <v>435</v>
      </c>
      <c r="G200" s="96" t="s">
        <v>436</v>
      </c>
      <c r="H200" s="83" t="s">
        <v>490</v>
      </c>
      <c r="I200" s="83" t="s">
        <v>315</v>
      </c>
      <c r="J200" s="83"/>
      <c r="K200" s="93">
        <v>9.8400000000336245</v>
      </c>
      <c r="L200" s="96" t="s">
        <v>162</v>
      </c>
      <c r="M200" s="97">
        <v>3.0499999999999999E-2</v>
      </c>
      <c r="N200" s="97">
        <v>3.5500000000125695E-2</v>
      </c>
      <c r="O200" s="93">
        <v>132198.166043</v>
      </c>
      <c r="P200" s="95">
        <v>96.29</v>
      </c>
      <c r="Q200" s="83"/>
      <c r="R200" s="93">
        <v>127.293614108</v>
      </c>
      <c r="S200" s="94">
        <v>4.1831222296477365E-4</v>
      </c>
      <c r="T200" s="94">
        <f t="shared" si="3"/>
        <v>2.3028162430272056E-3</v>
      </c>
      <c r="U200" s="94">
        <f>R200/'סכום נכסי הקרן'!$C$42</f>
        <v>5.6456040218002504E-4</v>
      </c>
    </row>
    <row r="201" spans="2:21" s="127" customFormat="1">
      <c r="B201" s="86" t="s">
        <v>765</v>
      </c>
      <c r="C201" s="83" t="s">
        <v>766</v>
      </c>
      <c r="D201" s="96" t="s">
        <v>118</v>
      </c>
      <c r="E201" s="96" t="s">
        <v>311</v>
      </c>
      <c r="F201" s="83" t="s">
        <v>435</v>
      </c>
      <c r="G201" s="96" t="s">
        <v>436</v>
      </c>
      <c r="H201" s="83" t="s">
        <v>490</v>
      </c>
      <c r="I201" s="83" t="s">
        <v>315</v>
      </c>
      <c r="J201" s="83"/>
      <c r="K201" s="93">
        <v>8.1800000000028597</v>
      </c>
      <c r="L201" s="96" t="s">
        <v>162</v>
      </c>
      <c r="M201" s="97">
        <v>3.95E-2</v>
      </c>
      <c r="N201" s="97">
        <v>3.2099999999985702E-2</v>
      </c>
      <c r="O201" s="93">
        <v>97751.709616000007</v>
      </c>
      <c r="P201" s="95">
        <v>107.3</v>
      </c>
      <c r="Q201" s="83"/>
      <c r="R201" s="93">
        <v>104.88758441500001</v>
      </c>
      <c r="S201" s="94">
        <v>4.0728186580813461E-4</v>
      </c>
      <c r="T201" s="94">
        <f t="shared" si="3"/>
        <v>1.8974780060673083E-3</v>
      </c>
      <c r="U201" s="94">
        <f>R201/'סכום נכסי הקרן'!$C$42</f>
        <v>4.6518733289152667E-4</v>
      </c>
    </row>
    <row r="202" spans="2:21" s="127" customFormat="1">
      <c r="B202" s="86" t="s">
        <v>767</v>
      </c>
      <c r="C202" s="83" t="s">
        <v>768</v>
      </c>
      <c r="D202" s="96" t="s">
        <v>118</v>
      </c>
      <c r="E202" s="96" t="s">
        <v>311</v>
      </c>
      <c r="F202" s="83" t="s">
        <v>435</v>
      </c>
      <c r="G202" s="96" t="s">
        <v>436</v>
      </c>
      <c r="H202" s="83" t="s">
        <v>490</v>
      </c>
      <c r="I202" s="83" t="s">
        <v>315</v>
      </c>
      <c r="J202" s="83"/>
      <c r="K202" s="93">
        <v>8.8499999999080643</v>
      </c>
      <c r="L202" s="96" t="s">
        <v>162</v>
      </c>
      <c r="M202" s="97">
        <v>3.95E-2</v>
      </c>
      <c r="N202" s="97">
        <v>3.3799999999460116E-2</v>
      </c>
      <c r="O202" s="93">
        <v>24034.791326999999</v>
      </c>
      <c r="P202" s="95">
        <v>106.35</v>
      </c>
      <c r="Q202" s="83"/>
      <c r="R202" s="93">
        <v>25.561000550999999</v>
      </c>
      <c r="S202" s="94">
        <v>1.0014080259489884E-4</v>
      </c>
      <c r="T202" s="94">
        <f t="shared" si="3"/>
        <v>4.6241351280143164E-4</v>
      </c>
      <c r="U202" s="94">
        <f>R202/'סכום נכסי הקרן'!$C$42</f>
        <v>1.1336569279078609E-4</v>
      </c>
    </row>
    <row r="203" spans="2:21" s="127" customFormat="1">
      <c r="B203" s="86" t="s">
        <v>769</v>
      </c>
      <c r="C203" s="83" t="s">
        <v>770</v>
      </c>
      <c r="D203" s="96" t="s">
        <v>118</v>
      </c>
      <c r="E203" s="96" t="s">
        <v>311</v>
      </c>
      <c r="F203" s="83" t="s">
        <v>771</v>
      </c>
      <c r="G203" s="96" t="s">
        <v>369</v>
      </c>
      <c r="H203" s="83" t="s">
        <v>490</v>
      </c>
      <c r="I203" s="83" t="s">
        <v>315</v>
      </c>
      <c r="J203" s="83"/>
      <c r="K203" s="93">
        <v>2.6500000000052859</v>
      </c>
      <c r="L203" s="96" t="s">
        <v>162</v>
      </c>
      <c r="M203" s="97">
        <v>3.9E-2</v>
      </c>
      <c r="N203" s="97">
        <v>5.380000000009226E-2</v>
      </c>
      <c r="O203" s="93">
        <v>215137.53588400001</v>
      </c>
      <c r="P203" s="95">
        <v>96.73</v>
      </c>
      <c r="Q203" s="83"/>
      <c r="R203" s="93">
        <v>208.102538466</v>
      </c>
      <c r="S203" s="94">
        <v>2.3953541564446723E-4</v>
      </c>
      <c r="T203" s="94">
        <f t="shared" si="3"/>
        <v>3.7646971464578845E-3</v>
      </c>
      <c r="U203" s="94">
        <f>R203/'סכום נכסי הקרן'!$C$42</f>
        <v>9.2295637636126675E-4</v>
      </c>
    </row>
    <row r="204" spans="2:21" s="127" customFormat="1">
      <c r="B204" s="86" t="s">
        <v>772</v>
      </c>
      <c r="C204" s="83" t="s">
        <v>773</v>
      </c>
      <c r="D204" s="96" t="s">
        <v>118</v>
      </c>
      <c r="E204" s="96" t="s">
        <v>311</v>
      </c>
      <c r="F204" s="83" t="s">
        <v>529</v>
      </c>
      <c r="G204" s="96" t="s">
        <v>369</v>
      </c>
      <c r="H204" s="83" t="s">
        <v>490</v>
      </c>
      <c r="I204" s="83" t="s">
        <v>158</v>
      </c>
      <c r="J204" s="83"/>
      <c r="K204" s="93">
        <v>4.0399999999944889</v>
      </c>
      <c r="L204" s="96" t="s">
        <v>162</v>
      </c>
      <c r="M204" s="97">
        <v>5.0499999999999996E-2</v>
      </c>
      <c r="N204" s="97">
        <v>2.2799999999843844E-2</v>
      </c>
      <c r="O204" s="93">
        <v>38915.233067000001</v>
      </c>
      <c r="P204" s="95">
        <v>111.9</v>
      </c>
      <c r="Q204" s="83"/>
      <c r="R204" s="93">
        <v>43.546147105999999</v>
      </c>
      <c r="S204" s="94">
        <v>7.1601034900422431E-5</v>
      </c>
      <c r="T204" s="94">
        <f t="shared" si="3"/>
        <v>7.877753772618099E-4</v>
      </c>
      <c r="U204" s="94">
        <f>R204/'סכום נכסי הקרן'!$C$42</f>
        <v>1.9313168610874439E-4</v>
      </c>
    </row>
    <row r="205" spans="2:21" s="127" customFormat="1">
      <c r="B205" s="86" t="s">
        <v>774</v>
      </c>
      <c r="C205" s="83" t="s">
        <v>775</v>
      </c>
      <c r="D205" s="96" t="s">
        <v>118</v>
      </c>
      <c r="E205" s="96" t="s">
        <v>311</v>
      </c>
      <c r="F205" s="83" t="s">
        <v>450</v>
      </c>
      <c r="G205" s="96" t="s">
        <v>436</v>
      </c>
      <c r="H205" s="83" t="s">
        <v>490</v>
      </c>
      <c r="I205" s="83" t="s">
        <v>158</v>
      </c>
      <c r="J205" s="83"/>
      <c r="K205" s="93">
        <v>4.8599999999965515</v>
      </c>
      <c r="L205" s="96" t="s">
        <v>162</v>
      </c>
      <c r="M205" s="97">
        <v>3.9199999999999999E-2</v>
      </c>
      <c r="N205" s="97">
        <v>2.2799999999961205E-2</v>
      </c>
      <c r="O205" s="93">
        <v>170422.75271299999</v>
      </c>
      <c r="P205" s="95">
        <v>108.9</v>
      </c>
      <c r="Q205" s="83"/>
      <c r="R205" s="93">
        <v>185.590383374</v>
      </c>
      <c r="S205" s="94">
        <v>1.7755070324549358E-4</v>
      </c>
      <c r="T205" s="94">
        <f t="shared" si="3"/>
        <v>3.3574390386990668E-3</v>
      </c>
      <c r="U205" s="94">
        <f>R205/'סכום נכסי הקרן'!$C$42</f>
        <v>8.2311262990360473E-4</v>
      </c>
    </row>
    <row r="206" spans="2:21" s="127" customFormat="1">
      <c r="B206" s="86" t="s">
        <v>776</v>
      </c>
      <c r="C206" s="83" t="s">
        <v>777</v>
      </c>
      <c r="D206" s="96" t="s">
        <v>118</v>
      </c>
      <c r="E206" s="96" t="s">
        <v>311</v>
      </c>
      <c r="F206" s="83" t="s">
        <v>567</v>
      </c>
      <c r="G206" s="96" t="s">
        <v>568</v>
      </c>
      <c r="H206" s="83" t="s">
        <v>490</v>
      </c>
      <c r="I206" s="83" t="s">
        <v>315</v>
      </c>
      <c r="J206" s="83"/>
      <c r="K206" s="93">
        <v>0.14999999999992589</v>
      </c>
      <c r="L206" s="96" t="s">
        <v>162</v>
      </c>
      <c r="M206" s="97">
        <v>2.4500000000000001E-2</v>
      </c>
      <c r="N206" s="97">
        <v>1.0799999999997629E-2</v>
      </c>
      <c r="O206" s="93">
        <v>673125.99606899987</v>
      </c>
      <c r="P206" s="95">
        <v>100.2</v>
      </c>
      <c r="Q206" s="83"/>
      <c r="R206" s="93">
        <v>674.47226452699999</v>
      </c>
      <c r="S206" s="94">
        <v>2.2619264607569525E-4</v>
      </c>
      <c r="T206" s="94">
        <f t="shared" si="3"/>
        <v>1.220159940549999E-2</v>
      </c>
      <c r="U206" s="94">
        <f>R206/'סכום נכסי הקרן'!$C$42</f>
        <v>2.9913545592127589E-3</v>
      </c>
    </row>
    <row r="207" spans="2:21" s="127" customFormat="1">
      <c r="B207" s="86" t="s">
        <v>778</v>
      </c>
      <c r="C207" s="83" t="s">
        <v>779</v>
      </c>
      <c r="D207" s="96" t="s">
        <v>118</v>
      </c>
      <c r="E207" s="96" t="s">
        <v>311</v>
      </c>
      <c r="F207" s="83" t="s">
        <v>567</v>
      </c>
      <c r="G207" s="96" t="s">
        <v>568</v>
      </c>
      <c r="H207" s="83" t="s">
        <v>490</v>
      </c>
      <c r="I207" s="83" t="s">
        <v>315</v>
      </c>
      <c r="J207" s="83"/>
      <c r="K207" s="93">
        <v>4.9300000000026101</v>
      </c>
      <c r="L207" s="96" t="s">
        <v>162</v>
      </c>
      <c r="M207" s="97">
        <v>1.9E-2</v>
      </c>
      <c r="N207" s="97">
        <v>1.5700000000009172E-2</v>
      </c>
      <c r="O207" s="93">
        <v>556630.76716299995</v>
      </c>
      <c r="P207" s="95">
        <v>101.83</v>
      </c>
      <c r="Q207" s="83"/>
      <c r="R207" s="93">
        <v>566.81712876400002</v>
      </c>
      <c r="S207" s="94">
        <v>3.8531879952969614E-4</v>
      </c>
      <c r="T207" s="94">
        <f t="shared" si="3"/>
        <v>1.0254054770071533E-2</v>
      </c>
      <c r="U207" s="94">
        <f>R207/'סכום נכסי הקרן'!$C$42</f>
        <v>2.5138928485919998E-3</v>
      </c>
    </row>
    <row r="208" spans="2:21" s="127" customFormat="1">
      <c r="B208" s="86" t="s">
        <v>780</v>
      </c>
      <c r="C208" s="83" t="s">
        <v>781</v>
      </c>
      <c r="D208" s="96" t="s">
        <v>118</v>
      </c>
      <c r="E208" s="96" t="s">
        <v>311</v>
      </c>
      <c r="F208" s="83" t="s">
        <v>567</v>
      </c>
      <c r="G208" s="96" t="s">
        <v>568</v>
      </c>
      <c r="H208" s="83" t="s">
        <v>490</v>
      </c>
      <c r="I208" s="83" t="s">
        <v>315</v>
      </c>
      <c r="J208" s="83"/>
      <c r="K208" s="93">
        <v>3.4799999999949396</v>
      </c>
      <c r="L208" s="96" t="s">
        <v>162</v>
      </c>
      <c r="M208" s="97">
        <v>2.9600000000000001E-2</v>
      </c>
      <c r="N208" s="97">
        <v>1.5900000000006326E-2</v>
      </c>
      <c r="O208" s="93">
        <v>74669.492547000002</v>
      </c>
      <c r="P208" s="95">
        <v>105.86</v>
      </c>
      <c r="Q208" s="83"/>
      <c r="R208" s="93">
        <v>79.045122304999992</v>
      </c>
      <c r="S208" s="94">
        <v>1.8283689904112206E-4</v>
      </c>
      <c r="T208" s="94">
        <f t="shared" si="3"/>
        <v>1.4299726883517426E-3</v>
      </c>
      <c r="U208" s="94">
        <f>R208/'סכום נכסי הקרן'!$C$42</f>
        <v>3.5057332884757397E-4</v>
      </c>
    </row>
    <row r="209" spans="2:21" s="127" customFormat="1">
      <c r="B209" s="86" t="s">
        <v>782</v>
      </c>
      <c r="C209" s="83" t="s">
        <v>783</v>
      </c>
      <c r="D209" s="96" t="s">
        <v>118</v>
      </c>
      <c r="E209" s="96" t="s">
        <v>311</v>
      </c>
      <c r="F209" s="83" t="s">
        <v>573</v>
      </c>
      <c r="G209" s="96" t="s">
        <v>436</v>
      </c>
      <c r="H209" s="83" t="s">
        <v>490</v>
      </c>
      <c r="I209" s="83" t="s">
        <v>158</v>
      </c>
      <c r="J209" s="83"/>
      <c r="K209" s="93">
        <v>5.7100000000011653</v>
      </c>
      <c r="L209" s="96" t="s">
        <v>162</v>
      </c>
      <c r="M209" s="97">
        <v>3.61E-2</v>
      </c>
      <c r="N209" s="97">
        <v>2.4799999999998889E-2</v>
      </c>
      <c r="O209" s="93">
        <v>336053.09173799999</v>
      </c>
      <c r="P209" s="95">
        <v>107.26</v>
      </c>
      <c r="Q209" s="83"/>
      <c r="R209" s="93">
        <v>360.45053499800002</v>
      </c>
      <c r="S209" s="94">
        <v>4.3785419118957654E-4</v>
      </c>
      <c r="T209" s="94">
        <f t="shared" si="3"/>
        <v>6.5207618828152566E-3</v>
      </c>
      <c r="U209" s="94">
        <f>R209/'סכום נכסי הקרן'!$C$42</f>
        <v>1.5986355673099474E-3</v>
      </c>
    </row>
    <row r="210" spans="2:21" s="127" customFormat="1">
      <c r="B210" s="86" t="s">
        <v>784</v>
      </c>
      <c r="C210" s="83" t="s">
        <v>785</v>
      </c>
      <c r="D210" s="96" t="s">
        <v>118</v>
      </c>
      <c r="E210" s="96" t="s">
        <v>311</v>
      </c>
      <c r="F210" s="83" t="s">
        <v>573</v>
      </c>
      <c r="G210" s="96" t="s">
        <v>436</v>
      </c>
      <c r="H210" s="83" t="s">
        <v>490</v>
      </c>
      <c r="I210" s="83" t="s">
        <v>158</v>
      </c>
      <c r="J210" s="83"/>
      <c r="K210" s="93">
        <v>6.6399999999797092</v>
      </c>
      <c r="L210" s="96" t="s">
        <v>162</v>
      </c>
      <c r="M210" s="97">
        <v>3.3000000000000002E-2</v>
      </c>
      <c r="N210" s="97">
        <v>2.8999999999925155E-2</v>
      </c>
      <c r="O210" s="93">
        <v>116718.23302299999</v>
      </c>
      <c r="P210" s="95">
        <v>103.02</v>
      </c>
      <c r="Q210" s="83"/>
      <c r="R210" s="93">
        <v>120.24312367099998</v>
      </c>
      <c r="S210" s="94">
        <v>3.7853129780927207E-4</v>
      </c>
      <c r="T210" s="94">
        <f t="shared" si="3"/>
        <v>2.1752687300321196E-3</v>
      </c>
      <c r="U210" s="94">
        <f>R210/'סכום נכסי הקרן'!$C$42</f>
        <v>5.3329074466757496E-4</v>
      </c>
    </row>
    <row r="211" spans="2:21" s="127" customFormat="1">
      <c r="B211" s="86" t="s">
        <v>786</v>
      </c>
      <c r="C211" s="83" t="s">
        <v>787</v>
      </c>
      <c r="D211" s="96" t="s">
        <v>118</v>
      </c>
      <c r="E211" s="96" t="s">
        <v>311</v>
      </c>
      <c r="F211" s="83" t="s">
        <v>788</v>
      </c>
      <c r="G211" s="96" t="s">
        <v>149</v>
      </c>
      <c r="H211" s="83" t="s">
        <v>490</v>
      </c>
      <c r="I211" s="83" t="s">
        <v>158</v>
      </c>
      <c r="J211" s="83"/>
      <c r="K211" s="93">
        <v>3.7099999999951194</v>
      </c>
      <c r="L211" s="96" t="s">
        <v>162</v>
      </c>
      <c r="M211" s="97">
        <v>2.75E-2</v>
      </c>
      <c r="N211" s="97">
        <v>2.0899999999960065E-2</v>
      </c>
      <c r="O211" s="93">
        <v>109729.48725000002</v>
      </c>
      <c r="P211" s="95">
        <v>102.69</v>
      </c>
      <c r="Q211" s="83"/>
      <c r="R211" s="93">
        <v>112.68120680499999</v>
      </c>
      <c r="S211" s="94">
        <v>2.3559214456759018E-4</v>
      </c>
      <c r="T211" s="94">
        <f t="shared" si="3"/>
        <v>2.0384692125585105E-3</v>
      </c>
      <c r="U211" s="94">
        <f>R211/'סכום נכסי הקרן'!$C$42</f>
        <v>4.9975285781412465E-4</v>
      </c>
    </row>
    <row r="212" spans="2:21" s="127" customFormat="1">
      <c r="B212" s="86" t="s">
        <v>789</v>
      </c>
      <c r="C212" s="83" t="s">
        <v>790</v>
      </c>
      <c r="D212" s="96" t="s">
        <v>118</v>
      </c>
      <c r="E212" s="96" t="s">
        <v>311</v>
      </c>
      <c r="F212" s="83" t="s">
        <v>788</v>
      </c>
      <c r="G212" s="96" t="s">
        <v>149</v>
      </c>
      <c r="H212" s="83" t="s">
        <v>490</v>
      </c>
      <c r="I212" s="83" t="s">
        <v>158</v>
      </c>
      <c r="J212" s="83"/>
      <c r="K212" s="93">
        <v>4.7600000000030098</v>
      </c>
      <c r="L212" s="96" t="s">
        <v>162</v>
      </c>
      <c r="M212" s="97">
        <v>2.3E-2</v>
      </c>
      <c r="N212" s="97">
        <v>2.6000000000000002E-2</v>
      </c>
      <c r="O212" s="93">
        <v>201722.6925</v>
      </c>
      <c r="P212" s="95">
        <v>98.83</v>
      </c>
      <c r="Q212" s="83"/>
      <c r="R212" s="93">
        <v>199.362532515</v>
      </c>
      <c r="S212" s="94">
        <v>6.4028949287920744E-4</v>
      </c>
      <c r="T212" s="94">
        <f t="shared" si="3"/>
        <v>3.6065853055053513E-3</v>
      </c>
      <c r="U212" s="94">
        <f>R212/'סכום נכסי הקרן'!$C$42</f>
        <v>8.8419354203270423E-4</v>
      </c>
    </row>
    <row r="213" spans="2:21" s="127" customFormat="1">
      <c r="B213" s="86" t="s">
        <v>791</v>
      </c>
      <c r="C213" s="83" t="s">
        <v>792</v>
      </c>
      <c r="D213" s="96" t="s">
        <v>118</v>
      </c>
      <c r="E213" s="96" t="s">
        <v>311</v>
      </c>
      <c r="F213" s="83" t="s">
        <v>585</v>
      </c>
      <c r="G213" s="96" t="s">
        <v>365</v>
      </c>
      <c r="H213" s="83" t="s">
        <v>582</v>
      </c>
      <c r="I213" s="83" t="s">
        <v>315</v>
      </c>
      <c r="J213" s="83"/>
      <c r="K213" s="93">
        <v>1.1399999999955504</v>
      </c>
      <c r="L213" s="96" t="s">
        <v>162</v>
      </c>
      <c r="M213" s="97">
        <v>4.2999999999999997E-2</v>
      </c>
      <c r="N213" s="97">
        <v>2.0099999999908535E-2</v>
      </c>
      <c r="O213" s="93">
        <v>78548.874517000004</v>
      </c>
      <c r="P213" s="95">
        <v>103</v>
      </c>
      <c r="Q213" s="83"/>
      <c r="R213" s="93">
        <v>80.905343373999997</v>
      </c>
      <c r="S213" s="94">
        <v>2.7204012070206946E-4</v>
      </c>
      <c r="T213" s="94">
        <f t="shared" si="3"/>
        <v>1.4636251800602439E-3</v>
      </c>
      <c r="U213" s="94">
        <f>R213/'סכום נכסי הקרן'!$C$42</f>
        <v>3.5882360253347442E-4</v>
      </c>
    </row>
    <row r="214" spans="2:21" s="127" customFormat="1">
      <c r="B214" s="86" t="s">
        <v>793</v>
      </c>
      <c r="C214" s="83" t="s">
        <v>794</v>
      </c>
      <c r="D214" s="96" t="s">
        <v>118</v>
      </c>
      <c r="E214" s="96" t="s">
        <v>311</v>
      </c>
      <c r="F214" s="83" t="s">
        <v>585</v>
      </c>
      <c r="G214" s="96" t="s">
        <v>365</v>
      </c>
      <c r="H214" s="83" t="s">
        <v>582</v>
      </c>
      <c r="I214" s="83" t="s">
        <v>315</v>
      </c>
      <c r="J214" s="83"/>
      <c r="K214" s="93">
        <v>1.6100000000053707</v>
      </c>
      <c r="L214" s="96" t="s">
        <v>162</v>
      </c>
      <c r="M214" s="97">
        <v>4.2500000000000003E-2</v>
      </c>
      <c r="N214" s="97">
        <v>2.5900000000004354E-2</v>
      </c>
      <c r="O214" s="93">
        <v>65966.695760999995</v>
      </c>
      <c r="P214" s="95">
        <v>104.44</v>
      </c>
      <c r="Q214" s="83"/>
      <c r="R214" s="93">
        <v>68.895617782999992</v>
      </c>
      <c r="S214" s="94">
        <v>1.3427990602378441E-4</v>
      </c>
      <c r="T214" s="94">
        <f t="shared" si="3"/>
        <v>1.2463621904039842E-3</v>
      </c>
      <c r="U214" s="94">
        <f>R214/'סכום נכסי הקרן'!$C$42</f>
        <v>3.0555922193403485E-4</v>
      </c>
    </row>
    <row r="215" spans="2:21" s="127" customFormat="1">
      <c r="B215" s="86" t="s">
        <v>795</v>
      </c>
      <c r="C215" s="83" t="s">
        <v>796</v>
      </c>
      <c r="D215" s="96" t="s">
        <v>118</v>
      </c>
      <c r="E215" s="96" t="s">
        <v>311</v>
      </c>
      <c r="F215" s="83" t="s">
        <v>585</v>
      </c>
      <c r="G215" s="96" t="s">
        <v>365</v>
      </c>
      <c r="H215" s="83" t="s">
        <v>582</v>
      </c>
      <c r="I215" s="83" t="s">
        <v>315</v>
      </c>
      <c r="J215" s="83"/>
      <c r="K215" s="93">
        <v>1.9899999999994458</v>
      </c>
      <c r="L215" s="96" t="s">
        <v>162</v>
      </c>
      <c r="M215" s="97">
        <v>3.7000000000000005E-2</v>
      </c>
      <c r="N215" s="97">
        <v>2.7700000000030894E-2</v>
      </c>
      <c r="O215" s="93">
        <v>122070.01776800001</v>
      </c>
      <c r="P215" s="95">
        <v>103.42</v>
      </c>
      <c r="Q215" s="83"/>
      <c r="R215" s="93">
        <v>126.24481779299998</v>
      </c>
      <c r="S215" s="94">
        <v>4.6278168857249747E-4</v>
      </c>
      <c r="T215" s="94">
        <f t="shared" si="3"/>
        <v>2.2838429016955662E-3</v>
      </c>
      <c r="U215" s="94">
        <f>R215/'סכום נכסי הקרן'!$C$42</f>
        <v>5.5990888157115171E-4</v>
      </c>
    </row>
    <row r="216" spans="2:21" s="127" customFormat="1">
      <c r="B216" s="86" t="s">
        <v>797</v>
      </c>
      <c r="C216" s="83" t="s">
        <v>798</v>
      </c>
      <c r="D216" s="96" t="s">
        <v>118</v>
      </c>
      <c r="E216" s="96" t="s">
        <v>311</v>
      </c>
      <c r="F216" s="83" t="s">
        <v>756</v>
      </c>
      <c r="G216" s="96" t="s">
        <v>568</v>
      </c>
      <c r="H216" s="83" t="s">
        <v>582</v>
      </c>
      <c r="I216" s="83" t="s">
        <v>158</v>
      </c>
      <c r="J216" s="83"/>
      <c r="K216" s="93">
        <v>3.5099999998980627</v>
      </c>
      <c r="L216" s="96" t="s">
        <v>162</v>
      </c>
      <c r="M216" s="97">
        <v>3.7499999999999999E-2</v>
      </c>
      <c r="N216" s="97">
        <v>1.8599999998414312E-2</v>
      </c>
      <c r="O216" s="93">
        <v>4098.4928</v>
      </c>
      <c r="P216" s="95">
        <v>107.71</v>
      </c>
      <c r="Q216" s="83"/>
      <c r="R216" s="93">
        <v>4.4144865950000005</v>
      </c>
      <c r="S216" s="94">
        <v>7.7765822862460433E-6</v>
      </c>
      <c r="T216" s="94">
        <f t="shared" si="3"/>
        <v>7.9860655279744933E-5</v>
      </c>
      <c r="U216" s="94">
        <f>R216/'סכום נכסי הקרן'!$C$42</f>
        <v>1.9578706637844608E-5</v>
      </c>
    </row>
    <row r="217" spans="2:21" s="127" customFormat="1">
      <c r="B217" s="86" t="s">
        <v>799</v>
      </c>
      <c r="C217" s="83" t="s">
        <v>800</v>
      </c>
      <c r="D217" s="96" t="s">
        <v>118</v>
      </c>
      <c r="E217" s="96" t="s">
        <v>311</v>
      </c>
      <c r="F217" s="83" t="s">
        <v>423</v>
      </c>
      <c r="G217" s="96" t="s">
        <v>319</v>
      </c>
      <c r="H217" s="83" t="s">
        <v>582</v>
      </c>
      <c r="I217" s="83" t="s">
        <v>158</v>
      </c>
      <c r="J217" s="83"/>
      <c r="K217" s="93">
        <v>2.6800000000006019</v>
      </c>
      <c r="L217" s="96" t="s">
        <v>162</v>
      </c>
      <c r="M217" s="97">
        <v>3.6000000000000004E-2</v>
      </c>
      <c r="N217" s="97">
        <v>2.3199999999993982E-2</v>
      </c>
      <c r="O217" s="93">
        <f>255328.47725/50000</f>
        <v>5.1065695450000002</v>
      </c>
      <c r="P217" s="95">
        <v>5209200</v>
      </c>
      <c r="Q217" s="83"/>
      <c r="R217" s="93">
        <v>266.01142073800003</v>
      </c>
      <c r="S217" s="94">
        <f>1628.26654709521%/50000</f>
        <v>3.25653309419042E-4</v>
      </c>
      <c r="T217" s="94">
        <f t="shared" si="3"/>
        <v>4.8123028385892311E-3</v>
      </c>
      <c r="U217" s="94">
        <f>R217/'סכום נכסי הקרן'!$C$42</f>
        <v>1.1797882849716877E-3</v>
      </c>
    </row>
    <row r="218" spans="2:21" s="127" customFormat="1">
      <c r="B218" s="86" t="s">
        <v>801</v>
      </c>
      <c r="C218" s="83" t="s">
        <v>802</v>
      </c>
      <c r="D218" s="96" t="s">
        <v>118</v>
      </c>
      <c r="E218" s="96" t="s">
        <v>311</v>
      </c>
      <c r="F218" s="83" t="s">
        <v>803</v>
      </c>
      <c r="G218" s="96" t="s">
        <v>748</v>
      </c>
      <c r="H218" s="83" t="s">
        <v>582</v>
      </c>
      <c r="I218" s="83" t="s">
        <v>158</v>
      </c>
      <c r="J218" s="83"/>
      <c r="K218" s="93">
        <v>0.89999999979544498</v>
      </c>
      <c r="L218" s="96" t="s">
        <v>162</v>
      </c>
      <c r="M218" s="97">
        <v>5.5500000000000001E-2</v>
      </c>
      <c r="N218" s="97">
        <v>9.1999999973407832E-3</v>
      </c>
      <c r="O218" s="93">
        <v>1868.039149</v>
      </c>
      <c r="P218" s="95">
        <v>104.68</v>
      </c>
      <c r="Q218" s="83"/>
      <c r="R218" s="93">
        <v>1.9554633559999999</v>
      </c>
      <c r="S218" s="94">
        <v>1.5566992908333334E-4</v>
      </c>
      <c r="T218" s="94">
        <f t="shared" si="3"/>
        <v>3.5375480619324225E-5</v>
      </c>
      <c r="U218" s="94">
        <f>R218/'סכום נכסי הקרן'!$C$42</f>
        <v>8.6726831227763849E-6</v>
      </c>
    </row>
    <row r="219" spans="2:21" s="127" customFormat="1">
      <c r="B219" s="86" t="s">
        <v>804</v>
      </c>
      <c r="C219" s="83" t="s">
        <v>805</v>
      </c>
      <c r="D219" s="96" t="s">
        <v>118</v>
      </c>
      <c r="E219" s="96" t="s">
        <v>311</v>
      </c>
      <c r="F219" s="83" t="s">
        <v>806</v>
      </c>
      <c r="G219" s="96" t="s">
        <v>149</v>
      </c>
      <c r="H219" s="83" t="s">
        <v>582</v>
      </c>
      <c r="I219" s="83" t="s">
        <v>315</v>
      </c>
      <c r="J219" s="83"/>
      <c r="K219" s="93">
        <v>2.149999999944991</v>
      </c>
      <c r="L219" s="96" t="s">
        <v>162</v>
      </c>
      <c r="M219" s="97">
        <v>3.4000000000000002E-2</v>
      </c>
      <c r="N219" s="97">
        <v>2.2799999999706621E-2</v>
      </c>
      <c r="O219" s="93">
        <v>10597.867953000001</v>
      </c>
      <c r="P219" s="95">
        <v>102.92</v>
      </c>
      <c r="Q219" s="83"/>
      <c r="R219" s="93">
        <v>10.907325344</v>
      </c>
      <c r="S219" s="94">
        <v>1.670838976525128E-5</v>
      </c>
      <c r="T219" s="94">
        <f t="shared" si="3"/>
        <v>1.9731992171135115E-4</v>
      </c>
      <c r="U219" s="94">
        <f>R219/'סכום נכסי הקרן'!$C$42</f>
        <v>4.8375120983622219E-5</v>
      </c>
    </row>
    <row r="220" spans="2:21" s="127" customFormat="1">
      <c r="B220" s="86" t="s">
        <v>807</v>
      </c>
      <c r="C220" s="83" t="s">
        <v>808</v>
      </c>
      <c r="D220" s="96" t="s">
        <v>118</v>
      </c>
      <c r="E220" s="96" t="s">
        <v>311</v>
      </c>
      <c r="F220" s="83" t="s">
        <v>581</v>
      </c>
      <c r="G220" s="96" t="s">
        <v>319</v>
      </c>
      <c r="H220" s="83" t="s">
        <v>582</v>
      </c>
      <c r="I220" s="83" t="s">
        <v>158</v>
      </c>
      <c r="J220" s="83"/>
      <c r="K220" s="93">
        <v>0.67</v>
      </c>
      <c r="L220" s="96" t="s">
        <v>162</v>
      </c>
      <c r="M220" s="97">
        <v>1.6899999999999998E-2</v>
      </c>
      <c r="N220" s="97">
        <v>9.7999999999999997E-3</v>
      </c>
      <c r="O220" s="93">
        <v>76579.617788999996</v>
      </c>
      <c r="P220" s="95">
        <v>100.61</v>
      </c>
      <c r="Q220" s="83"/>
      <c r="R220" s="93">
        <v>77.046750899999992</v>
      </c>
      <c r="S220" s="94">
        <v>1.4879652156569385E-4</v>
      </c>
      <c r="T220" s="94">
        <f t="shared" si="3"/>
        <v>1.3938209759246705E-3</v>
      </c>
      <c r="U220" s="94">
        <f>R220/'סכום נכסי הקרן'!$C$42</f>
        <v>3.4171034407007636E-4</v>
      </c>
    </row>
    <row r="221" spans="2:21" s="127" customFormat="1">
      <c r="B221" s="86" t="s">
        <v>809</v>
      </c>
      <c r="C221" s="83" t="s">
        <v>810</v>
      </c>
      <c r="D221" s="96" t="s">
        <v>118</v>
      </c>
      <c r="E221" s="96" t="s">
        <v>311</v>
      </c>
      <c r="F221" s="83" t="s">
        <v>811</v>
      </c>
      <c r="G221" s="96" t="s">
        <v>369</v>
      </c>
      <c r="H221" s="83" t="s">
        <v>582</v>
      </c>
      <c r="I221" s="83" t="s">
        <v>158</v>
      </c>
      <c r="J221" s="83"/>
      <c r="K221" s="93">
        <v>2.4299999999993807</v>
      </c>
      <c r="L221" s="96" t="s">
        <v>162</v>
      </c>
      <c r="M221" s="97">
        <v>6.7500000000000004E-2</v>
      </c>
      <c r="N221" s="97">
        <v>3.9499999999907054E-2</v>
      </c>
      <c r="O221" s="93">
        <v>59719.130007999993</v>
      </c>
      <c r="P221" s="95">
        <v>108.09</v>
      </c>
      <c r="Q221" s="83"/>
      <c r="R221" s="93">
        <v>64.550407627999988</v>
      </c>
      <c r="S221" s="94">
        <v>7.4671873177603685E-5</v>
      </c>
      <c r="T221" s="94">
        <f t="shared" si="3"/>
        <v>1.1677547866122185E-3</v>
      </c>
      <c r="U221" s="94">
        <f>R221/'סכום נכסי הקרן'!$C$42</f>
        <v>2.8628776350421751E-4</v>
      </c>
    </row>
    <row r="222" spans="2:21" s="127" customFormat="1">
      <c r="B222" s="86" t="s">
        <v>812</v>
      </c>
      <c r="C222" s="83" t="s">
        <v>813</v>
      </c>
      <c r="D222" s="96" t="s">
        <v>118</v>
      </c>
      <c r="E222" s="96" t="s">
        <v>311</v>
      </c>
      <c r="F222" s="83" t="s">
        <v>540</v>
      </c>
      <c r="G222" s="96" t="s">
        <v>369</v>
      </c>
      <c r="H222" s="83" t="s">
        <v>582</v>
      </c>
      <c r="I222" s="83" t="s">
        <v>315</v>
      </c>
      <c r="J222" s="83"/>
      <c r="K222" s="93">
        <v>2.8299999951875257</v>
      </c>
      <c r="L222" s="96" t="s">
        <v>162</v>
      </c>
      <c r="M222" s="97">
        <v>5.74E-2</v>
      </c>
      <c r="N222" s="97">
        <v>1.739999989711262E-2</v>
      </c>
      <c r="O222" s="93">
        <v>43.868909000000002</v>
      </c>
      <c r="P222" s="95">
        <v>111.6</v>
      </c>
      <c r="Q222" s="93">
        <v>1.0284604999999999E-2</v>
      </c>
      <c r="R222" s="93">
        <v>6.0260063000000003E-2</v>
      </c>
      <c r="S222" s="94">
        <v>3.4107673945947404E-7</v>
      </c>
      <c r="T222" s="94">
        <f t="shared" si="3"/>
        <v>1.090139932428249E-6</v>
      </c>
      <c r="U222" s="94">
        <f>R222/'סכום נכסי הקרן'!$C$42</f>
        <v>2.6725963938622726E-7</v>
      </c>
    </row>
    <row r="223" spans="2:21" s="127" customFormat="1">
      <c r="B223" s="86" t="s">
        <v>814</v>
      </c>
      <c r="C223" s="83" t="s">
        <v>815</v>
      </c>
      <c r="D223" s="96" t="s">
        <v>118</v>
      </c>
      <c r="E223" s="96" t="s">
        <v>311</v>
      </c>
      <c r="F223" s="83" t="s">
        <v>540</v>
      </c>
      <c r="G223" s="96" t="s">
        <v>369</v>
      </c>
      <c r="H223" s="83" t="s">
        <v>582</v>
      </c>
      <c r="I223" s="83" t="s">
        <v>315</v>
      </c>
      <c r="J223" s="83"/>
      <c r="K223" s="93">
        <v>4.5800000000920704</v>
      </c>
      <c r="L223" s="96" t="s">
        <v>162</v>
      </c>
      <c r="M223" s="97">
        <v>5.6500000000000002E-2</v>
      </c>
      <c r="N223" s="97">
        <v>2.5600000000846054E-2</v>
      </c>
      <c r="O223" s="93">
        <v>6916.2066000000004</v>
      </c>
      <c r="P223" s="95">
        <v>116.21</v>
      </c>
      <c r="Q223" s="83"/>
      <c r="R223" s="93">
        <v>8.0373239969999997</v>
      </c>
      <c r="S223" s="94">
        <v>7.4451631029772228E-5</v>
      </c>
      <c r="T223" s="94">
        <f t="shared" si="3"/>
        <v>1.4539991169596893E-4</v>
      </c>
      <c r="U223" s="94">
        <f>R223/'סכום נכסי הקרן'!$C$42</f>
        <v>3.5646366866036807E-5</v>
      </c>
    </row>
    <row r="224" spans="2:21" s="127" customFormat="1">
      <c r="B224" s="86" t="s">
        <v>816</v>
      </c>
      <c r="C224" s="83" t="s">
        <v>817</v>
      </c>
      <c r="D224" s="96" t="s">
        <v>118</v>
      </c>
      <c r="E224" s="96" t="s">
        <v>311</v>
      </c>
      <c r="F224" s="83" t="s">
        <v>543</v>
      </c>
      <c r="G224" s="96" t="s">
        <v>369</v>
      </c>
      <c r="H224" s="83" t="s">
        <v>582</v>
      </c>
      <c r="I224" s="83" t="s">
        <v>315</v>
      </c>
      <c r="J224" s="83"/>
      <c r="K224" s="93">
        <v>3.299999999964645</v>
      </c>
      <c r="L224" s="96" t="s">
        <v>162</v>
      </c>
      <c r="M224" s="97">
        <v>3.7000000000000005E-2</v>
      </c>
      <c r="N224" s="97">
        <v>1.7699999999872183E-2</v>
      </c>
      <c r="O224" s="93">
        <v>34220.453213000001</v>
      </c>
      <c r="P224" s="95">
        <v>107.45</v>
      </c>
      <c r="Q224" s="83"/>
      <c r="R224" s="93">
        <v>36.769877010999998</v>
      </c>
      <c r="S224" s="94">
        <v>1.513656738974843E-4</v>
      </c>
      <c r="T224" s="94">
        <f t="shared" si="3"/>
        <v>6.6518867131231784E-4</v>
      </c>
      <c r="U224" s="94">
        <f>R224/'סכום נכסי הקרן'!$C$42</f>
        <v>1.6307822429982834E-4</v>
      </c>
    </row>
    <row r="225" spans="2:21" s="127" customFormat="1">
      <c r="B225" s="86" t="s">
        <v>818</v>
      </c>
      <c r="C225" s="83" t="s">
        <v>819</v>
      </c>
      <c r="D225" s="96" t="s">
        <v>118</v>
      </c>
      <c r="E225" s="96" t="s">
        <v>311</v>
      </c>
      <c r="F225" s="83" t="s">
        <v>820</v>
      </c>
      <c r="G225" s="96" t="s">
        <v>369</v>
      </c>
      <c r="H225" s="83" t="s">
        <v>582</v>
      </c>
      <c r="I225" s="83" t="s">
        <v>158</v>
      </c>
      <c r="J225" s="83"/>
      <c r="K225" s="93">
        <v>1.8199999999999996</v>
      </c>
      <c r="L225" s="96" t="s">
        <v>162</v>
      </c>
      <c r="M225" s="97">
        <v>4.4500000000000005E-2</v>
      </c>
      <c r="N225" s="97">
        <v>4.4500000000000005E-2</v>
      </c>
      <c r="O225" s="93">
        <v>0.9</v>
      </c>
      <c r="P225" s="95">
        <v>101.19</v>
      </c>
      <c r="Q225" s="83"/>
      <c r="R225" s="93">
        <v>9.1E-4</v>
      </c>
      <c r="S225" s="94">
        <v>8.0386852904914834E-10</v>
      </c>
      <c r="T225" s="94">
        <f t="shared" si="3"/>
        <v>1.6462434473553514E-8</v>
      </c>
      <c r="U225" s="94">
        <f>R225/'סכום נכסי הקרן'!$C$42</f>
        <v>4.0359445333050313E-9</v>
      </c>
    </row>
    <row r="226" spans="2:21" s="127" customFormat="1">
      <c r="B226" s="86" t="s">
        <v>821</v>
      </c>
      <c r="C226" s="83" t="s">
        <v>822</v>
      </c>
      <c r="D226" s="96" t="s">
        <v>118</v>
      </c>
      <c r="E226" s="96" t="s">
        <v>311</v>
      </c>
      <c r="F226" s="83" t="s">
        <v>823</v>
      </c>
      <c r="G226" s="96" t="s">
        <v>365</v>
      </c>
      <c r="H226" s="83" t="s">
        <v>582</v>
      </c>
      <c r="I226" s="83" t="s">
        <v>315</v>
      </c>
      <c r="J226" s="83"/>
      <c r="K226" s="93">
        <v>2.8700000000019994</v>
      </c>
      <c r="L226" s="96" t="s">
        <v>162</v>
      </c>
      <c r="M226" s="97">
        <v>2.9500000000000002E-2</v>
      </c>
      <c r="N226" s="97">
        <v>1.8600000000014539E-2</v>
      </c>
      <c r="O226" s="93">
        <v>105902.048758</v>
      </c>
      <c r="P226" s="95">
        <v>103.91</v>
      </c>
      <c r="Q226" s="83"/>
      <c r="R226" s="93">
        <v>110.04281889399999</v>
      </c>
      <c r="S226" s="94">
        <v>4.9357999202261527E-4</v>
      </c>
      <c r="T226" s="94">
        <f t="shared" si="3"/>
        <v>1.9907392256347158E-3</v>
      </c>
      <c r="U226" s="94">
        <f>R226/'סכום נכסי הקרן'!$C$42</f>
        <v>4.8805133334584055E-4</v>
      </c>
    </row>
    <row r="227" spans="2:21" s="127" customFormat="1">
      <c r="B227" s="86" t="s">
        <v>824</v>
      </c>
      <c r="C227" s="83" t="s">
        <v>825</v>
      </c>
      <c r="D227" s="96" t="s">
        <v>118</v>
      </c>
      <c r="E227" s="96" t="s">
        <v>311</v>
      </c>
      <c r="F227" s="83" t="s">
        <v>472</v>
      </c>
      <c r="G227" s="96" t="s">
        <v>436</v>
      </c>
      <c r="H227" s="83" t="s">
        <v>582</v>
      </c>
      <c r="I227" s="83" t="s">
        <v>158</v>
      </c>
      <c r="J227" s="83"/>
      <c r="K227" s="93">
        <v>8.6699999999967083</v>
      </c>
      <c r="L227" s="96" t="s">
        <v>162</v>
      </c>
      <c r="M227" s="97">
        <v>3.4300000000000004E-2</v>
      </c>
      <c r="N227" s="97">
        <v>3.3099999999981991E-2</v>
      </c>
      <c r="O227" s="93">
        <v>157730.016397</v>
      </c>
      <c r="P227" s="95">
        <v>102.1</v>
      </c>
      <c r="Q227" s="83"/>
      <c r="R227" s="93">
        <v>161.042346759</v>
      </c>
      <c r="S227" s="94">
        <v>6.2127783361036709E-4</v>
      </c>
      <c r="T227" s="94">
        <f t="shared" si="3"/>
        <v>2.913350638447605E-3</v>
      </c>
      <c r="U227" s="94">
        <f>R227/'סכום נכסי הקרן'!$C$42</f>
        <v>7.1423953739846078E-4</v>
      </c>
    </row>
    <row r="228" spans="2:21" s="127" customFormat="1">
      <c r="B228" s="86" t="s">
        <v>826</v>
      </c>
      <c r="C228" s="83" t="s">
        <v>827</v>
      </c>
      <c r="D228" s="96" t="s">
        <v>118</v>
      </c>
      <c r="E228" s="96" t="s">
        <v>311</v>
      </c>
      <c r="F228" s="83" t="s">
        <v>611</v>
      </c>
      <c r="G228" s="96" t="s">
        <v>369</v>
      </c>
      <c r="H228" s="83" t="s">
        <v>582</v>
      </c>
      <c r="I228" s="83" t="s">
        <v>158</v>
      </c>
      <c r="J228" s="83"/>
      <c r="K228" s="93">
        <v>3.3700000193778732</v>
      </c>
      <c r="L228" s="96" t="s">
        <v>162</v>
      </c>
      <c r="M228" s="97">
        <v>7.0499999999999993E-2</v>
      </c>
      <c r="N228" s="97">
        <v>2.6000000156063408E-2</v>
      </c>
      <c r="O228" s="93">
        <v>65.501164000000003</v>
      </c>
      <c r="P228" s="95">
        <v>117.39</v>
      </c>
      <c r="Q228" s="83"/>
      <c r="R228" s="93">
        <v>7.6891822999999998E-2</v>
      </c>
      <c r="S228" s="94">
        <v>1.4165427536374697E-7</v>
      </c>
      <c r="T228" s="94">
        <f t="shared" si="3"/>
        <v>1.3910182392193132E-6</v>
      </c>
      <c r="U228" s="94">
        <f>R228/'סכום נכסי הקרן'!$C$42</f>
        <v>3.4102322273923965E-7</v>
      </c>
    </row>
    <row r="229" spans="2:21" s="127" customFormat="1">
      <c r="B229" s="86" t="s">
        <v>828</v>
      </c>
      <c r="C229" s="83" t="s">
        <v>829</v>
      </c>
      <c r="D229" s="96" t="s">
        <v>118</v>
      </c>
      <c r="E229" s="96" t="s">
        <v>311</v>
      </c>
      <c r="F229" s="83" t="s">
        <v>614</v>
      </c>
      <c r="G229" s="96" t="s">
        <v>404</v>
      </c>
      <c r="H229" s="83" t="s">
        <v>582</v>
      </c>
      <c r="I229" s="83" t="s">
        <v>315</v>
      </c>
      <c r="J229" s="83"/>
      <c r="K229" s="93">
        <v>3.2099999999825113</v>
      </c>
      <c r="L229" s="96" t="s">
        <v>162</v>
      </c>
      <c r="M229" s="97">
        <v>4.1399999999999999E-2</v>
      </c>
      <c r="N229" s="97">
        <v>3.4899999999795768E-2</v>
      </c>
      <c r="O229" s="93">
        <v>79278.678759000002</v>
      </c>
      <c r="P229" s="95">
        <v>103.14</v>
      </c>
      <c r="Q229" s="83"/>
      <c r="R229" s="93">
        <v>81.76802928299999</v>
      </c>
      <c r="S229" s="94">
        <v>1.0956011677268842E-4</v>
      </c>
      <c r="T229" s="94">
        <f t="shared" si="3"/>
        <v>1.479231674838453E-3</v>
      </c>
      <c r="U229" s="94">
        <f>R229/'סכום נכסי הקרן'!$C$42</f>
        <v>3.626497041580764E-4</v>
      </c>
    </row>
    <row r="230" spans="2:21" s="127" customFormat="1">
      <c r="B230" s="86" t="s">
        <v>830</v>
      </c>
      <c r="C230" s="83" t="s">
        <v>831</v>
      </c>
      <c r="D230" s="96" t="s">
        <v>118</v>
      </c>
      <c r="E230" s="96" t="s">
        <v>311</v>
      </c>
      <c r="F230" s="83" t="s">
        <v>614</v>
      </c>
      <c r="G230" s="96" t="s">
        <v>404</v>
      </c>
      <c r="H230" s="83" t="s">
        <v>582</v>
      </c>
      <c r="I230" s="83" t="s">
        <v>315</v>
      </c>
      <c r="J230" s="83"/>
      <c r="K230" s="93">
        <v>5.8800000000091668</v>
      </c>
      <c r="L230" s="96" t="s">
        <v>162</v>
      </c>
      <c r="M230" s="97">
        <v>2.5000000000000001E-2</v>
      </c>
      <c r="N230" s="97">
        <v>5.0500000000100263E-2</v>
      </c>
      <c r="O230" s="93">
        <v>200793.40280400001</v>
      </c>
      <c r="P230" s="95">
        <v>86.93</v>
      </c>
      <c r="Q230" s="83"/>
      <c r="R230" s="93">
        <v>174.549700605</v>
      </c>
      <c r="S230" s="94">
        <v>3.2705864413449593E-4</v>
      </c>
      <c r="T230" s="94">
        <f t="shared" ref="T230:T251" si="4">R230/$R$11</f>
        <v>3.1577066028441723E-3</v>
      </c>
      <c r="U230" s="94">
        <f>R230/'סכום נכסי הקרן'!$C$42</f>
        <v>7.7414605488657106E-4</v>
      </c>
    </row>
    <row r="231" spans="2:21" s="127" customFormat="1">
      <c r="B231" s="86" t="s">
        <v>832</v>
      </c>
      <c r="C231" s="83" t="s">
        <v>833</v>
      </c>
      <c r="D231" s="96" t="s">
        <v>118</v>
      </c>
      <c r="E231" s="96" t="s">
        <v>311</v>
      </c>
      <c r="F231" s="83" t="s">
        <v>614</v>
      </c>
      <c r="G231" s="96" t="s">
        <v>404</v>
      </c>
      <c r="H231" s="83" t="s">
        <v>582</v>
      </c>
      <c r="I231" s="83" t="s">
        <v>315</v>
      </c>
      <c r="J231" s="83"/>
      <c r="K231" s="93">
        <v>4.4799999999906035</v>
      </c>
      <c r="L231" s="96" t="s">
        <v>162</v>
      </c>
      <c r="M231" s="97">
        <v>3.5499999999999997E-2</v>
      </c>
      <c r="N231" s="97">
        <v>4.4899999999899631E-2</v>
      </c>
      <c r="O231" s="93">
        <v>96584.005470000004</v>
      </c>
      <c r="P231" s="95">
        <v>96.96</v>
      </c>
      <c r="Q231" s="83"/>
      <c r="R231" s="93">
        <v>93.647847405999983</v>
      </c>
      <c r="S231" s="94">
        <v>1.3591244644922703E-4</v>
      </c>
      <c r="T231" s="94">
        <f t="shared" si="4"/>
        <v>1.6941445620995751E-3</v>
      </c>
      <c r="U231" s="94">
        <f>R231/'סכום נכסי הקרן'!$C$42</f>
        <v>4.1533793164179051E-4</v>
      </c>
    </row>
    <row r="232" spans="2:21" s="127" customFormat="1">
      <c r="B232" s="86" t="s">
        <v>834</v>
      </c>
      <c r="C232" s="83" t="s">
        <v>835</v>
      </c>
      <c r="D232" s="96" t="s">
        <v>118</v>
      </c>
      <c r="E232" s="96" t="s">
        <v>311</v>
      </c>
      <c r="F232" s="83" t="s">
        <v>836</v>
      </c>
      <c r="G232" s="96" t="s">
        <v>369</v>
      </c>
      <c r="H232" s="83" t="s">
        <v>582</v>
      </c>
      <c r="I232" s="83" t="s">
        <v>315</v>
      </c>
      <c r="J232" s="83"/>
      <c r="K232" s="93">
        <v>4.9299999999968502</v>
      </c>
      <c r="L232" s="96" t="s">
        <v>162</v>
      </c>
      <c r="M232" s="97">
        <v>3.9E-2</v>
      </c>
      <c r="N232" s="97">
        <v>4.7799999999920538E-2</v>
      </c>
      <c r="O232" s="93">
        <v>150050.94452399999</v>
      </c>
      <c r="P232" s="95">
        <v>97.3</v>
      </c>
      <c r="Q232" s="83"/>
      <c r="R232" s="93">
        <v>145.999569022</v>
      </c>
      <c r="S232" s="94">
        <v>3.5650869472783858E-4</v>
      </c>
      <c r="T232" s="94">
        <f t="shared" si="4"/>
        <v>2.6412179540568448E-3</v>
      </c>
      <c r="U232" s="94">
        <f>R232/'סכום נכסי הקרן'!$C$42</f>
        <v>6.4752325544970501E-4</v>
      </c>
    </row>
    <row r="233" spans="2:21" s="127" customFormat="1">
      <c r="B233" s="86" t="s">
        <v>837</v>
      </c>
      <c r="C233" s="83" t="s">
        <v>838</v>
      </c>
      <c r="D233" s="96" t="s">
        <v>118</v>
      </c>
      <c r="E233" s="96" t="s">
        <v>311</v>
      </c>
      <c r="F233" s="83" t="s">
        <v>839</v>
      </c>
      <c r="G233" s="96" t="s">
        <v>404</v>
      </c>
      <c r="H233" s="83" t="s">
        <v>582</v>
      </c>
      <c r="I233" s="83" t="s">
        <v>315</v>
      </c>
      <c r="J233" s="83"/>
      <c r="K233" s="93">
        <v>1.7299999999924391</v>
      </c>
      <c r="L233" s="96" t="s">
        <v>162</v>
      </c>
      <c r="M233" s="97">
        <v>1.47E-2</v>
      </c>
      <c r="N233" s="97">
        <v>1.3799999999955044E-2</v>
      </c>
      <c r="O233" s="93">
        <v>97674.746453000014</v>
      </c>
      <c r="P233" s="95">
        <v>100.2</v>
      </c>
      <c r="Q233" s="83"/>
      <c r="R233" s="93">
        <v>97.870095937999977</v>
      </c>
      <c r="S233" s="94">
        <v>2.9807494037875382E-4</v>
      </c>
      <c r="T233" s="94">
        <f t="shared" si="4"/>
        <v>1.770527517911781E-3</v>
      </c>
      <c r="U233" s="94">
        <f>R233/'סכום נכסי הקרן'!$C$42</f>
        <v>4.3406404250001095E-4</v>
      </c>
    </row>
    <row r="234" spans="2:21" s="127" customFormat="1">
      <c r="B234" s="86" t="s">
        <v>840</v>
      </c>
      <c r="C234" s="83" t="s">
        <v>841</v>
      </c>
      <c r="D234" s="96" t="s">
        <v>118</v>
      </c>
      <c r="E234" s="96" t="s">
        <v>311</v>
      </c>
      <c r="F234" s="83" t="s">
        <v>839</v>
      </c>
      <c r="G234" s="96" t="s">
        <v>404</v>
      </c>
      <c r="H234" s="83" t="s">
        <v>582</v>
      </c>
      <c r="I234" s="83" t="s">
        <v>315</v>
      </c>
      <c r="J234" s="83"/>
      <c r="K234" s="93">
        <v>3.0999999999929844</v>
      </c>
      <c r="L234" s="96" t="s">
        <v>162</v>
      </c>
      <c r="M234" s="97">
        <v>2.1600000000000001E-2</v>
      </c>
      <c r="N234" s="97">
        <v>2.4399999999948557E-2</v>
      </c>
      <c r="O234" s="93">
        <v>85746.432683000006</v>
      </c>
      <c r="P234" s="95">
        <v>99.75</v>
      </c>
      <c r="Q234" s="83"/>
      <c r="R234" s="93">
        <v>85.532066576000005</v>
      </c>
      <c r="S234" s="94">
        <v>1.0798850007871211E-4</v>
      </c>
      <c r="T234" s="94">
        <f t="shared" si="4"/>
        <v>1.5473253202143043E-3</v>
      </c>
      <c r="U234" s="94">
        <f>R234/'סכום נכסי הקרן'!$C$42</f>
        <v>3.7934360057108703E-4</v>
      </c>
    </row>
    <row r="235" spans="2:21" s="127" customFormat="1">
      <c r="B235" s="86" t="s">
        <v>842</v>
      </c>
      <c r="C235" s="83" t="s">
        <v>843</v>
      </c>
      <c r="D235" s="96" t="s">
        <v>118</v>
      </c>
      <c r="E235" s="96" t="s">
        <v>311</v>
      </c>
      <c r="F235" s="83" t="s">
        <v>788</v>
      </c>
      <c r="G235" s="96" t="s">
        <v>149</v>
      </c>
      <c r="H235" s="83" t="s">
        <v>582</v>
      </c>
      <c r="I235" s="83" t="s">
        <v>158</v>
      </c>
      <c r="J235" s="83"/>
      <c r="K235" s="93">
        <v>2.5800000000084298</v>
      </c>
      <c r="L235" s="96" t="s">
        <v>162</v>
      </c>
      <c r="M235" s="97">
        <v>2.4E-2</v>
      </c>
      <c r="N235" s="97">
        <v>1.790000000004215E-2</v>
      </c>
      <c r="O235" s="93">
        <v>65252.819926999997</v>
      </c>
      <c r="P235" s="95">
        <v>101.81</v>
      </c>
      <c r="Q235" s="83"/>
      <c r="R235" s="93">
        <v>66.433895968000002</v>
      </c>
      <c r="S235" s="94">
        <v>1.7667435942717006E-4</v>
      </c>
      <c r="T235" s="94">
        <f t="shared" si="4"/>
        <v>1.2018281969187593E-3</v>
      </c>
      <c r="U235" s="94">
        <f>R235/'סכום נכסי הקרן'!$C$42</f>
        <v>2.9464122995407119E-4</v>
      </c>
    </row>
    <row r="236" spans="2:21" s="127" customFormat="1">
      <c r="B236" s="86" t="s">
        <v>844</v>
      </c>
      <c r="C236" s="83" t="s">
        <v>845</v>
      </c>
      <c r="D236" s="96" t="s">
        <v>118</v>
      </c>
      <c r="E236" s="96" t="s">
        <v>311</v>
      </c>
      <c r="F236" s="83" t="s">
        <v>846</v>
      </c>
      <c r="G236" s="96" t="s">
        <v>369</v>
      </c>
      <c r="H236" s="83" t="s">
        <v>582</v>
      </c>
      <c r="I236" s="83" t="s">
        <v>315</v>
      </c>
      <c r="J236" s="83"/>
      <c r="K236" s="93">
        <v>1.3900000000030912</v>
      </c>
      <c r="L236" s="96" t="s">
        <v>162</v>
      </c>
      <c r="M236" s="97">
        <v>5.0999999999999997E-2</v>
      </c>
      <c r="N236" s="97">
        <v>2.5100000000043005E-2</v>
      </c>
      <c r="O236" s="93">
        <v>287287.59571299999</v>
      </c>
      <c r="P236" s="95">
        <v>103.6</v>
      </c>
      <c r="Q236" s="83"/>
      <c r="R236" s="93">
        <v>297.62993957200001</v>
      </c>
      <c r="S236" s="94">
        <v>3.7686946833661287E-4</v>
      </c>
      <c r="T236" s="94">
        <f t="shared" si="4"/>
        <v>5.3843004149140032E-3</v>
      </c>
      <c r="U236" s="94">
        <f>R236/'סכום נכסי הקרן'!$C$42</f>
        <v>1.3200197006192531E-3</v>
      </c>
    </row>
    <row r="237" spans="2:21" s="127" customFormat="1">
      <c r="B237" s="86" t="s">
        <v>847</v>
      </c>
      <c r="C237" s="83" t="s">
        <v>848</v>
      </c>
      <c r="D237" s="96" t="s">
        <v>118</v>
      </c>
      <c r="E237" s="96" t="s">
        <v>311</v>
      </c>
      <c r="F237" s="83" t="s">
        <v>849</v>
      </c>
      <c r="G237" s="96" t="s">
        <v>369</v>
      </c>
      <c r="H237" s="83" t="s">
        <v>582</v>
      </c>
      <c r="I237" s="83" t="s">
        <v>315</v>
      </c>
      <c r="J237" s="83"/>
      <c r="K237" s="93">
        <v>5.2099999968603843</v>
      </c>
      <c r="L237" s="96" t="s">
        <v>162</v>
      </c>
      <c r="M237" s="97">
        <v>2.6200000000000001E-2</v>
      </c>
      <c r="N237" s="97">
        <v>2.8699999973434025E-2</v>
      </c>
      <c r="O237" s="93">
        <v>458.08085599999998</v>
      </c>
      <c r="P237" s="95">
        <v>99.43</v>
      </c>
      <c r="Q237" s="83"/>
      <c r="R237" s="93">
        <v>0.45546978300000002</v>
      </c>
      <c r="S237" s="94">
        <v>1.8098952026487762E-6</v>
      </c>
      <c r="T237" s="94">
        <f t="shared" si="4"/>
        <v>8.239715887166086E-6</v>
      </c>
      <c r="U237" s="94">
        <f>R237/'סכום נכסי הקרן'!$C$42</f>
        <v>2.0200558030598668E-6</v>
      </c>
    </row>
    <row r="238" spans="2:21" s="127" customFormat="1">
      <c r="B238" s="86" t="s">
        <v>850</v>
      </c>
      <c r="C238" s="83" t="s">
        <v>851</v>
      </c>
      <c r="D238" s="96" t="s">
        <v>118</v>
      </c>
      <c r="E238" s="96" t="s">
        <v>311</v>
      </c>
      <c r="F238" s="83" t="s">
        <v>849</v>
      </c>
      <c r="G238" s="96" t="s">
        <v>369</v>
      </c>
      <c r="H238" s="83" t="s">
        <v>582</v>
      </c>
      <c r="I238" s="83" t="s">
        <v>315</v>
      </c>
      <c r="J238" s="83"/>
      <c r="K238" s="93">
        <v>3.3300000000144738</v>
      </c>
      <c r="L238" s="96" t="s">
        <v>162</v>
      </c>
      <c r="M238" s="97">
        <v>3.3500000000000002E-2</v>
      </c>
      <c r="N238" s="97">
        <v>1.8800000000109146E-2</v>
      </c>
      <c r="O238" s="93">
        <v>79074.531142000007</v>
      </c>
      <c r="P238" s="95">
        <v>104.92</v>
      </c>
      <c r="Q238" s="93">
        <v>1.3244983910000001</v>
      </c>
      <c r="R238" s="93">
        <v>84.289496466000017</v>
      </c>
      <c r="S238" s="94">
        <v>1.6438914262679921E-4</v>
      </c>
      <c r="T238" s="94">
        <f t="shared" si="4"/>
        <v>1.5248464971212591E-3</v>
      </c>
      <c r="U238" s="94">
        <f>R238/'סכום נכסי הקרן'!$C$42</f>
        <v>3.7383267305163357E-4</v>
      </c>
    </row>
    <row r="239" spans="2:21" s="127" customFormat="1">
      <c r="B239" s="86" t="s">
        <v>852</v>
      </c>
      <c r="C239" s="83" t="s">
        <v>853</v>
      </c>
      <c r="D239" s="96" t="s">
        <v>118</v>
      </c>
      <c r="E239" s="96" t="s">
        <v>311</v>
      </c>
      <c r="F239" s="83" t="s">
        <v>581</v>
      </c>
      <c r="G239" s="96" t="s">
        <v>319</v>
      </c>
      <c r="H239" s="83" t="s">
        <v>626</v>
      </c>
      <c r="I239" s="83" t="s">
        <v>158</v>
      </c>
      <c r="J239" s="83"/>
      <c r="K239" s="93">
        <v>1.4199999999059918</v>
      </c>
      <c r="L239" s="96" t="s">
        <v>162</v>
      </c>
      <c r="M239" s="97">
        <v>2.81E-2</v>
      </c>
      <c r="N239" s="97">
        <v>1.2099999999529957E-2</v>
      </c>
      <c r="O239" s="93">
        <v>9970.5804669999998</v>
      </c>
      <c r="P239" s="95">
        <v>102.42</v>
      </c>
      <c r="Q239" s="83"/>
      <c r="R239" s="93">
        <v>10.211868188</v>
      </c>
      <c r="S239" s="94">
        <v>1.0329210661155312E-4</v>
      </c>
      <c r="T239" s="94">
        <f t="shared" si="4"/>
        <v>1.8473869329397328E-4</v>
      </c>
      <c r="U239" s="94">
        <f>R239/'סכום נכסי הקרן'!$C$42</f>
        <v>4.5290696250758418E-5</v>
      </c>
    </row>
    <row r="240" spans="2:21" s="127" customFormat="1">
      <c r="B240" s="86" t="s">
        <v>854</v>
      </c>
      <c r="C240" s="83" t="s">
        <v>855</v>
      </c>
      <c r="D240" s="96" t="s">
        <v>118</v>
      </c>
      <c r="E240" s="96" t="s">
        <v>311</v>
      </c>
      <c r="F240" s="83" t="s">
        <v>629</v>
      </c>
      <c r="G240" s="96" t="s">
        <v>369</v>
      </c>
      <c r="H240" s="83" t="s">
        <v>626</v>
      </c>
      <c r="I240" s="83" t="s">
        <v>158</v>
      </c>
      <c r="J240" s="83"/>
      <c r="K240" s="93">
        <v>1.66</v>
      </c>
      <c r="L240" s="96" t="s">
        <v>162</v>
      </c>
      <c r="M240" s="97">
        <v>0.05</v>
      </c>
      <c r="N240" s="97">
        <v>2.3399999999999997E-2</v>
      </c>
      <c r="O240" s="93">
        <v>0.15</v>
      </c>
      <c r="P240" s="95">
        <v>105.72</v>
      </c>
      <c r="Q240" s="83"/>
      <c r="R240" s="93">
        <v>1.6000000000000001E-4</v>
      </c>
      <c r="S240" s="94">
        <v>1.2244897959183673E-9</v>
      </c>
      <c r="T240" s="94">
        <f t="shared" si="4"/>
        <v>2.894493973372047E-9</v>
      </c>
      <c r="U240" s="94">
        <f>R240/'סכום נכסי הקרן'!$C$42</f>
        <v>7.0961662124044513E-10</v>
      </c>
    </row>
    <row r="241" spans="2:21" s="127" customFormat="1">
      <c r="B241" s="86" t="s">
        <v>856</v>
      </c>
      <c r="C241" s="83" t="s">
        <v>857</v>
      </c>
      <c r="D241" s="96" t="s">
        <v>118</v>
      </c>
      <c r="E241" s="96" t="s">
        <v>311</v>
      </c>
      <c r="F241" s="83" t="s">
        <v>629</v>
      </c>
      <c r="G241" s="96" t="s">
        <v>369</v>
      </c>
      <c r="H241" s="83" t="s">
        <v>626</v>
      </c>
      <c r="I241" s="83" t="s">
        <v>158</v>
      </c>
      <c r="J241" s="83"/>
      <c r="K241" s="93">
        <v>2.1000000324680701</v>
      </c>
      <c r="L241" s="96" t="s">
        <v>162</v>
      </c>
      <c r="M241" s="97">
        <v>4.6500000000000007E-2</v>
      </c>
      <c r="N241" s="97">
        <v>2.3500000234491617E-2</v>
      </c>
      <c r="O241" s="93">
        <v>26.138189000000001</v>
      </c>
      <c r="P241" s="95">
        <v>106.05</v>
      </c>
      <c r="Q241" s="83"/>
      <c r="R241" s="93">
        <v>2.7719541E-2</v>
      </c>
      <c r="S241" s="94">
        <v>1.6235821004678483E-7</v>
      </c>
      <c r="T241" s="94">
        <f t="shared" si="4"/>
        <v>5.0146277730712097E-7</v>
      </c>
      <c r="U241" s="94">
        <f>R241/'סכום נכסי הקרן'!$C$42</f>
        <v>1.2293904391722494E-7</v>
      </c>
    </row>
    <row r="242" spans="2:21" s="127" customFormat="1">
      <c r="B242" s="86" t="s">
        <v>858</v>
      </c>
      <c r="C242" s="83" t="s">
        <v>859</v>
      </c>
      <c r="D242" s="96" t="s">
        <v>118</v>
      </c>
      <c r="E242" s="96" t="s">
        <v>311</v>
      </c>
      <c r="F242" s="83" t="s">
        <v>860</v>
      </c>
      <c r="G242" s="96" t="s">
        <v>436</v>
      </c>
      <c r="H242" s="83" t="s">
        <v>626</v>
      </c>
      <c r="I242" s="83" t="s">
        <v>158</v>
      </c>
      <c r="J242" s="83"/>
      <c r="K242" s="93">
        <v>5.9700000000383433</v>
      </c>
      <c r="L242" s="96" t="s">
        <v>162</v>
      </c>
      <c r="M242" s="97">
        <v>3.27E-2</v>
      </c>
      <c r="N242" s="97">
        <v>2.7000000000217045E-2</v>
      </c>
      <c r="O242" s="93">
        <v>66059.673452000003</v>
      </c>
      <c r="P242" s="95">
        <v>104.62</v>
      </c>
      <c r="Q242" s="83"/>
      <c r="R242" s="93">
        <v>69.111632354999998</v>
      </c>
      <c r="S242" s="94">
        <v>2.9623171951569506E-4</v>
      </c>
      <c r="T242" s="94">
        <f t="shared" si="4"/>
        <v>1.2502700208840752E-3</v>
      </c>
      <c r="U242" s="94">
        <f>R242/'סכום נכסי הקרן'!$C$42</f>
        <v>3.0651726900104325E-4</v>
      </c>
    </row>
    <row r="243" spans="2:21" s="127" customFormat="1">
      <c r="B243" s="86" t="s">
        <v>861</v>
      </c>
      <c r="C243" s="83" t="s">
        <v>862</v>
      </c>
      <c r="D243" s="96" t="s">
        <v>118</v>
      </c>
      <c r="E243" s="96" t="s">
        <v>311</v>
      </c>
      <c r="F243" s="83" t="s">
        <v>863</v>
      </c>
      <c r="G243" s="96" t="s">
        <v>864</v>
      </c>
      <c r="H243" s="83" t="s">
        <v>656</v>
      </c>
      <c r="I243" s="83" t="s">
        <v>158</v>
      </c>
      <c r="J243" s="83"/>
      <c r="K243" s="93">
        <v>5.6500000000046997</v>
      </c>
      <c r="L243" s="96" t="s">
        <v>162</v>
      </c>
      <c r="M243" s="97">
        <v>4.4500000000000005E-2</v>
      </c>
      <c r="N243" s="97">
        <v>3.260000000000627E-2</v>
      </c>
      <c r="O243" s="93">
        <v>147679.40581699999</v>
      </c>
      <c r="P243" s="95">
        <v>108.06</v>
      </c>
      <c r="Q243" s="83"/>
      <c r="R243" s="93">
        <v>159.582367565</v>
      </c>
      <c r="S243" s="94">
        <v>4.9623456255712363E-4</v>
      </c>
      <c r="T243" s="94">
        <f t="shared" si="4"/>
        <v>2.8869387573333453E-3</v>
      </c>
      <c r="U243" s="94">
        <f>R243/'סכום נכסי הקרן'!$C$42</f>
        <v>7.0776437800641311E-4</v>
      </c>
    </row>
    <row r="244" spans="2:21" s="127" customFormat="1">
      <c r="B244" s="86" t="s">
        <v>865</v>
      </c>
      <c r="C244" s="83" t="s">
        <v>866</v>
      </c>
      <c r="D244" s="96" t="s">
        <v>118</v>
      </c>
      <c r="E244" s="96" t="s">
        <v>311</v>
      </c>
      <c r="F244" s="83" t="s">
        <v>867</v>
      </c>
      <c r="G244" s="96" t="s">
        <v>369</v>
      </c>
      <c r="H244" s="83" t="s">
        <v>656</v>
      </c>
      <c r="I244" s="83" t="s">
        <v>158</v>
      </c>
      <c r="J244" s="83"/>
      <c r="K244" s="93">
        <v>4.1500000000065072</v>
      </c>
      <c r="L244" s="96" t="s">
        <v>162</v>
      </c>
      <c r="M244" s="97">
        <v>4.2000000000000003E-2</v>
      </c>
      <c r="N244" s="97">
        <v>8.530000000016176E-2</v>
      </c>
      <c r="O244" s="93">
        <v>126902.50418800001</v>
      </c>
      <c r="P244" s="95">
        <v>84.76</v>
      </c>
      <c r="Q244" s="83"/>
      <c r="R244" s="93">
        <v>107.56256254199999</v>
      </c>
      <c r="S244" s="94">
        <v>2.1061930927358105E-4</v>
      </c>
      <c r="T244" s="94">
        <f t="shared" si="4"/>
        <v>1.9458699314892052E-3</v>
      </c>
      <c r="U244" s="94">
        <f>R244/'סכום נכסי הקרן'!$C$42</f>
        <v>4.7705113876886308E-4</v>
      </c>
    </row>
    <row r="245" spans="2:21" s="127" customFormat="1">
      <c r="B245" s="86" t="s">
        <v>868</v>
      </c>
      <c r="C245" s="83" t="s">
        <v>869</v>
      </c>
      <c r="D245" s="96" t="s">
        <v>118</v>
      </c>
      <c r="E245" s="96" t="s">
        <v>311</v>
      </c>
      <c r="F245" s="83" t="s">
        <v>867</v>
      </c>
      <c r="G245" s="96" t="s">
        <v>369</v>
      </c>
      <c r="H245" s="83" t="s">
        <v>656</v>
      </c>
      <c r="I245" s="83" t="s">
        <v>158</v>
      </c>
      <c r="J245" s="83"/>
      <c r="K245" s="93">
        <v>4.7500000000051772</v>
      </c>
      <c r="L245" s="96" t="s">
        <v>162</v>
      </c>
      <c r="M245" s="97">
        <v>3.2500000000000001E-2</v>
      </c>
      <c r="N245" s="97">
        <v>5.1400000000045562E-2</v>
      </c>
      <c r="O245" s="93">
        <v>209248.309118</v>
      </c>
      <c r="P245" s="95">
        <v>92.31</v>
      </c>
      <c r="Q245" s="83"/>
      <c r="R245" s="93">
        <v>193.15710720800001</v>
      </c>
      <c r="S245" s="94">
        <v>2.7890886653186516E-4</v>
      </c>
      <c r="T245" s="94">
        <f t="shared" si="4"/>
        <v>3.4943255170470896E-3</v>
      </c>
      <c r="U245" s="94">
        <f>R245/'סכום נכסי הקרן'!$C$42</f>
        <v>8.5667183615949617E-4</v>
      </c>
    </row>
    <row r="246" spans="2:21" s="127" customFormat="1">
      <c r="B246" s="86" t="s">
        <v>870</v>
      </c>
      <c r="C246" s="83" t="s">
        <v>871</v>
      </c>
      <c r="D246" s="96" t="s">
        <v>118</v>
      </c>
      <c r="E246" s="96" t="s">
        <v>311</v>
      </c>
      <c r="F246" s="83" t="s">
        <v>661</v>
      </c>
      <c r="G246" s="96" t="s">
        <v>365</v>
      </c>
      <c r="H246" s="83" t="s">
        <v>656</v>
      </c>
      <c r="I246" s="83" t="s">
        <v>158</v>
      </c>
      <c r="J246" s="83"/>
      <c r="K246" s="93">
        <v>1.3399999999783463</v>
      </c>
      <c r="L246" s="96" t="s">
        <v>162</v>
      </c>
      <c r="M246" s="97">
        <v>3.3000000000000002E-2</v>
      </c>
      <c r="N246" s="97">
        <v>2.6299999999754738E-2</v>
      </c>
      <c r="O246" s="93">
        <v>44659.609620000003</v>
      </c>
      <c r="P246" s="95">
        <v>101.34</v>
      </c>
      <c r="Q246" s="83"/>
      <c r="R246" s="93">
        <v>45.258046897</v>
      </c>
      <c r="S246" s="94">
        <v>1.0690172656438803E-4</v>
      </c>
      <c r="T246" s="94">
        <f t="shared" si="4"/>
        <v>8.1874464993722475E-4</v>
      </c>
      <c r="U246" s="94">
        <f>R246/'סכום נכסי הקרן'!$C$42</f>
        <v>2.0072413951869217E-4</v>
      </c>
    </row>
    <row r="247" spans="2:21" s="127" customFormat="1">
      <c r="B247" s="86" t="s">
        <v>872</v>
      </c>
      <c r="C247" s="83" t="s">
        <v>873</v>
      </c>
      <c r="D247" s="96" t="s">
        <v>118</v>
      </c>
      <c r="E247" s="96" t="s">
        <v>311</v>
      </c>
      <c r="F247" s="83" t="s">
        <v>667</v>
      </c>
      <c r="G247" s="96" t="s">
        <v>489</v>
      </c>
      <c r="H247" s="83" t="s">
        <v>656</v>
      </c>
      <c r="I247" s="83" t="s">
        <v>315</v>
      </c>
      <c r="J247" s="83"/>
      <c r="K247" s="93">
        <v>1.6800000000040423</v>
      </c>
      <c r="L247" s="96" t="s">
        <v>162</v>
      </c>
      <c r="M247" s="97">
        <v>0.06</v>
      </c>
      <c r="N247" s="97">
        <v>1.6300000000024874E-2</v>
      </c>
      <c r="O247" s="93">
        <v>118021.53792800001</v>
      </c>
      <c r="P247" s="95">
        <v>109</v>
      </c>
      <c r="Q247" s="83"/>
      <c r="R247" s="93">
        <v>128.643472436</v>
      </c>
      <c r="S247" s="94">
        <v>2.8763042007141877E-4</v>
      </c>
      <c r="T247" s="94">
        <f t="shared" si="4"/>
        <v>2.3272359729978437E-3</v>
      </c>
      <c r="U247" s="94">
        <f>R247/'סכום נכסי הקרן'!$C$42</f>
        <v>5.7054716409170401E-4</v>
      </c>
    </row>
    <row r="248" spans="2:21" s="127" customFormat="1">
      <c r="B248" s="86" t="s">
        <v>874</v>
      </c>
      <c r="C248" s="83" t="s">
        <v>875</v>
      </c>
      <c r="D248" s="96" t="s">
        <v>118</v>
      </c>
      <c r="E248" s="96" t="s">
        <v>311</v>
      </c>
      <c r="F248" s="83" t="s">
        <v>667</v>
      </c>
      <c r="G248" s="96" t="s">
        <v>489</v>
      </c>
      <c r="H248" s="83" t="s">
        <v>656</v>
      </c>
      <c r="I248" s="83" t="s">
        <v>315</v>
      </c>
      <c r="J248" s="83"/>
      <c r="K248" s="93">
        <v>3.2399999995895539</v>
      </c>
      <c r="L248" s="96" t="s">
        <v>162</v>
      </c>
      <c r="M248" s="97">
        <v>5.9000000000000004E-2</v>
      </c>
      <c r="N248" s="97">
        <v>2.4399999998694036E-2</v>
      </c>
      <c r="O248" s="93">
        <v>1895.1738089999999</v>
      </c>
      <c r="P248" s="95">
        <v>113.13</v>
      </c>
      <c r="Q248" s="83"/>
      <c r="R248" s="93">
        <v>2.1440101370000004</v>
      </c>
      <c r="S248" s="94">
        <v>2.1309674930763962E-6</v>
      </c>
      <c r="T248" s="94">
        <f t="shared" si="4"/>
        <v>3.8786402627469231E-5</v>
      </c>
      <c r="U248" s="94">
        <f>R248/'סכום נכסי הקרן'!$C$42</f>
        <v>9.5089076832700254E-6</v>
      </c>
    </row>
    <row r="249" spans="2:21" s="127" customFormat="1">
      <c r="B249" s="86" t="s">
        <v>876</v>
      </c>
      <c r="C249" s="83" t="s">
        <v>877</v>
      </c>
      <c r="D249" s="96" t="s">
        <v>118</v>
      </c>
      <c r="E249" s="96" t="s">
        <v>311</v>
      </c>
      <c r="F249" s="83" t="s">
        <v>670</v>
      </c>
      <c r="G249" s="96" t="s">
        <v>369</v>
      </c>
      <c r="H249" s="83" t="s">
        <v>656</v>
      </c>
      <c r="I249" s="83" t="s">
        <v>315</v>
      </c>
      <c r="J249" s="83"/>
      <c r="K249" s="93">
        <v>3.6699998135463412</v>
      </c>
      <c r="L249" s="96" t="s">
        <v>162</v>
      </c>
      <c r="M249" s="97">
        <v>6.9000000000000006E-2</v>
      </c>
      <c r="N249" s="97">
        <v>0.10419999295619514</v>
      </c>
      <c r="O249" s="93">
        <v>1.58944</v>
      </c>
      <c r="P249" s="95">
        <v>91.29</v>
      </c>
      <c r="Q249" s="83"/>
      <c r="R249" s="93">
        <v>1.4480810000000002E-3</v>
      </c>
      <c r="S249" s="94">
        <v>2.4025600058044534E-9</v>
      </c>
      <c r="T249" s="94">
        <f t="shared" si="4"/>
        <v>2.6196635796591042E-8</v>
      </c>
      <c r="U249" s="94">
        <f>R249/'סכום נכסי הקרן'!$C$42</f>
        <v>6.4223896656405317E-9</v>
      </c>
    </row>
    <row r="250" spans="2:21" s="127" customFormat="1">
      <c r="B250" s="86" t="s">
        <v>878</v>
      </c>
      <c r="C250" s="83" t="s">
        <v>879</v>
      </c>
      <c r="D250" s="96" t="s">
        <v>118</v>
      </c>
      <c r="E250" s="96" t="s">
        <v>311</v>
      </c>
      <c r="F250" s="83" t="s">
        <v>880</v>
      </c>
      <c r="G250" s="96" t="s">
        <v>369</v>
      </c>
      <c r="H250" s="83" t="s">
        <v>656</v>
      </c>
      <c r="I250" s="83" t="s">
        <v>158</v>
      </c>
      <c r="J250" s="83"/>
      <c r="K250" s="93">
        <v>3.5700000000017789</v>
      </c>
      <c r="L250" s="96" t="s">
        <v>162</v>
      </c>
      <c r="M250" s="97">
        <v>4.5999999999999999E-2</v>
      </c>
      <c r="N250" s="97">
        <v>8.0799999999893263E-2</v>
      </c>
      <c r="O250" s="93">
        <v>75746.904206000007</v>
      </c>
      <c r="P250" s="95">
        <v>89.05</v>
      </c>
      <c r="Q250" s="83"/>
      <c r="R250" s="93">
        <v>67.452618184000002</v>
      </c>
      <c r="S250" s="94">
        <v>2.9939487828458501E-4</v>
      </c>
      <c r="T250" s="94">
        <f t="shared" si="4"/>
        <v>1.2202574801359607E-3</v>
      </c>
      <c r="U250" s="94">
        <f>R250/'סכום נכסי הקרן'!$C$42</f>
        <v>2.9915936880969932E-4</v>
      </c>
    </row>
    <row r="251" spans="2:21" s="127" customFormat="1">
      <c r="B251" s="86" t="s">
        <v>881</v>
      </c>
      <c r="C251" s="83" t="s">
        <v>882</v>
      </c>
      <c r="D251" s="96" t="s">
        <v>118</v>
      </c>
      <c r="E251" s="96" t="s">
        <v>311</v>
      </c>
      <c r="F251" s="83" t="s">
        <v>883</v>
      </c>
      <c r="G251" s="96" t="s">
        <v>365</v>
      </c>
      <c r="H251" s="83" t="s">
        <v>680</v>
      </c>
      <c r="I251" s="83" t="s">
        <v>315</v>
      </c>
      <c r="J251" s="83"/>
      <c r="K251" s="93">
        <v>0.9800000000242689</v>
      </c>
      <c r="L251" s="96" t="s">
        <v>162</v>
      </c>
      <c r="M251" s="97">
        <v>4.7E-2</v>
      </c>
      <c r="N251" s="97">
        <v>1.5200000000000002E-2</v>
      </c>
      <c r="O251" s="93">
        <v>19675.839309999999</v>
      </c>
      <c r="P251" s="95">
        <v>104.71</v>
      </c>
      <c r="Q251" s="83"/>
      <c r="R251" s="93">
        <v>20.602570674999999</v>
      </c>
      <c r="S251" s="94">
        <v>2.977290230667732E-4</v>
      </c>
      <c r="T251" s="94">
        <f t="shared" si="4"/>
        <v>3.7271260409224474E-4</v>
      </c>
      <c r="U251" s="94">
        <f>R251/'סכום נכסי הקרן'!$C$42</f>
        <v>9.1374541195381095E-5</v>
      </c>
    </row>
    <row r="252" spans="2:21" s="127" customFormat="1">
      <c r="B252" s="82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93"/>
      <c r="P252" s="95"/>
      <c r="Q252" s="83"/>
      <c r="R252" s="83"/>
      <c r="S252" s="83"/>
      <c r="T252" s="94"/>
      <c r="U252" s="83"/>
    </row>
    <row r="253" spans="2:21" s="127" customFormat="1">
      <c r="B253" s="101" t="s">
        <v>45</v>
      </c>
      <c r="C253" s="81"/>
      <c r="D253" s="81"/>
      <c r="E253" s="81"/>
      <c r="F253" s="81"/>
      <c r="G253" s="81"/>
      <c r="H253" s="81"/>
      <c r="I253" s="81"/>
      <c r="J253" s="81"/>
      <c r="K253" s="90">
        <v>4.5151073325453668</v>
      </c>
      <c r="L253" s="81"/>
      <c r="M253" s="81"/>
      <c r="N253" s="103">
        <v>5.0214697996115956E-2</v>
      </c>
      <c r="O253" s="90"/>
      <c r="P253" s="92"/>
      <c r="Q253" s="81"/>
      <c r="R253" s="90">
        <v>1751.4438287859998</v>
      </c>
      <c r="S253" s="81"/>
      <c r="T253" s="91">
        <f t="shared" ref="T253:T257" si="5">R253/$R$11</f>
        <v>3.1684647544504618E-2</v>
      </c>
      <c r="U253" s="91">
        <f>R253/'סכום נכסי הקרן'!$C$42</f>
        <v>7.7678353254721864E-3</v>
      </c>
    </row>
    <row r="254" spans="2:21" s="127" customFormat="1">
      <c r="B254" s="86" t="s">
        <v>884</v>
      </c>
      <c r="C254" s="83" t="s">
        <v>885</v>
      </c>
      <c r="D254" s="96" t="s">
        <v>118</v>
      </c>
      <c r="E254" s="96" t="s">
        <v>311</v>
      </c>
      <c r="F254" s="83" t="s">
        <v>886</v>
      </c>
      <c r="G254" s="96" t="s">
        <v>864</v>
      </c>
      <c r="H254" s="83" t="s">
        <v>387</v>
      </c>
      <c r="I254" s="83" t="s">
        <v>315</v>
      </c>
      <c r="J254" s="83"/>
      <c r="K254" s="93">
        <v>3.2900000000025047</v>
      </c>
      <c r="L254" s="96" t="s">
        <v>162</v>
      </c>
      <c r="M254" s="97">
        <v>3.49E-2</v>
      </c>
      <c r="N254" s="97">
        <v>3.8900000000030903E-2</v>
      </c>
      <c r="O254" s="93">
        <v>675136.83254700003</v>
      </c>
      <c r="P254" s="95">
        <v>101.13</v>
      </c>
      <c r="Q254" s="83"/>
      <c r="R254" s="93">
        <v>682.76589630099988</v>
      </c>
      <c r="S254" s="94">
        <v>3.1742468496741635E-4</v>
      </c>
      <c r="T254" s="94">
        <f t="shared" si="5"/>
        <v>1.235163607542005E-2</v>
      </c>
      <c r="U254" s="94">
        <f>R254/'סכום נכסי הקרן'!$C$42</f>
        <v>3.0281376776957478E-3</v>
      </c>
    </row>
    <row r="255" spans="2:21" s="127" customFormat="1">
      <c r="B255" s="86" t="s">
        <v>887</v>
      </c>
      <c r="C255" s="83" t="s">
        <v>888</v>
      </c>
      <c r="D255" s="96" t="s">
        <v>118</v>
      </c>
      <c r="E255" s="96" t="s">
        <v>311</v>
      </c>
      <c r="F255" s="83" t="s">
        <v>889</v>
      </c>
      <c r="G255" s="96" t="s">
        <v>864</v>
      </c>
      <c r="H255" s="83" t="s">
        <v>582</v>
      </c>
      <c r="I255" s="83" t="s">
        <v>158</v>
      </c>
      <c r="J255" s="83"/>
      <c r="K255" s="93">
        <v>5.3799999999970831</v>
      </c>
      <c r="L255" s="96" t="s">
        <v>162</v>
      </c>
      <c r="M255" s="97">
        <v>4.6900000000000004E-2</v>
      </c>
      <c r="N255" s="97">
        <v>5.7499999999957606E-2</v>
      </c>
      <c r="O255" s="93">
        <v>299737.67863699998</v>
      </c>
      <c r="P255" s="95">
        <v>98.34</v>
      </c>
      <c r="Q255" s="83"/>
      <c r="R255" s="93">
        <v>294.76203114699996</v>
      </c>
      <c r="S255" s="94">
        <v>1.3911834394455649E-4</v>
      </c>
      <c r="T255" s="94">
        <f t="shared" si="5"/>
        <v>5.3324182670868433E-3</v>
      </c>
      <c r="U255" s="94">
        <f>R255/'סכום נכסי הקרן'!$C$42</f>
        <v>1.3073002288281558E-3</v>
      </c>
    </row>
    <row r="256" spans="2:21" s="127" customFormat="1">
      <c r="B256" s="86" t="s">
        <v>890</v>
      </c>
      <c r="C256" s="83" t="s">
        <v>891</v>
      </c>
      <c r="D256" s="96" t="s">
        <v>118</v>
      </c>
      <c r="E256" s="96" t="s">
        <v>311</v>
      </c>
      <c r="F256" s="83" t="s">
        <v>889</v>
      </c>
      <c r="G256" s="96" t="s">
        <v>864</v>
      </c>
      <c r="H256" s="83" t="s">
        <v>582</v>
      </c>
      <c r="I256" s="83" t="s">
        <v>158</v>
      </c>
      <c r="J256" s="83"/>
      <c r="K256" s="93">
        <v>5.539999999998507</v>
      </c>
      <c r="L256" s="96" t="s">
        <v>162</v>
      </c>
      <c r="M256" s="97">
        <v>4.6900000000000004E-2</v>
      </c>
      <c r="N256" s="97">
        <v>5.8499999999991392E-2</v>
      </c>
      <c r="O256" s="93">
        <v>700310.52504199999</v>
      </c>
      <c r="P256" s="95">
        <v>99.48</v>
      </c>
      <c r="Q256" s="83"/>
      <c r="R256" s="93">
        <v>696.66891377600007</v>
      </c>
      <c r="S256" s="94">
        <v>3.9239857743079542E-4</v>
      </c>
      <c r="T256" s="94">
        <f t="shared" si="5"/>
        <v>1.2603149827251763E-2</v>
      </c>
      <c r="U256" s="94">
        <f>R256/'סכום נכסי הקרן'!$C$42</f>
        <v>3.0897990044811007E-3</v>
      </c>
    </row>
    <row r="257" spans="2:21" s="127" customFormat="1">
      <c r="B257" s="86" t="s">
        <v>892</v>
      </c>
      <c r="C257" s="83" t="s">
        <v>893</v>
      </c>
      <c r="D257" s="96" t="s">
        <v>118</v>
      </c>
      <c r="E257" s="96" t="s">
        <v>311</v>
      </c>
      <c r="F257" s="83" t="s">
        <v>667</v>
      </c>
      <c r="G257" s="96" t="s">
        <v>489</v>
      </c>
      <c r="H257" s="83" t="s">
        <v>656</v>
      </c>
      <c r="I257" s="83" t="s">
        <v>315</v>
      </c>
      <c r="J257" s="83"/>
      <c r="K257" s="93">
        <v>2.7999999999922331</v>
      </c>
      <c r="L257" s="96" t="s">
        <v>162</v>
      </c>
      <c r="M257" s="97">
        <v>6.7000000000000004E-2</v>
      </c>
      <c r="N257" s="97">
        <v>4.7699999999774742E-2</v>
      </c>
      <c r="O257" s="93">
        <v>76778.635857000001</v>
      </c>
      <c r="P257" s="95">
        <v>100.61</v>
      </c>
      <c r="Q257" s="83"/>
      <c r="R257" s="93">
        <v>77.246987562000001</v>
      </c>
      <c r="S257" s="94">
        <v>6.3753904441346277E-5</v>
      </c>
      <c r="T257" s="94">
        <f t="shared" si="5"/>
        <v>1.3974433747459653E-3</v>
      </c>
      <c r="U257" s="94">
        <f>R257/'סכום נכסי הקרן'!$C$42</f>
        <v>3.4259841446718204E-4</v>
      </c>
    </row>
    <row r="258" spans="2:21" s="127" customFormat="1">
      <c r="B258" s="135"/>
    </row>
    <row r="259" spans="2:21" s="127" customFormat="1">
      <c r="B259" s="135"/>
    </row>
    <row r="260" spans="2:21" s="127" customFormat="1">
      <c r="B260" s="135"/>
    </row>
    <row r="261" spans="2:21" s="127" customFormat="1">
      <c r="B261" s="136" t="s">
        <v>246</v>
      </c>
      <c r="C261" s="137"/>
      <c r="D261" s="137"/>
      <c r="E261" s="137"/>
      <c r="F261" s="137"/>
      <c r="G261" s="137"/>
      <c r="H261" s="137"/>
      <c r="I261" s="137"/>
      <c r="J261" s="137"/>
      <c r="K261" s="137"/>
    </row>
    <row r="262" spans="2:21" s="127" customFormat="1">
      <c r="B262" s="136" t="s">
        <v>110</v>
      </c>
      <c r="C262" s="137"/>
      <c r="D262" s="137"/>
      <c r="E262" s="137"/>
      <c r="F262" s="137"/>
      <c r="G262" s="137"/>
      <c r="H262" s="137"/>
      <c r="I262" s="137"/>
      <c r="J262" s="137"/>
      <c r="K262" s="137"/>
    </row>
    <row r="263" spans="2:21" s="127" customFormat="1">
      <c r="B263" s="136" t="s">
        <v>229</v>
      </c>
      <c r="C263" s="137"/>
      <c r="D263" s="137"/>
      <c r="E263" s="137"/>
      <c r="F263" s="137"/>
      <c r="G263" s="137"/>
      <c r="H263" s="137"/>
      <c r="I263" s="137"/>
      <c r="J263" s="137"/>
      <c r="K263" s="137"/>
    </row>
    <row r="264" spans="2:21" s="127" customFormat="1">
      <c r="B264" s="136" t="s">
        <v>237</v>
      </c>
      <c r="C264" s="137"/>
      <c r="D264" s="137"/>
      <c r="E264" s="137"/>
      <c r="F264" s="137"/>
      <c r="G264" s="137"/>
      <c r="H264" s="137"/>
      <c r="I264" s="137"/>
      <c r="J264" s="137"/>
      <c r="K264" s="137"/>
    </row>
    <row r="265" spans="2:21" s="127" customFormat="1">
      <c r="B265" s="198" t="s">
        <v>242</v>
      </c>
      <c r="C265" s="198"/>
      <c r="D265" s="198"/>
      <c r="E265" s="198"/>
      <c r="F265" s="198"/>
      <c r="G265" s="198"/>
      <c r="H265" s="198"/>
      <c r="I265" s="198"/>
      <c r="J265" s="198"/>
      <c r="K265" s="198"/>
    </row>
    <row r="266" spans="2:21" s="127" customFormat="1">
      <c r="B266" s="135"/>
    </row>
    <row r="267" spans="2:21" s="127" customFormat="1">
      <c r="B267" s="135"/>
    </row>
    <row r="268" spans="2:21" s="127" customFormat="1">
      <c r="B268" s="135"/>
    </row>
    <row r="269" spans="2:21" s="127" customFormat="1">
      <c r="B269" s="135"/>
    </row>
    <row r="270" spans="2:21" s="127" customFormat="1">
      <c r="B270" s="135"/>
    </row>
    <row r="271" spans="2:21" s="127" customFormat="1">
      <c r="B271" s="135"/>
    </row>
    <row r="272" spans="2:21" s="127" customFormat="1">
      <c r="B272" s="135"/>
    </row>
    <row r="273" spans="2:2" s="127" customFormat="1">
      <c r="B273" s="135"/>
    </row>
    <row r="274" spans="2:2" s="127" customFormat="1">
      <c r="B274" s="135"/>
    </row>
    <row r="275" spans="2:2" s="127" customFormat="1">
      <c r="B275" s="135"/>
    </row>
    <row r="276" spans="2:2" s="127" customFormat="1">
      <c r="B276" s="135"/>
    </row>
    <row r="277" spans="2:2" s="127" customFormat="1">
      <c r="B277" s="135"/>
    </row>
    <row r="278" spans="2:2" s="127" customFormat="1">
      <c r="B278" s="135"/>
    </row>
    <row r="279" spans="2:2" s="127" customFormat="1">
      <c r="B279" s="135"/>
    </row>
    <row r="280" spans="2:2" s="127" customFormat="1">
      <c r="B280" s="135"/>
    </row>
    <row r="281" spans="2:2" s="127" customFormat="1">
      <c r="B281" s="135"/>
    </row>
    <row r="282" spans="2:2" s="127" customFormat="1">
      <c r="B282" s="135"/>
    </row>
    <row r="283" spans="2:2" s="127" customFormat="1">
      <c r="B283" s="135"/>
    </row>
    <row r="284" spans="2:2" s="127" customFormat="1">
      <c r="B284" s="135"/>
    </row>
    <row r="285" spans="2:2" s="127" customFormat="1">
      <c r="B285" s="135"/>
    </row>
    <row r="286" spans="2:2" s="127" customFormat="1">
      <c r="B286" s="135"/>
    </row>
    <row r="287" spans="2:2" s="127" customFormat="1">
      <c r="B287" s="135"/>
    </row>
    <row r="288" spans="2:2" s="127" customFormat="1">
      <c r="B288" s="135"/>
    </row>
    <row r="289" spans="2:2" s="127" customFormat="1">
      <c r="B289" s="135"/>
    </row>
    <row r="290" spans="2:2" s="127" customFormat="1">
      <c r="B290" s="135"/>
    </row>
    <row r="291" spans="2:2" s="127" customFormat="1">
      <c r="B291" s="135"/>
    </row>
    <row r="292" spans="2:2" s="127" customFormat="1">
      <c r="B292" s="135"/>
    </row>
    <row r="293" spans="2:2" s="127" customFormat="1">
      <c r="B293" s="135"/>
    </row>
    <row r="294" spans="2:2" s="127" customFormat="1">
      <c r="B294" s="135"/>
    </row>
    <row r="295" spans="2:2" s="127" customFormat="1">
      <c r="B295" s="135"/>
    </row>
    <row r="296" spans="2:2" s="127" customFormat="1">
      <c r="B296" s="135"/>
    </row>
    <row r="297" spans="2:2" s="127" customFormat="1">
      <c r="B297" s="135"/>
    </row>
    <row r="298" spans="2:2" s="127" customFormat="1">
      <c r="B298" s="135"/>
    </row>
    <row r="299" spans="2:2" s="127" customFormat="1">
      <c r="B299" s="135"/>
    </row>
    <row r="300" spans="2:2" s="127" customFormat="1">
      <c r="B300" s="135"/>
    </row>
    <row r="301" spans="2:2" s="127" customFormat="1">
      <c r="B301" s="135"/>
    </row>
    <row r="302" spans="2:2" s="127" customFormat="1">
      <c r="B302" s="135"/>
    </row>
    <row r="303" spans="2:2" s="127" customFormat="1">
      <c r="B303" s="135"/>
    </row>
    <row r="304" spans="2:2" s="127" customFormat="1">
      <c r="B304" s="135"/>
    </row>
    <row r="305" spans="2:2" s="127" customFormat="1">
      <c r="B305" s="135"/>
    </row>
    <row r="306" spans="2:2" s="127" customFormat="1">
      <c r="B306" s="135"/>
    </row>
    <row r="307" spans="2:2" s="127" customFormat="1">
      <c r="B307" s="135"/>
    </row>
    <row r="308" spans="2:2" s="127" customFormat="1">
      <c r="B308" s="135"/>
    </row>
    <row r="309" spans="2:2" s="127" customFormat="1">
      <c r="B309" s="135"/>
    </row>
    <row r="310" spans="2:2" s="127" customFormat="1">
      <c r="B310" s="135"/>
    </row>
    <row r="311" spans="2:2" s="127" customFormat="1">
      <c r="B311" s="135"/>
    </row>
    <row r="312" spans="2:2" s="127" customFormat="1">
      <c r="B312" s="135"/>
    </row>
    <row r="313" spans="2:2" s="127" customFormat="1">
      <c r="B313" s="135"/>
    </row>
    <row r="314" spans="2:2" s="127" customFormat="1">
      <c r="B314" s="135"/>
    </row>
    <row r="315" spans="2:2" s="127" customFormat="1">
      <c r="B315" s="135"/>
    </row>
    <row r="316" spans="2:2" s="127" customFormat="1">
      <c r="B316" s="135"/>
    </row>
    <row r="317" spans="2:2" s="127" customFormat="1">
      <c r="B317" s="135"/>
    </row>
    <row r="318" spans="2:2" s="127" customFormat="1">
      <c r="B318" s="135"/>
    </row>
    <row r="319" spans="2:2" s="127" customFormat="1">
      <c r="B319" s="135"/>
    </row>
    <row r="320" spans="2:2" s="127" customFormat="1">
      <c r="B320" s="135"/>
    </row>
    <row r="321" spans="2:2" s="127" customFormat="1">
      <c r="B321" s="135"/>
    </row>
    <row r="322" spans="2:2" s="127" customFormat="1">
      <c r="B322" s="135"/>
    </row>
    <row r="323" spans="2:2" s="127" customFormat="1">
      <c r="B323" s="135"/>
    </row>
    <row r="324" spans="2:2" s="127" customFormat="1">
      <c r="B324" s="135"/>
    </row>
    <row r="325" spans="2:2" s="127" customFormat="1">
      <c r="B325" s="135"/>
    </row>
    <row r="326" spans="2:2" s="127" customFormat="1">
      <c r="B326" s="135"/>
    </row>
    <row r="327" spans="2:2" s="127" customFormat="1">
      <c r="B327" s="135"/>
    </row>
    <row r="328" spans="2:2" s="127" customFormat="1">
      <c r="B328" s="135"/>
    </row>
    <row r="329" spans="2:2" s="127" customFormat="1">
      <c r="B329" s="135"/>
    </row>
    <row r="330" spans="2:2" s="127" customFormat="1">
      <c r="B330" s="135"/>
    </row>
    <row r="331" spans="2:2" s="127" customFormat="1">
      <c r="B331" s="135"/>
    </row>
    <row r="332" spans="2:2" s="127" customFormat="1">
      <c r="B332" s="135"/>
    </row>
    <row r="333" spans="2:2" s="127" customFormat="1">
      <c r="B333" s="135"/>
    </row>
    <row r="334" spans="2:2" s="127" customFormat="1">
      <c r="B334" s="135"/>
    </row>
    <row r="335" spans="2:2" s="127" customFormat="1">
      <c r="B335" s="135"/>
    </row>
    <row r="336" spans="2:2" s="127" customFormat="1">
      <c r="B336" s="135"/>
    </row>
    <row r="337" spans="2:2" s="127" customFormat="1">
      <c r="B337" s="135"/>
    </row>
    <row r="338" spans="2:2" s="127" customFormat="1">
      <c r="B338" s="135"/>
    </row>
    <row r="339" spans="2:2" s="127" customFormat="1">
      <c r="B339" s="135"/>
    </row>
    <row r="340" spans="2:2" s="127" customFormat="1">
      <c r="B340" s="135"/>
    </row>
    <row r="341" spans="2:2" s="127" customFormat="1">
      <c r="B341" s="135"/>
    </row>
    <row r="342" spans="2:2" s="127" customFormat="1">
      <c r="B342" s="135"/>
    </row>
    <row r="343" spans="2:2" s="127" customFormat="1">
      <c r="B343" s="135"/>
    </row>
    <row r="344" spans="2:2" s="127" customFormat="1">
      <c r="B344" s="135"/>
    </row>
    <row r="345" spans="2:2" s="127" customFormat="1">
      <c r="B345" s="135"/>
    </row>
    <row r="346" spans="2:2" s="127" customFormat="1">
      <c r="B346" s="135"/>
    </row>
    <row r="347" spans="2:2" s="127" customFormat="1">
      <c r="B347" s="135"/>
    </row>
    <row r="348" spans="2:2" s="127" customFormat="1">
      <c r="B348" s="135"/>
    </row>
    <row r="349" spans="2:2" s="127" customFormat="1">
      <c r="B349" s="135"/>
    </row>
    <row r="350" spans="2:2" s="127" customFormat="1">
      <c r="B350" s="135"/>
    </row>
    <row r="351" spans="2:2" s="127" customFormat="1">
      <c r="B351" s="135"/>
    </row>
    <row r="352" spans="2:2" s="127" customFormat="1">
      <c r="B352" s="135"/>
    </row>
    <row r="353" spans="2:2" s="127" customFormat="1">
      <c r="B353" s="135"/>
    </row>
    <row r="354" spans="2:2" s="127" customFormat="1">
      <c r="B354" s="135"/>
    </row>
    <row r="355" spans="2:2" s="127" customFormat="1">
      <c r="B355" s="135"/>
    </row>
    <row r="356" spans="2:2" s="127" customFormat="1">
      <c r="B356" s="135"/>
    </row>
    <row r="357" spans="2:2" s="127" customFormat="1">
      <c r="B357" s="135"/>
    </row>
    <row r="358" spans="2:2" s="127" customFormat="1">
      <c r="B358" s="135"/>
    </row>
    <row r="359" spans="2:2" s="127" customFormat="1">
      <c r="B359" s="135"/>
    </row>
    <row r="360" spans="2:2" s="127" customFormat="1">
      <c r="B360" s="135"/>
    </row>
    <row r="361" spans="2:2" s="127" customFormat="1">
      <c r="B361" s="135"/>
    </row>
    <row r="362" spans="2:2" s="127" customFormat="1">
      <c r="B362" s="135"/>
    </row>
    <row r="363" spans="2:2" s="127" customFormat="1">
      <c r="B363" s="135"/>
    </row>
    <row r="364" spans="2:2" s="127" customFormat="1">
      <c r="B364" s="135"/>
    </row>
    <row r="365" spans="2:2" s="127" customFormat="1">
      <c r="B365" s="135"/>
    </row>
    <row r="366" spans="2:2" s="127" customFormat="1">
      <c r="B366" s="135"/>
    </row>
    <row r="367" spans="2:2" s="127" customFormat="1">
      <c r="B367" s="135"/>
    </row>
    <row r="368" spans="2:2" s="127" customFormat="1">
      <c r="B368" s="135"/>
    </row>
    <row r="369" spans="2:2" s="127" customFormat="1">
      <c r="B369" s="135"/>
    </row>
    <row r="370" spans="2:2" s="127" customFormat="1">
      <c r="B370" s="135"/>
    </row>
    <row r="371" spans="2:2" s="127" customFormat="1">
      <c r="B371" s="135"/>
    </row>
    <row r="372" spans="2:2" s="127" customFormat="1">
      <c r="B372" s="135"/>
    </row>
    <row r="373" spans="2:2" s="127" customFormat="1">
      <c r="B373" s="135"/>
    </row>
    <row r="374" spans="2:2" s="127" customFormat="1">
      <c r="B374" s="135"/>
    </row>
    <row r="375" spans="2:2" s="127" customFormat="1">
      <c r="B375" s="135"/>
    </row>
    <row r="376" spans="2:2" s="127" customFormat="1">
      <c r="B376" s="135"/>
    </row>
    <row r="377" spans="2:2" s="127" customFormat="1">
      <c r="B377" s="135"/>
    </row>
    <row r="378" spans="2:2" s="127" customFormat="1">
      <c r="B378" s="135"/>
    </row>
    <row r="379" spans="2:2" s="127" customFormat="1">
      <c r="B379" s="135"/>
    </row>
    <row r="380" spans="2:2" s="127" customFormat="1">
      <c r="B380" s="135"/>
    </row>
    <row r="381" spans="2:2" s="127" customFormat="1">
      <c r="B381" s="135"/>
    </row>
    <row r="382" spans="2:2" s="127" customFormat="1">
      <c r="B382" s="135"/>
    </row>
    <row r="383" spans="2:2" s="127" customFormat="1">
      <c r="B383" s="135"/>
    </row>
    <row r="384" spans="2:2" s="127" customFormat="1">
      <c r="B384" s="135"/>
    </row>
    <row r="385" spans="2:2" s="127" customFormat="1">
      <c r="B385" s="135"/>
    </row>
    <row r="386" spans="2:2" s="127" customFormat="1">
      <c r="B386" s="135"/>
    </row>
    <row r="387" spans="2:2" s="127" customFormat="1">
      <c r="B387" s="135"/>
    </row>
    <row r="388" spans="2:2" s="127" customFormat="1">
      <c r="B388" s="135"/>
    </row>
    <row r="389" spans="2:2" s="127" customFormat="1">
      <c r="B389" s="135"/>
    </row>
    <row r="390" spans="2:2" s="127" customFormat="1">
      <c r="B390" s="135"/>
    </row>
    <row r="391" spans="2:2" s="127" customFormat="1">
      <c r="B391" s="135"/>
    </row>
    <row r="392" spans="2:2" s="127" customFormat="1">
      <c r="B392" s="135"/>
    </row>
    <row r="393" spans="2:2" s="127" customFormat="1">
      <c r="B393" s="135"/>
    </row>
    <row r="394" spans="2:2" s="127" customFormat="1">
      <c r="B394" s="135"/>
    </row>
    <row r="395" spans="2:2" s="127" customFormat="1">
      <c r="B395" s="135"/>
    </row>
    <row r="396" spans="2:2" s="127" customFormat="1">
      <c r="B396" s="135"/>
    </row>
    <row r="397" spans="2:2" s="127" customFormat="1">
      <c r="B397" s="135"/>
    </row>
    <row r="398" spans="2:2" s="127" customFormat="1">
      <c r="B398" s="135"/>
    </row>
    <row r="399" spans="2:2" s="127" customFormat="1">
      <c r="B399" s="135"/>
    </row>
    <row r="400" spans="2:2" s="127" customFormat="1">
      <c r="B400" s="135"/>
    </row>
    <row r="401" spans="2:2" s="127" customFormat="1">
      <c r="B401" s="135"/>
    </row>
    <row r="402" spans="2:2" s="127" customFormat="1">
      <c r="B402" s="135"/>
    </row>
    <row r="403" spans="2:2" s="127" customFormat="1">
      <c r="B403" s="135"/>
    </row>
    <row r="404" spans="2:2" s="127" customFormat="1">
      <c r="B404" s="135"/>
    </row>
    <row r="405" spans="2:2" s="127" customFormat="1">
      <c r="B405" s="135"/>
    </row>
    <row r="406" spans="2:2" s="127" customFormat="1">
      <c r="B406" s="135"/>
    </row>
    <row r="407" spans="2:2" s="127" customFormat="1">
      <c r="B407" s="135"/>
    </row>
    <row r="408" spans="2:2" s="127" customFormat="1">
      <c r="B408" s="135"/>
    </row>
    <row r="409" spans="2:2" s="127" customFormat="1">
      <c r="B409" s="135"/>
    </row>
    <row r="410" spans="2:2" s="127" customFormat="1">
      <c r="B410" s="135"/>
    </row>
    <row r="411" spans="2:2" s="127" customFormat="1">
      <c r="B411" s="135"/>
    </row>
    <row r="412" spans="2:2" s="127" customFormat="1">
      <c r="B412" s="135"/>
    </row>
    <row r="413" spans="2:2" s="127" customFormat="1">
      <c r="B413" s="135"/>
    </row>
    <row r="414" spans="2:2" s="127" customFormat="1">
      <c r="B414" s="135"/>
    </row>
    <row r="415" spans="2:2" s="127" customFormat="1">
      <c r="B415" s="135"/>
    </row>
    <row r="416" spans="2:2" s="127" customFormat="1">
      <c r="B416" s="135"/>
    </row>
    <row r="417" spans="2:2" s="127" customFormat="1">
      <c r="B417" s="135"/>
    </row>
    <row r="418" spans="2:2" s="127" customFormat="1">
      <c r="B418" s="135"/>
    </row>
    <row r="419" spans="2:2" s="127" customFormat="1">
      <c r="B419" s="135"/>
    </row>
    <row r="420" spans="2:2" s="127" customFormat="1">
      <c r="B420" s="135"/>
    </row>
    <row r="421" spans="2:2" s="127" customFormat="1">
      <c r="B421" s="135"/>
    </row>
    <row r="422" spans="2:2" s="127" customFormat="1">
      <c r="B422" s="135"/>
    </row>
    <row r="423" spans="2:2" s="127" customFormat="1">
      <c r="B423" s="135"/>
    </row>
    <row r="424" spans="2:2" s="127" customFormat="1">
      <c r="B424" s="135"/>
    </row>
    <row r="425" spans="2:2" s="127" customFormat="1">
      <c r="B425" s="135"/>
    </row>
    <row r="426" spans="2:2" s="127" customFormat="1">
      <c r="B426" s="135"/>
    </row>
    <row r="427" spans="2:2" s="127" customFormat="1">
      <c r="B427" s="135"/>
    </row>
    <row r="428" spans="2:2" s="127" customFormat="1">
      <c r="B428" s="135"/>
    </row>
    <row r="429" spans="2:2" s="127" customFormat="1">
      <c r="B429" s="135"/>
    </row>
    <row r="430" spans="2:2" s="127" customFormat="1">
      <c r="B430" s="135"/>
    </row>
    <row r="431" spans="2:2" s="127" customFormat="1">
      <c r="B431" s="135"/>
    </row>
    <row r="432" spans="2:2" s="127" customFormat="1">
      <c r="B432" s="135"/>
    </row>
    <row r="433" spans="2:2" s="127" customFormat="1">
      <c r="B433" s="135"/>
    </row>
    <row r="434" spans="2:2" s="127" customFormat="1">
      <c r="B434" s="135"/>
    </row>
    <row r="435" spans="2:2" s="127" customFormat="1">
      <c r="B435" s="135"/>
    </row>
    <row r="436" spans="2:2" s="127" customFormat="1">
      <c r="B436" s="135"/>
    </row>
    <row r="437" spans="2:2" s="127" customFormat="1">
      <c r="B437" s="135"/>
    </row>
    <row r="438" spans="2:2" s="127" customFormat="1">
      <c r="B438" s="135"/>
    </row>
    <row r="439" spans="2:2" s="127" customFormat="1">
      <c r="B439" s="135"/>
    </row>
    <row r="440" spans="2:2" s="127" customFormat="1">
      <c r="B440" s="135"/>
    </row>
    <row r="441" spans="2:2" s="127" customFormat="1">
      <c r="B441" s="135"/>
    </row>
    <row r="442" spans="2:2" s="127" customFormat="1">
      <c r="B442" s="135"/>
    </row>
    <row r="443" spans="2:2" s="127" customFormat="1">
      <c r="B443" s="135"/>
    </row>
    <row r="444" spans="2:2" s="127" customFormat="1">
      <c r="B444" s="135"/>
    </row>
    <row r="445" spans="2:2" s="127" customFormat="1">
      <c r="B445" s="135"/>
    </row>
    <row r="446" spans="2:2" s="127" customFormat="1">
      <c r="B446" s="135"/>
    </row>
    <row r="447" spans="2:2" s="127" customFormat="1">
      <c r="B447" s="135"/>
    </row>
    <row r="448" spans="2:2" s="127" customFormat="1">
      <c r="B448" s="135"/>
    </row>
    <row r="449" spans="2:2" s="127" customFormat="1">
      <c r="B449" s="135"/>
    </row>
    <row r="450" spans="2:2" s="127" customFormat="1">
      <c r="B450" s="135"/>
    </row>
    <row r="451" spans="2:2" s="127" customFormat="1">
      <c r="B451" s="135"/>
    </row>
    <row r="452" spans="2:2" s="127" customFormat="1">
      <c r="B452" s="135"/>
    </row>
    <row r="453" spans="2:2" s="127" customFormat="1">
      <c r="B453" s="135"/>
    </row>
    <row r="454" spans="2:2" s="127" customFormat="1">
      <c r="B454" s="135"/>
    </row>
    <row r="455" spans="2:2" s="127" customFormat="1">
      <c r="B455" s="135"/>
    </row>
    <row r="456" spans="2:2" s="127" customFormat="1">
      <c r="B456" s="135"/>
    </row>
    <row r="457" spans="2:2" s="127" customFormat="1">
      <c r="B457" s="135"/>
    </row>
    <row r="458" spans="2:2" s="127" customFormat="1">
      <c r="B458" s="135"/>
    </row>
    <row r="459" spans="2:2" s="127" customFormat="1">
      <c r="B459" s="135"/>
    </row>
    <row r="460" spans="2:2" s="127" customFormat="1">
      <c r="B460" s="135"/>
    </row>
    <row r="461" spans="2:2" s="127" customFormat="1">
      <c r="B461" s="135"/>
    </row>
    <row r="462" spans="2:2" s="127" customFormat="1">
      <c r="B462" s="135"/>
    </row>
    <row r="463" spans="2:2" s="127" customFormat="1">
      <c r="B463" s="135"/>
    </row>
    <row r="464" spans="2:2" s="127" customFormat="1">
      <c r="B464" s="135"/>
    </row>
    <row r="465" spans="2:2" s="127" customFormat="1">
      <c r="B465" s="135"/>
    </row>
    <row r="466" spans="2:2" s="127" customFormat="1">
      <c r="B466" s="135"/>
    </row>
    <row r="467" spans="2:2" s="127" customFormat="1">
      <c r="B467" s="135"/>
    </row>
    <row r="468" spans="2:2" s="127" customFormat="1">
      <c r="B468" s="135"/>
    </row>
    <row r="469" spans="2:2" s="127" customFormat="1">
      <c r="B469" s="135"/>
    </row>
    <row r="470" spans="2:2" s="127" customFormat="1">
      <c r="B470" s="135"/>
    </row>
    <row r="471" spans="2:2" s="127" customFormat="1">
      <c r="B471" s="135"/>
    </row>
    <row r="472" spans="2:2" s="127" customFormat="1">
      <c r="B472" s="135"/>
    </row>
    <row r="473" spans="2:2" s="127" customFormat="1">
      <c r="B473" s="135"/>
    </row>
    <row r="474" spans="2:2" s="127" customFormat="1">
      <c r="B474" s="135"/>
    </row>
    <row r="475" spans="2:2" s="127" customFormat="1">
      <c r="B475" s="135"/>
    </row>
    <row r="476" spans="2:2" s="127" customFormat="1">
      <c r="B476" s="135"/>
    </row>
    <row r="477" spans="2:2" s="127" customFormat="1">
      <c r="B477" s="135"/>
    </row>
    <row r="478" spans="2:2" s="127" customFormat="1">
      <c r="B478" s="135"/>
    </row>
    <row r="479" spans="2:2" s="127" customFormat="1">
      <c r="B479" s="135"/>
    </row>
    <row r="480" spans="2:2" s="127" customFormat="1">
      <c r="B480" s="135"/>
    </row>
    <row r="481" spans="2:2" s="127" customFormat="1">
      <c r="B481" s="135"/>
    </row>
    <row r="482" spans="2:2" s="127" customFormat="1">
      <c r="B482" s="135"/>
    </row>
    <row r="483" spans="2:2" s="127" customFormat="1">
      <c r="B483" s="135"/>
    </row>
    <row r="484" spans="2:2" s="127" customFormat="1">
      <c r="B484" s="135"/>
    </row>
    <row r="485" spans="2:2" s="127" customFormat="1">
      <c r="B485" s="135"/>
    </row>
    <row r="486" spans="2:2" s="127" customFormat="1">
      <c r="B486" s="135"/>
    </row>
    <row r="487" spans="2:2" s="127" customFormat="1">
      <c r="B487" s="135"/>
    </row>
    <row r="488" spans="2:2" s="127" customFormat="1">
      <c r="B488" s="135"/>
    </row>
    <row r="489" spans="2:2" s="127" customFormat="1">
      <c r="B489" s="135"/>
    </row>
    <row r="490" spans="2:2" s="127" customFormat="1">
      <c r="B490" s="135"/>
    </row>
    <row r="491" spans="2:2" s="127" customFormat="1">
      <c r="B491" s="135"/>
    </row>
    <row r="492" spans="2:2" s="127" customFormat="1">
      <c r="B492" s="135"/>
    </row>
    <row r="493" spans="2:2" s="127" customFormat="1">
      <c r="B493" s="135"/>
    </row>
    <row r="494" spans="2:2" s="127" customFormat="1">
      <c r="B494" s="135"/>
    </row>
    <row r="495" spans="2:2" s="127" customFormat="1">
      <c r="B495" s="135"/>
    </row>
    <row r="496" spans="2:2" s="127" customFormat="1">
      <c r="B496" s="135"/>
    </row>
    <row r="497" spans="2:2" s="127" customFormat="1">
      <c r="B497" s="135"/>
    </row>
    <row r="498" spans="2:2" s="127" customFormat="1">
      <c r="B498" s="135"/>
    </row>
    <row r="499" spans="2:2" s="127" customFormat="1">
      <c r="B499" s="135"/>
    </row>
    <row r="500" spans="2:2" s="127" customFormat="1">
      <c r="B500" s="135"/>
    </row>
    <row r="501" spans="2:2" s="127" customFormat="1">
      <c r="B501" s="135"/>
    </row>
    <row r="502" spans="2:2" s="127" customFormat="1">
      <c r="B502" s="135"/>
    </row>
    <row r="503" spans="2:2" s="127" customFormat="1">
      <c r="B503" s="135"/>
    </row>
    <row r="504" spans="2:2" s="127" customFormat="1">
      <c r="B504" s="135"/>
    </row>
    <row r="505" spans="2:2" s="127" customFormat="1">
      <c r="B505" s="135"/>
    </row>
    <row r="506" spans="2:2" s="127" customFormat="1">
      <c r="B506" s="135"/>
    </row>
    <row r="507" spans="2:2" s="127" customFormat="1">
      <c r="B507" s="135"/>
    </row>
    <row r="508" spans="2:2" s="127" customFormat="1">
      <c r="B508" s="135"/>
    </row>
    <row r="509" spans="2:2" s="127" customFormat="1">
      <c r="B509" s="135"/>
    </row>
    <row r="510" spans="2:2" s="127" customFormat="1">
      <c r="B510" s="135"/>
    </row>
    <row r="511" spans="2:2" s="127" customFormat="1">
      <c r="B511" s="135"/>
    </row>
    <row r="512" spans="2:2" s="127" customFormat="1">
      <c r="B512" s="135"/>
    </row>
    <row r="513" spans="2:2" s="127" customFormat="1">
      <c r="B513" s="135"/>
    </row>
    <row r="514" spans="2:2" s="127" customFormat="1">
      <c r="B514" s="135"/>
    </row>
    <row r="515" spans="2:2" s="127" customFormat="1">
      <c r="B515" s="135"/>
    </row>
    <row r="516" spans="2:2" s="127" customFormat="1">
      <c r="B516" s="135"/>
    </row>
    <row r="517" spans="2:2" s="127" customFormat="1">
      <c r="B517" s="135"/>
    </row>
    <row r="518" spans="2:2" s="127" customFormat="1">
      <c r="B518" s="135"/>
    </row>
    <row r="519" spans="2:2" s="127" customFormat="1">
      <c r="B519" s="135"/>
    </row>
    <row r="520" spans="2:2" s="127" customFormat="1">
      <c r="B520" s="135"/>
    </row>
    <row r="521" spans="2:2" s="127" customFormat="1">
      <c r="B521" s="135"/>
    </row>
    <row r="522" spans="2:2" s="127" customFormat="1">
      <c r="B522" s="135"/>
    </row>
    <row r="523" spans="2:2" s="127" customFormat="1">
      <c r="B523" s="135"/>
    </row>
    <row r="524" spans="2:2" s="127" customFormat="1">
      <c r="B524" s="135"/>
    </row>
    <row r="525" spans="2:2" s="127" customFormat="1">
      <c r="B525" s="135"/>
    </row>
    <row r="526" spans="2:2" s="127" customFormat="1">
      <c r="B526" s="135"/>
    </row>
    <row r="527" spans="2:2" s="127" customFormat="1">
      <c r="B527" s="135"/>
    </row>
    <row r="528" spans="2:2" s="127" customFormat="1">
      <c r="B528" s="135"/>
    </row>
    <row r="529" spans="2:6" s="127" customFormat="1">
      <c r="B529" s="135"/>
    </row>
    <row r="530" spans="2:6" s="127" customFormat="1">
      <c r="B530" s="135"/>
    </row>
    <row r="531" spans="2:6" s="127" customFormat="1">
      <c r="B531" s="135"/>
    </row>
    <row r="532" spans="2:6" s="127" customFormat="1">
      <c r="B532" s="135"/>
    </row>
    <row r="533" spans="2:6" s="127" customFormat="1">
      <c r="B533" s="135"/>
    </row>
    <row r="534" spans="2:6" s="127" customFormat="1">
      <c r="B534" s="135"/>
    </row>
    <row r="535" spans="2:6" s="127" customFormat="1">
      <c r="B535" s="135"/>
    </row>
    <row r="536" spans="2:6" s="127" customFormat="1">
      <c r="B536" s="135"/>
    </row>
    <row r="537" spans="2:6" s="127" customFormat="1">
      <c r="B537" s="135"/>
    </row>
    <row r="538" spans="2:6" s="127" customFormat="1">
      <c r="B538" s="135"/>
    </row>
    <row r="539" spans="2:6" s="127" customFormat="1">
      <c r="B539" s="135"/>
    </row>
    <row r="540" spans="2:6" s="127" customFormat="1">
      <c r="B540" s="135"/>
    </row>
    <row r="541" spans="2:6">
      <c r="C541" s="1"/>
      <c r="D541" s="1"/>
      <c r="E541" s="1"/>
      <c r="F541" s="1"/>
    </row>
    <row r="542" spans="2:6">
      <c r="C542" s="1"/>
      <c r="D542" s="1"/>
      <c r="E542" s="1"/>
      <c r="F542" s="1"/>
    </row>
    <row r="543" spans="2:6">
      <c r="C543" s="1"/>
      <c r="D543" s="1"/>
      <c r="E543" s="1"/>
      <c r="F543" s="1"/>
    </row>
    <row r="544" spans="2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65:K265"/>
  </mergeCells>
  <phoneticPr fontId="6" type="noConversion"/>
  <conditionalFormatting sqref="B12:B257">
    <cfRule type="cellIs" dxfId="13" priority="2" operator="equal">
      <formula>"NR3"</formula>
    </cfRule>
  </conditionalFormatting>
  <conditionalFormatting sqref="B12:B257">
    <cfRule type="containsText" dxfId="12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$AX$7:$AX$24</formula1>
    </dataValidation>
    <dataValidation allowBlank="1" showInputMessage="1" showErrorMessage="1" sqref="H2 B34 Q9 B36 B263 B265"/>
    <dataValidation type="list" allowBlank="1" showInputMessage="1" showErrorMessage="1" sqref="I12:I35 I266:I828 I37:I264">
      <formula1>$AZ$7:$AZ$10</formula1>
    </dataValidation>
    <dataValidation type="list" allowBlank="1" showInputMessage="1" showErrorMessage="1" sqref="E12:E35 E266:E822 E37:E264">
      <formula1>$AV$7:$AV$24</formula1>
    </dataValidation>
    <dataValidation type="list" allowBlank="1" showInputMessage="1" showErrorMessage="1" sqref="L12:L828">
      <formula1>$BA$7:$BA$20</formula1>
    </dataValidation>
    <dataValidation type="list" allowBlank="1" showInputMessage="1" showErrorMessage="1" sqref="G12:G35 G266:G555 G37:G264">
      <formula1>$AX$7:$AX$29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K15" sqref="K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6" t="s">
        <v>177</v>
      </c>
      <c r="C1" s="77" t="s" vm="1">
        <v>247</v>
      </c>
    </row>
    <row r="2" spans="2:62">
      <c r="B2" s="56" t="s">
        <v>176</v>
      </c>
      <c r="C2" s="77" t="s">
        <v>248</v>
      </c>
    </row>
    <row r="3" spans="2:62">
      <c r="B3" s="56" t="s">
        <v>178</v>
      </c>
      <c r="C3" s="77" t="s">
        <v>249</v>
      </c>
    </row>
    <row r="4" spans="2:62">
      <c r="B4" s="56" t="s">
        <v>179</v>
      </c>
      <c r="C4" s="77">
        <v>2144</v>
      </c>
    </row>
    <row r="6" spans="2:62" ht="26.25" customHeight="1">
      <c r="B6" s="195" t="s">
        <v>207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  <c r="BJ6" s="3"/>
    </row>
    <row r="7" spans="2:62" ht="26.25" customHeight="1">
      <c r="B7" s="195" t="s">
        <v>87</v>
      </c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7"/>
      <c r="BF7" s="3"/>
      <c r="BJ7" s="3"/>
    </row>
    <row r="8" spans="2:62" s="3" customFormat="1" ht="78.75">
      <c r="B8" s="22" t="s">
        <v>113</v>
      </c>
      <c r="C8" s="30" t="s">
        <v>43</v>
      </c>
      <c r="D8" s="30" t="s">
        <v>117</v>
      </c>
      <c r="E8" s="30" t="s">
        <v>223</v>
      </c>
      <c r="F8" s="30" t="s">
        <v>115</v>
      </c>
      <c r="G8" s="30" t="s">
        <v>60</v>
      </c>
      <c r="H8" s="30" t="s">
        <v>99</v>
      </c>
      <c r="I8" s="13" t="s">
        <v>231</v>
      </c>
      <c r="J8" s="13" t="s">
        <v>230</v>
      </c>
      <c r="K8" s="30" t="s">
        <v>245</v>
      </c>
      <c r="L8" s="13" t="s">
        <v>59</v>
      </c>
      <c r="M8" s="13" t="s">
        <v>56</v>
      </c>
      <c r="N8" s="13" t="s">
        <v>180</v>
      </c>
      <c r="O8" s="14" t="s">
        <v>182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238</v>
      </c>
      <c r="J9" s="16"/>
      <c r="K9" s="16" t="s">
        <v>234</v>
      </c>
      <c r="L9" s="16" t="s">
        <v>234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BF10" s="1"/>
      <c r="BG10" s="3"/>
      <c r="BH10" s="1"/>
      <c r="BJ10" s="1"/>
    </row>
    <row r="11" spans="2:6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BF11" s="1"/>
      <c r="BG11" s="3"/>
      <c r="BH11" s="1"/>
      <c r="BJ11" s="1"/>
    </row>
    <row r="12" spans="2:62" ht="20.25">
      <c r="B12" s="98" t="s">
        <v>246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BG12" s="4"/>
    </row>
    <row r="13" spans="2:62">
      <c r="B13" s="98" t="s">
        <v>110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</row>
    <row r="14" spans="2:62">
      <c r="B14" s="98" t="s">
        <v>229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spans="2:62">
      <c r="B15" s="98" t="s">
        <v>237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</row>
    <row r="16" spans="2:62" ht="20.25">
      <c r="B16" s="98" t="s">
        <v>243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BF16" s="4"/>
    </row>
    <row r="17" spans="2:1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6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47"/>
  <sheetViews>
    <sheetView rightToLeft="1" workbookViewId="0">
      <selection activeCell="B38" sqref="B38"/>
    </sheetView>
  </sheetViews>
  <sheetFormatPr defaultColWidth="9.140625" defaultRowHeight="18"/>
  <cols>
    <col min="1" max="1" width="6.28515625" style="1" customWidth="1"/>
    <col min="2" max="2" width="99.8554687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9.570312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177</v>
      </c>
      <c r="C1" s="77" t="s" vm="1">
        <v>247</v>
      </c>
    </row>
    <row r="2" spans="2:63">
      <c r="B2" s="56" t="s">
        <v>176</v>
      </c>
      <c r="C2" s="77" t="s">
        <v>248</v>
      </c>
    </row>
    <row r="3" spans="2:63">
      <c r="B3" s="56" t="s">
        <v>178</v>
      </c>
      <c r="C3" s="77" t="s">
        <v>249</v>
      </c>
    </row>
    <row r="4" spans="2:63">
      <c r="B4" s="56" t="s">
        <v>179</v>
      </c>
      <c r="C4" s="77">
        <v>2144</v>
      </c>
    </row>
    <row r="6" spans="2:63" ht="26.25" customHeight="1">
      <c r="B6" s="195" t="s">
        <v>207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7"/>
      <c r="BK6" s="3"/>
    </row>
    <row r="7" spans="2:63" ht="26.25" customHeight="1">
      <c r="B7" s="195" t="s">
        <v>88</v>
      </c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7"/>
      <c r="BH7" s="3"/>
      <c r="BK7" s="3"/>
    </row>
    <row r="8" spans="2:63" s="3" customFormat="1" ht="74.25" customHeight="1">
      <c r="B8" s="22" t="s">
        <v>113</v>
      </c>
      <c r="C8" s="30" t="s">
        <v>43</v>
      </c>
      <c r="D8" s="30" t="s">
        <v>117</v>
      </c>
      <c r="E8" s="30" t="s">
        <v>115</v>
      </c>
      <c r="F8" s="30" t="s">
        <v>60</v>
      </c>
      <c r="G8" s="30" t="s">
        <v>99</v>
      </c>
      <c r="H8" s="30" t="s">
        <v>231</v>
      </c>
      <c r="I8" s="30" t="s">
        <v>230</v>
      </c>
      <c r="J8" s="30" t="s">
        <v>245</v>
      </c>
      <c r="K8" s="30" t="s">
        <v>59</v>
      </c>
      <c r="L8" s="30" t="s">
        <v>56</v>
      </c>
      <c r="M8" s="30" t="s">
        <v>180</v>
      </c>
      <c r="N8" s="14" t="s">
        <v>182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238</v>
      </c>
      <c r="I9" s="32"/>
      <c r="J9" s="16" t="s">
        <v>234</v>
      </c>
      <c r="K9" s="32" t="s">
        <v>234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4" customFormat="1" ht="18" customHeight="1">
      <c r="B11" s="78" t="s">
        <v>28</v>
      </c>
      <c r="C11" s="79"/>
      <c r="D11" s="79"/>
      <c r="E11" s="79"/>
      <c r="F11" s="79"/>
      <c r="G11" s="79"/>
      <c r="H11" s="87"/>
      <c r="I11" s="89"/>
      <c r="J11" s="79"/>
      <c r="K11" s="87">
        <v>18345.261280744002</v>
      </c>
      <c r="L11" s="79"/>
      <c r="M11" s="88">
        <f>K11/$K$11</f>
        <v>1</v>
      </c>
      <c r="N11" s="88">
        <f>K11/'סכום נכסי הקרן'!$C$42</f>
        <v>8.1363139536341986E-2</v>
      </c>
      <c r="O11" s="5"/>
      <c r="BH11" s="1"/>
      <c r="BI11" s="3"/>
      <c r="BK11" s="1"/>
    </row>
    <row r="12" spans="2:63" ht="20.25">
      <c r="B12" s="80" t="s">
        <v>228</v>
      </c>
      <c r="C12" s="81"/>
      <c r="D12" s="81"/>
      <c r="E12" s="81"/>
      <c r="F12" s="81"/>
      <c r="G12" s="81"/>
      <c r="H12" s="90"/>
      <c r="I12" s="92"/>
      <c r="J12" s="81"/>
      <c r="K12" s="90">
        <v>1947.8265407440001</v>
      </c>
      <c r="L12" s="81"/>
      <c r="M12" s="91">
        <f t="shared" ref="M12:M29" si="0">K12/$K$11</f>
        <v>0.10617600430627418</v>
      </c>
      <c r="N12" s="91">
        <f>K12/'סכום נכסי הקרן'!$C$42</f>
        <v>8.638813053782635E-3</v>
      </c>
      <c r="BI12" s="4"/>
    </row>
    <row r="13" spans="2:63">
      <c r="B13" s="101" t="s">
        <v>62</v>
      </c>
      <c r="C13" s="81"/>
      <c r="D13" s="81"/>
      <c r="E13" s="81"/>
      <c r="F13" s="81"/>
      <c r="G13" s="81"/>
      <c r="H13" s="90"/>
      <c r="I13" s="92"/>
      <c r="J13" s="81"/>
      <c r="K13" s="90">
        <v>1947.8265407440001</v>
      </c>
      <c r="L13" s="81"/>
      <c r="M13" s="91">
        <f t="shared" si="0"/>
        <v>0.10617600430627418</v>
      </c>
      <c r="N13" s="91">
        <f>K13/'סכום נכסי הקרן'!$C$42</f>
        <v>8.638813053782635E-3</v>
      </c>
    </row>
    <row r="14" spans="2:63">
      <c r="B14" s="86" t="s">
        <v>894</v>
      </c>
      <c r="C14" s="83" t="s">
        <v>895</v>
      </c>
      <c r="D14" s="96" t="s">
        <v>118</v>
      </c>
      <c r="E14" s="83" t="s">
        <v>896</v>
      </c>
      <c r="F14" s="96" t="s">
        <v>897</v>
      </c>
      <c r="G14" s="96" t="s">
        <v>162</v>
      </c>
      <c r="H14" s="93">
        <v>3989.626585</v>
      </c>
      <c r="I14" s="95">
        <v>346.95</v>
      </c>
      <c r="J14" s="83"/>
      <c r="K14" s="93">
        <v>13.842009437000003</v>
      </c>
      <c r="L14" s="94">
        <v>2.554165907680821E-5</v>
      </c>
      <c r="M14" s="94">
        <f t="shared" si="0"/>
        <v>7.5452778922964643E-4</v>
      </c>
      <c r="N14" s="94">
        <f>K14/'סכום נכסי הקרן'!$C$42</f>
        <v>6.1390749799139355E-5</v>
      </c>
    </row>
    <row r="15" spans="2:63">
      <c r="B15" s="86" t="s">
        <v>898</v>
      </c>
      <c r="C15" s="83" t="s">
        <v>899</v>
      </c>
      <c r="D15" s="96" t="s">
        <v>118</v>
      </c>
      <c r="E15" s="83" t="s">
        <v>896</v>
      </c>
      <c r="F15" s="96" t="s">
        <v>897</v>
      </c>
      <c r="G15" s="96" t="s">
        <v>162</v>
      </c>
      <c r="H15" s="93">
        <v>15849.540224000002</v>
      </c>
      <c r="I15" s="95">
        <v>321.14999999999998</v>
      </c>
      <c r="J15" s="83"/>
      <c r="K15" s="93">
        <v>50.900798426000001</v>
      </c>
      <c r="L15" s="94">
        <v>7.0298049418700324E-4</v>
      </c>
      <c r="M15" s="94">
        <f t="shared" si="0"/>
        <v>2.7746019883307812E-3</v>
      </c>
      <c r="N15" s="94">
        <f>K15/'סכום נכסי הקרן'!$C$42</f>
        <v>2.2575032873436927E-4</v>
      </c>
    </row>
    <row r="16" spans="2:63" ht="20.25">
      <c r="B16" s="86" t="s">
        <v>900</v>
      </c>
      <c r="C16" s="83" t="s">
        <v>901</v>
      </c>
      <c r="D16" s="96" t="s">
        <v>118</v>
      </c>
      <c r="E16" s="83" t="s">
        <v>896</v>
      </c>
      <c r="F16" s="96" t="s">
        <v>897</v>
      </c>
      <c r="G16" s="96" t="s">
        <v>162</v>
      </c>
      <c r="H16" s="93">
        <v>151740.045377</v>
      </c>
      <c r="I16" s="95">
        <v>334.35</v>
      </c>
      <c r="J16" s="83"/>
      <c r="K16" s="93">
        <v>507.34284172899999</v>
      </c>
      <c r="L16" s="94">
        <v>6.7931600400695147E-4</v>
      </c>
      <c r="M16" s="94">
        <f t="shared" si="0"/>
        <v>2.7655252981407766E-2</v>
      </c>
      <c r="N16" s="94">
        <f>K16/'סכום נכסי הקרן'!$C$42</f>
        <v>2.250118207239118E-3</v>
      </c>
      <c r="BH16" s="4"/>
    </row>
    <row r="17" spans="2:14">
      <c r="B17" s="86" t="s">
        <v>902</v>
      </c>
      <c r="C17" s="83" t="s">
        <v>903</v>
      </c>
      <c r="D17" s="96" t="s">
        <v>118</v>
      </c>
      <c r="E17" s="83" t="s">
        <v>896</v>
      </c>
      <c r="F17" s="96" t="s">
        <v>897</v>
      </c>
      <c r="G17" s="96" t="s">
        <v>162</v>
      </c>
      <c r="H17" s="93">
        <v>1595.312707</v>
      </c>
      <c r="I17" s="95">
        <v>366.07</v>
      </c>
      <c r="J17" s="83"/>
      <c r="K17" s="93">
        <v>5.839961218</v>
      </c>
      <c r="L17" s="94">
        <v>1.2019092062279783E-5</v>
      </c>
      <c r="M17" s="94">
        <f t="shared" si="0"/>
        <v>3.1833622474103883E-4</v>
      </c>
      <c r="N17" s="94">
        <f>K17/'סכום נכסי הקרן'!$C$42</f>
        <v>2.5900834673077463E-5</v>
      </c>
    </row>
    <row r="18" spans="2:14">
      <c r="B18" s="86" t="s">
        <v>904</v>
      </c>
      <c r="C18" s="83" t="s">
        <v>905</v>
      </c>
      <c r="D18" s="96" t="s">
        <v>118</v>
      </c>
      <c r="E18" s="83" t="s">
        <v>906</v>
      </c>
      <c r="F18" s="96" t="s">
        <v>897</v>
      </c>
      <c r="G18" s="96" t="s">
        <v>162</v>
      </c>
      <c r="H18" s="93">
        <v>35821.073903999997</v>
      </c>
      <c r="I18" s="95">
        <v>334.87</v>
      </c>
      <c r="J18" s="83"/>
      <c r="K18" s="93">
        <v>119.95403020500001</v>
      </c>
      <c r="L18" s="94">
        <v>8.4593789222345091E-5</v>
      </c>
      <c r="M18" s="94">
        <f t="shared" si="0"/>
        <v>6.5386929283427035E-3</v>
      </c>
      <c r="N18" s="94">
        <f>K18/'סכום נכסי הקרן'!$C$42</f>
        <v>5.3200858511403995E-4</v>
      </c>
    </row>
    <row r="19" spans="2:14">
      <c r="B19" s="86" t="s">
        <v>907</v>
      </c>
      <c r="C19" s="83" t="s">
        <v>908</v>
      </c>
      <c r="D19" s="96" t="s">
        <v>118</v>
      </c>
      <c r="E19" s="83" t="s">
        <v>906</v>
      </c>
      <c r="F19" s="96" t="s">
        <v>897</v>
      </c>
      <c r="G19" s="96" t="s">
        <v>162</v>
      </c>
      <c r="H19" s="93">
        <v>8646.7756399999998</v>
      </c>
      <c r="I19" s="95">
        <v>343.18</v>
      </c>
      <c r="J19" s="83"/>
      <c r="K19" s="93">
        <v>29.674004654000001</v>
      </c>
      <c r="L19" s="94">
        <v>2.8805435574488681E-5</v>
      </c>
      <c r="M19" s="94">
        <f t="shared" si="0"/>
        <v>1.6175296824552262E-3</v>
      </c>
      <c r="N19" s="94">
        <f>K19/'סכום נכסי הקרן'!$C$42</f>
        <v>1.3160729325777953E-4</v>
      </c>
    </row>
    <row r="20" spans="2:14">
      <c r="B20" s="86" t="s">
        <v>909</v>
      </c>
      <c r="C20" s="83" t="s">
        <v>910</v>
      </c>
      <c r="D20" s="96" t="s">
        <v>118</v>
      </c>
      <c r="E20" s="83" t="s">
        <v>906</v>
      </c>
      <c r="F20" s="96" t="s">
        <v>897</v>
      </c>
      <c r="G20" s="96" t="s">
        <v>162</v>
      </c>
      <c r="H20" s="93">
        <v>8109.8045099999999</v>
      </c>
      <c r="I20" s="95">
        <v>321.98</v>
      </c>
      <c r="J20" s="83"/>
      <c r="K20" s="93">
        <v>26.111948591000001</v>
      </c>
      <c r="L20" s="94">
        <v>1.2188061528500913E-4</v>
      </c>
      <c r="M20" s="94">
        <f t="shared" si="0"/>
        <v>1.423362043821543E-3</v>
      </c>
      <c r="N20" s="94">
        <f>K20/'סכום נכסי הקרן'!$C$42</f>
        <v>1.1580920458218512E-4</v>
      </c>
    </row>
    <row r="21" spans="2:14">
      <c r="B21" s="86" t="s">
        <v>911</v>
      </c>
      <c r="C21" s="83" t="s">
        <v>912</v>
      </c>
      <c r="D21" s="96" t="s">
        <v>118</v>
      </c>
      <c r="E21" s="83" t="s">
        <v>906</v>
      </c>
      <c r="F21" s="96" t="s">
        <v>897</v>
      </c>
      <c r="G21" s="96" t="s">
        <v>162</v>
      </c>
      <c r="H21" s="93">
        <v>37988.483847000003</v>
      </c>
      <c r="I21" s="95">
        <v>363.3</v>
      </c>
      <c r="J21" s="83"/>
      <c r="K21" s="93">
        <v>138.01216179799999</v>
      </c>
      <c r="L21" s="94">
        <v>1.4264541430892593E-4</v>
      </c>
      <c r="M21" s="94">
        <f t="shared" si="0"/>
        <v>7.5230414920753226E-3</v>
      </c>
      <c r="N21" s="94">
        <f>K21/'סכום נכסי הקרן'!$C$42</f>
        <v>6.1209827465741491E-4</v>
      </c>
    </row>
    <row r="22" spans="2:14">
      <c r="B22" s="86" t="s">
        <v>913</v>
      </c>
      <c r="C22" s="83" t="s">
        <v>914</v>
      </c>
      <c r="D22" s="96" t="s">
        <v>118</v>
      </c>
      <c r="E22" s="83" t="s">
        <v>915</v>
      </c>
      <c r="F22" s="96" t="s">
        <v>897</v>
      </c>
      <c r="G22" s="96" t="s">
        <v>162</v>
      </c>
      <c r="H22" s="93">
        <v>79.782285000000002</v>
      </c>
      <c r="I22" s="95">
        <v>3438.37</v>
      </c>
      <c r="J22" s="83"/>
      <c r="K22" s="93">
        <v>2.7432101679999996</v>
      </c>
      <c r="L22" s="94">
        <v>3.4000078157880965E-6</v>
      </c>
      <c r="M22" s="94">
        <f t="shared" si="0"/>
        <v>1.4953235748565731E-4</v>
      </c>
      <c r="N22" s="94">
        <f>K22/'סכום נכסי הקרן'!$C$42</f>
        <v>1.2166422067303709E-5</v>
      </c>
    </row>
    <row r="23" spans="2:14">
      <c r="B23" s="86" t="s">
        <v>916</v>
      </c>
      <c r="C23" s="83" t="s">
        <v>917</v>
      </c>
      <c r="D23" s="96" t="s">
        <v>118</v>
      </c>
      <c r="E23" s="83" t="s">
        <v>915</v>
      </c>
      <c r="F23" s="96" t="s">
        <v>897</v>
      </c>
      <c r="G23" s="96" t="s">
        <v>162</v>
      </c>
      <c r="H23" s="93">
        <v>353.49500399999999</v>
      </c>
      <c r="I23" s="95">
        <v>3201.86</v>
      </c>
      <c r="J23" s="83"/>
      <c r="K23" s="93">
        <v>11.318415134999999</v>
      </c>
      <c r="L23" s="94">
        <v>5.7235569389434375E-5</v>
      </c>
      <c r="M23" s="94">
        <f t="shared" si="0"/>
        <v>6.1696669029621877E-4</v>
      </c>
      <c r="N23" s="94">
        <f>K23/'סכום נכסי הקרן'!$C$42</f>
        <v>5.0198346911846346E-5</v>
      </c>
    </row>
    <row r="24" spans="2:14">
      <c r="B24" s="86" t="s">
        <v>918</v>
      </c>
      <c r="C24" s="83" t="s">
        <v>919</v>
      </c>
      <c r="D24" s="96" t="s">
        <v>118</v>
      </c>
      <c r="E24" s="83" t="s">
        <v>915</v>
      </c>
      <c r="F24" s="96" t="s">
        <v>897</v>
      </c>
      <c r="G24" s="96" t="s">
        <v>162</v>
      </c>
      <c r="H24" s="93">
        <v>5555.8681699999988</v>
      </c>
      <c r="I24" s="95">
        <v>3333.44</v>
      </c>
      <c r="J24" s="83"/>
      <c r="K24" s="93">
        <v>185.20153192800001</v>
      </c>
      <c r="L24" s="94">
        <v>1.4221218582065299E-4</v>
      </c>
      <c r="M24" s="94">
        <f t="shared" si="0"/>
        <v>1.0095333562918274E-2</v>
      </c>
      <c r="N24" s="94">
        <f>K24/'סכום נכסי הקרן'!$C$42</f>
        <v>8.2138803334563608E-4</v>
      </c>
    </row>
    <row r="25" spans="2:14">
      <c r="B25" s="86" t="s">
        <v>920</v>
      </c>
      <c r="C25" s="83" t="s">
        <v>921</v>
      </c>
      <c r="D25" s="96" t="s">
        <v>118</v>
      </c>
      <c r="E25" s="83" t="s">
        <v>915</v>
      </c>
      <c r="F25" s="96" t="s">
        <v>897</v>
      </c>
      <c r="G25" s="96" t="s">
        <v>162</v>
      </c>
      <c r="H25" s="93">
        <v>4378.89887</v>
      </c>
      <c r="I25" s="95">
        <v>3649.4</v>
      </c>
      <c r="J25" s="83"/>
      <c r="K25" s="93">
        <v>159.80353535200001</v>
      </c>
      <c r="L25" s="94">
        <v>2.5378534422149183E-4</v>
      </c>
      <c r="M25" s="94">
        <f t="shared" si="0"/>
        <v>8.7108890359461309E-3</v>
      </c>
      <c r="N25" s="94">
        <f>K25/'סכום נכסי הקרן'!$C$42</f>
        <v>7.087452801172767E-4</v>
      </c>
    </row>
    <row r="26" spans="2:14">
      <c r="B26" s="86" t="s">
        <v>922</v>
      </c>
      <c r="C26" s="83" t="s">
        <v>923</v>
      </c>
      <c r="D26" s="96" t="s">
        <v>118</v>
      </c>
      <c r="E26" s="83" t="s">
        <v>924</v>
      </c>
      <c r="F26" s="96" t="s">
        <v>897</v>
      </c>
      <c r="G26" s="96" t="s">
        <v>162</v>
      </c>
      <c r="H26" s="93">
        <v>11153.401029000001</v>
      </c>
      <c r="I26" s="95">
        <v>344.21</v>
      </c>
      <c r="J26" s="83"/>
      <c r="K26" s="93">
        <v>38.391121700999996</v>
      </c>
      <c r="L26" s="94">
        <v>3.2003496542504201E-5</v>
      </c>
      <c r="M26" s="94">
        <f t="shared" si="0"/>
        <v>2.0926996412581498E-3</v>
      </c>
      <c r="N26" s="94">
        <f>K26/'סכום נכסי הקרן'!$C$42</f>
        <v>1.7026861291933966E-4</v>
      </c>
    </row>
    <row r="27" spans="2:14">
      <c r="B27" s="86" t="s">
        <v>925</v>
      </c>
      <c r="C27" s="83" t="s">
        <v>926</v>
      </c>
      <c r="D27" s="96" t="s">
        <v>118</v>
      </c>
      <c r="E27" s="83" t="s">
        <v>924</v>
      </c>
      <c r="F27" s="96" t="s">
        <v>897</v>
      </c>
      <c r="G27" s="96" t="s">
        <v>162</v>
      </c>
      <c r="H27" s="93">
        <v>7161.7242239999996</v>
      </c>
      <c r="I27" s="95">
        <v>321.24</v>
      </c>
      <c r="J27" s="83"/>
      <c r="K27" s="93">
        <v>23.006322869999998</v>
      </c>
      <c r="L27" s="94">
        <v>1.7885914003152058E-4</v>
      </c>
      <c r="M27" s="94">
        <f t="shared" si="0"/>
        <v>1.2540744183430329E-3</v>
      </c>
      <c r="N27" s="94">
        <f>K27/'סכום נכסי הקרן'!$C$42</f>
        <v>1.0203543188860112E-4</v>
      </c>
    </row>
    <row r="28" spans="2:14">
      <c r="B28" s="86" t="s">
        <v>927</v>
      </c>
      <c r="C28" s="83" t="s">
        <v>928</v>
      </c>
      <c r="D28" s="96" t="s">
        <v>118</v>
      </c>
      <c r="E28" s="83" t="s">
        <v>924</v>
      </c>
      <c r="F28" s="96" t="s">
        <v>897</v>
      </c>
      <c r="G28" s="96" t="s">
        <v>162</v>
      </c>
      <c r="H28" s="93">
        <v>169221.68089700001</v>
      </c>
      <c r="I28" s="95">
        <v>334.3</v>
      </c>
      <c r="J28" s="83"/>
      <c r="K28" s="93">
        <v>565.70807921999995</v>
      </c>
      <c r="L28" s="94">
        <v>4.1405380090738105E-4</v>
      </c>
      <c r="M28" s="94">
        <f t="shared" si="0"/>
        <v>3.0836741464881297E-2</v>
      </c>
      <c r="N28" s="94">
        <f>K28/'סכום נכסי הקרן'!$C$42</f>
        <v>2.5089740986532398E-3</v>
      </c>
    </row>
    <row r="29" spans="2:14">
      <c r="B29" s="86" t="s">
        <v>929</v>
      </c>
      <c r="C29" s="83" t="s">
        <v>930</v>
      </c>
      <c r="D29" s="96" t="s">
        <v>118</v>
      </c>
      <c r="E29" s="83" t="s">
        <v>924</v>
      </c>
      <c r="F29" s="96" t="s">
        <v>897</v>
      </c>
      <c r="G29" s="96" t="s">
        <v>162</v>
      </c>
      <c r="H29" s="93">
        <v>19096.323622</v>
      </c>
      <c r="I29" s="95">
        <v>366.44</v>
      </c>
      <c r="J29" s="83"/>
      <c r="K29" s="93">
        <v>69.976568311999998</v>
      </c>
      <c r="L29" s="94">
        <v>9.299986464210132E-5</v>
      </c>
      <c r="M29" s="94">
        <f t="shared" si="0"/>
        <v>3.8144220047413827E-3</v>
      </c>
      <c r="N29" s="94">
        <f>K29/'סכום נכסי הקרן'!$C$42</f>
        <v>3.1035334982226645E-4</v>
      </c>
    </row>
    <row r="30" spans="2:14">
      <c r="B30" s="82"/>
      <c r="C30" s="83"/>
      <c r="D30" s="83"/>
      <c r="E30" s="83"/>
      <c r="F30" s="83"/>
      <c r="G30" s="83"/>
      <c r="H30" s="93"/>
      <c r="I30" s="95"/>
      <c r="J30" s="83"/>
      <c r="K30" s="83"/>
      <c r="L30" s="83"/>
      <c r="M30" s="94"/>
      <c r="N30" s="83"/>
    </row>
    <row r="31" spans="2:14">
      <c r="B31" s="80" t="s">
        <v>227</v>
      </c>
      <c r="C31" s="81"/>
      <c r="D31" s="81"/>
      <c r="E31" s="81"/>
      <c r="F31" s="81"/>
      <c r="G31" s="81"/>
      <c r="H31" s="90"/>
      <c r="I31" s="92"/>
      <c r="J31" s="81"/>
      <c r="K31" s="90">
        <v>16397.434740000001</v>
      </c>
      <c r="L31" s="81"/>
      <c r="M31" s="91">
        <f t="shared" ref="M31:M41" si="1">K31/$K$11</f>
        <v>0.89382399569372573</v>
      </c>
      <c r="N31" s="91">
        <f>K31/'סכום נכסי הקרן'!$C$42</f>
        <v>7.2724326482559346E-2</v>
      </c>
    </row>
    <row r="32" spans="2:14">
      <c r="B32" s="101" t="s">
        <v>63</v>
      </c>
      <c r="C32" s="81"/>
      <c r="D32" s="81"/>
      <c r="E32" s="81"/>
      <c r="F32" s="81"/>
      <c r="G32" s="81"/>
      <c r="H32" s="90"/>
      <c r="I32" s="92"/>
      <c r="J32" s="81"/>
      <c r="K32" s="90">
        <v>16397.434740000001</v>
      </c>
      <c r="L32" s="81"/>
      <c r="M32" s="91">
        <f t="shared" si="1"/>
        <v>0.89382399569372573</v>
      </c>
      <c r="N32" s="91">
        <f>K32/'סכום נכסי הקרן'!$C$42</f>
        <v>7.2724326482559346E-2</v>
      </c>
    </row>
    <row r="33" spans="2:14">
      <c r="B33" s="86" t="s">
        <v>931</v>
      </c>
      <c r="C33" s="83" t="s">
        <v>932</v>
      </c>
      <c r="D33" s="96" t="s">
        <v>27</v>
      </c>
      <c r="E33" s="83"/>
      <c r="F33" s="96" t="s">
        <v>897</v>
      </c>
      <c r="G33" s="96" t="s">
        <v>163</v>
      </c>
      <c r="H33" s="93">
        <v>1290</v>
      </c>
      <c r="I33" s="95">
        <v>22629.98</v>
      </c>
      <c r="J33" s="83"/>
      <c r="K33" s="93">
        <v>1190.5356299999999</v>
      </c>
      <c r="L33" s="94">
        <v>6.1253532168313314E-4</v>
      </c>
      <c r="M33" s="94">
        <f t="shared" si="1"/>
        <v>6.4896084704426579E-2</v>
      </c>
      <c r="N33" s="94">
        <f>K33/'סכום נכסי הקרן'!$C$42</f>
        <v>5.2801491951685285E-3</v>
      </c>
    </row>
    <row r="34" spans="2:14">
      <c r="B34" s="86" t="s">
        <v>933</v>
      </c>
      <c r="C34" s="83" t="s">
        <v>934</v>
      </c>
      <c r="D34" s="96" t="s">
        <v>27</v>
      </c>
      <c r="E34" s="83"/>
      <c r="F34" s="96" t="s">
        <v>897</v>
      </c>
      <c r="G34" s="96" t="s">
        <v>163</v>
      </c>
      <c r="H34" s="93">
        <v>1159</v>
      </c>
      <c r="I34" s="95">
        <v>19520</v>
      </c>
      <c r="J34" s="83"/>
      <c r="K34" s="93">
        <v>922.6389200000001</v>
      </c>
      <c r="L34" s="94">
        <v>1.0168459526635836E-3</v>
      </c>
      <c r="M34" s="94">
        <f t="shared" si="1"/>
        <v>5.029303785214783E-2</v>
      </c>
      <c r="N34" s="94">
        <f>K34/'סכום נכסי הקרן'!$C$42</f>
        <v>4.0919994564708332E-3</v>
      </c>
    </row>
    <row r="35" spans="2:14">
      <c r="B35" s="86" t="s">
        <v>935</v>
      </c>
      <c r="C35" s="83" t="s">
        <v>936</v>
      </c>
      <c r="D35" s="96" t="s">
        <v>121</v>
      </c>
      <c r="E35" s="83"/>
      <c r="F35" s="96" t="s">
        <v>897</v>
      </c>
      <c r="G35" s="96" t="s">
        <v>161</v>
      </c>
      <c r="H35" s="93">
        <v>3188</v>
      </c>
      <c r="I35" s="95">
        <v>9997</v>
      </c>
      <c r="J35" s="83"/>
      <c r="K35" s="93">
        <v>1157.53424</v>
      </c>
      <c r="L35" s="94">
        <v>6.0355365881687199E-4</v>
      </c>
      <c r="M35" s="94">
        <f t="shared" si="1"/>
        <v>6.3097179281660004E-2</v>
      </c>
      <c r="N35" s="94">
        <f>K35/'סכום נכסי הקרן'!$C$42</f>
        <v>5.1337846022432897E-3</v>
      </c>
    </row>
    <row r="36" spans="2:14">
      <c r="B36" s="86" t="s">
        <v>937</v>
      </c>
      <c r="C36" s="83" t="s">
        <v>938</v>
      </c>
      <c r="D36" s="96" t="s">
        <v>121</v>
      </c>
      <c r="E36" s="83"/>
      <c r="F36" s="96" t="s">
        <v>897</v>
      </c>
      <c r="G36" s="96" t="s">
        <v>161</v>
      </c>
      <c r="H36" s="93">
        <v>1533</v>
      </c>
      <c r="I36" s="95">
        <v>10367</v>
      </c>
      <c r="J36" s="83"/>
      <c r="K36" s="93">
        <v>577.21963000000005</v>
      </c>
      <c r="L36" s="94">
        <v>4.5415777891545996E-5</v>
      </c>
      <c r="M36" s="94">
        <f t="shared" si="1"/>
        <v>3.1464235977160776E-2</v>
      </c>
      <c r="N36" s="94">
        <f>K36/'סכום נכסי הקרן'!$C$42</f>
        <v>2.5600290222141243E-3</v>
      </c>
    </row>
    <row r="37" spans="2:14">
      <c r="B37" s="86" t="s">
        <v>939</v>
      </c>
      <c r="C37" s="83" t="s">
        <v>940</v>
      </c>
      <c r="D37" s="96" t="s">
        <v>121</v>
      </c>
      <c r="E37" s="83"/>
      <c r="F37" s="96" t="s">
        <v>897</v>
      </c>
      <c r="G37" s="96" t="s">
        <v>161</v>
      </c>
      <c r="H37" s="93">
        <v>3001</v>
      </c>
      <c r="I37" s="95">
        <v>11392</v>
      </c>
      <c r="J37" s="83"/>
      <c r="K37" s="93">
        <v>1241.6860800000002</v>
      </c>
      <c r="L37" s="94">
        <v>8.2872195086173143E-5</v>
      </c>
      <c r="M37" s="94">
        <f t="shared" si="1"/>
        <v>6.7684295197437655E-2</v>
      </c>
      <c r="N37" s="94">
        <f>K37/'סכום נכסי הקרן'!$C$42</f>
        <v>5.5070067545680817E-3</v>
      </c>
    </row>
    <row r="38" spans="2:14">
      <c r="B38" s="86" t="s">
        <v>941</v>
      </c>
      <c r="C38" s="83" t="s">
        <v>942</v>
      </c>
      <c r="D38" s="96" t="s">
        <v>943</v>
      </c>
      <c r="E38" s="83"/>
      <c r="F38" s="96" t="s">
        <v>897</v>
      </c>
      <c r="G38" s="96" t="s">
        <v>161</v>
      </c>
      <c r="H38" s="93">
        <v>4905</v>
      </c>
      <c r="I38" s="95">
        <v>3597</v>
      </c>
      <c r="J38" s="83"/>
      <c r="K38" s="93">
        <v>640.80412000000001</v>
      </c>
      <c r="L38" s="94">
        <v>1.8827453668611298E-5</v>
      </c>
      <c r="M38" s="94">
        <f t="shared" si="1"/>
        <v>3.493022586015803E-2</v>
      </c>
      <c r="N38" s="94">
        <f>K38/'סכום נכסי הקרן'!$C$42</f>
        <v>2.8420328406959794E-3</v>
      </c>
    </row>
    <row r="39" spans="2:14">
      <c r="B39" s="86" t="s">
        <v>944</v>
      </c>
      <c r="C39" s="83" t="s">
        <v>945</v>
      </c>
      <c r="D39" s="96" t="s">
        <v>121</v>
      </c>
      <c r="E39" s="83"/>
      <c r="F39" s="96" t="s">
        <v>897</v>
      </c>
      <c r="G39" s="96" t="s">
        <v>161</v>
      </c>
      <c r="H39" s="93">
        <v>1464.9999999999998</v>
      </c>
      <c r="I39" s="95">
        <v>6927</v>
      </c>
      <c r="J39" s="83"/>
      <c r="K39" s="93">
        <v>368.57734999999997</v>
      </c>
      <c r="L39" s="94">
        <v>2.850070846146736E-5</v>
      </c>
      <c r="M39" s="94">
        <f t="shared" si="1"/>
        <v>2.0091147482694895E-2</v>
      </c>
      <c r="N39" s="94">
        <f>K39/'סכום נכסי הקרן'!$C$42</f>
        <v>1.6346788360797309E-3</v>
      </c>
    </row>
    <row r="40" spans="2:14">
      <c r="B40" s="86" t="s">
        <v>946</v>
      </c>
      <c r="C40" s="83" t="s">
        <v>947</v>
      </c>
      <c r="D40" s="96" t="s">
        <v>943</v>
      </c>
      <c r="E40" s="83"/>
      <c r="F40" s="96" t="s">
        <v>897</v>
      </c>
      <c r="G40" s="96" t="s">
        <v>161</v>
      </c>
      <c r="H40" s="93">
        <v>14659</v>
      </c>
      <c r="I40" s="95">
        <v>3417</v>
      </c>
      <c r="J40" s="83"/>
      <c r="K40" s="93">
        <v>1819.2616499999999</v>
      </c>
      <c r="L40" s="94">
        <v>1.1661886717137282E-4</v>
      </c>
      <c r="M40" s="94">
        <f t="shared" si="1"/>
        <v>9.9167933460265159E-2</v>
      </c>
      <c r="N40" s="94">
        <f>K40/'סכום נכסי הקרן'!$C$42</f>
        <v>8.0686144076582318E-3</v>
      </c>
    </row>
    <row r="41" spans="2:14">
      <c r="B41" s="86" t="s">
        <v>948</v>
      </c>
      <c r="C41" s="83" t="s">
        <v>949</v>
      </c>
      <c r="D41" s="96" t="s">
        <v>943</v>
      </c>
      <c r="E41" s="83"/>
      <c r="F41" s="96" t="s">
        <v>897</v>
      </c>
      <c r="G41" s="96" t="s">
        <v>161</v>
      </c>
      <c r="H41" s="93">
        <v>29270</v>
      </c>
      <c r="I41" s="95">
        <v>7976</v>
      </c>
      <c r="J41" s="83"/>
      <c r="K41" s="93">
        <v>8479.1771199999985</v>
      </c>
      <c r="L41" s="94">
        <v>9.6740837859341476E-5</v>
      </c>
      <c r="M41" s="94">
        <f t="shared" si="1"/>
        <v>0.46219985587777473</v>
      </c>
      <c r="N41" s="94">
        <f>K41/'סכום נכסי הקרן'!$C$42</f>
        <v>3.7606031367460539E-2</v>
      </c>
    </row>
    <row r="42" spans="2:14">
      <c r="D42" s="1"/>
      <c r="E42" s="1"/>
      <c r="F42" s="1"/>
      <c r="G42" s="1"/>
    </row>
    <row r="43" spans="2:14">
      <c r="D43" s="1"/>
      <c r="E43" s="1"/>
      <c r="F43" s="1"/>
      <c r="G43" s="1"/>
    </row>
    <row r="44" spans="2:14">
      <c r="B44" s="98" t="s">
        <v>246</v>
      </c>
      <c r="D44" s="1"/>
      <c r="E44" s="1"/>
      <c r="F44" s="1"/>
      <c r="G44" s="1"/>
    </row>
    <row r="45" spans="2:14">
      <c r="B45" s="98" t="s">
        <v>110</v>
      </c>
      <c r="D45" s="1"/>
      <c r="E45" s="1"/>
      <c r="F45" s="1"/>
      <c r="G45" s="1"/>
    </row>
    <row r="46" spans="2:14">
      <c r="B46" s="98" t="s">
        <v>229</v>
      </c>
      <c r="D46" s="1"/>
      <c r="E46" s="1"/>
      <c r="F46" s="1"/>
      <c r="G46" s="1"/>
    </row>
    <row r="47" spans="2:14">
      <c r="B47" s="98" t="s">
        <v>237</v>
      </c>
      <c r="D47" s="1"/>
      <c r="E47" s="1"/>
      <c r="F47" s="1"/>
      <c r="G47" s="1"/>
    </row>
    <row r="48" spans="2:14">
      <c r="B48" s="98" t="s">
        <v>244</v>
      </c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B242" s="43"/>
      <c r="D242" s="1"/>
      <c r="E242" s="1"/>
      <c r="F242" s="1"/>
      <c r="G242" s="1"/>
    </row>
    <row r="243" spans="2:7">
      <c r="B243" s="43"/>
      <c r="D243" s="1"/>
      <c r="E243" s="1"/>
      <c r="F243" s="1"/>
      <c r="G243" s="1"/>
    </row>
    <row r="244" spans="2:7">
      <c r="B244" s="3"/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</sheetData>
  <sheetProtection sheet="1" objects="1" scenarios="1"/>
  <mergeCells count="2">
    <mergeCell ref="B6:N6"/>
    <mergeCell ref="B7:N7"/>
  </mergeCells>
  <phoneticPr fontId="6" type="noConversion"/>
  <dataValidations count="1">
    <dataValidation allowBlank="1" showInputMessage="1" showErrorMessage="1" sqref="J1:J7 B45:B1048576 K1:XFD1048576 B1:B43 D1:I1048576 A1:A1048576 C5:C1048576 J9:J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I14" sqref="I14:I17"/>
    </sheetView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9.570312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177</v>
      </c>
      <c r="C1" s="77" t="s" vm="1">
        <v>247</v>
      </c>
    </row>
    <row r="2" spans="2:65">
      <c r="B2" s="56" t="s">
        <v>176</v>
      </c>
      <c r="C2" s="77" t="s">
        <v>248</v>
      </c>
    </row>
    <row r="3" spans="2:65">
      <c r="B3" s="56" t="s">
        <v>178</v>
      </c>
      <c r="C3" s="77" t="s">
        <v>249</v>
      </c>
    </row>
    <row r="4" spans="2:65">
      <c r="B4" s="56" t="s">
        <v>179</v>
      </c>
      <c r="C4" s="77">
        <v>2144</v>
      </c>
    </row>
    <row r="6" spans="2:65" ht="26.25" customHeight="1">
      <c r="B6" s="195" t="s">
        <v>207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65" ht="26.25" customHeight="1">
      <c r="B7" s="195" t="s">
        <v>89</v>
      </c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7"/>
      <c r="BM7" s="3"/>
    </row>
    <row r="8" spans="2:65" s="3" customFormat="1" ht="78.75">
      <c r="B8" s="22" t="s">
        <v>113</v>
      </c>
      <c r="C8" s="30" t="s">
        <v>43</v>
      </c>
      <c r="D8" s="30" t="s">
        <v>117</v>
      </c>
      <c r="E8" s="30" t="s">
        <v>115</v>
      </c>
      <c r="F8" s="30" t="s">
        <v>60</v>
      </c>
      <c r="G8" s="30" t="s">
        <v>15</v>
      </c>
      <c r="H8" s="30" t="s">
        <v>61</v>
      </c>
      <c r="I8" s="30" t="s">
        <v>99</v>
      </c>
      <c r="J8" s="30" t="s">
        <v>231</v>
      </c>
      <c r="K8" s="30" t="s">
        <v>230</v>
      </c>
      <c r="L8" s="30" t="s">
        <v>59</v>
      </c>
      <c r="M8" s="30" t="s">
        <v>56</v>
      </c>
      <c r="N8" s="30" t="s">
        <v>180</v>
      </c>
      <c r="O8" s="20" t="s">
        <v>182</v>
      </c>
      <c r="P8" s="1"/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32" t="s">
        <v>238</v>
      </c>
      <c r="K9" s="32"/>
      <c r="L9" s="32" t="s">
        <v>234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128" t="s">
        <v>29</v>
      </c>
      <c r="C11" s="81"/>
      <c r="D11" s="81"/>
      <c r="E11" s="81"/>
      <c r="F11" s="81"/>
      <c r="G11" s="81"/>
      <c r="H11" s="81"/>
      <c r="I11" s="81"/>
      <c r="J11" s="90"/>
      <c r="K11" s="92"/>
      <c r="L11" s="90">
        <v>3816.93127</v>
      </c>
      <c r="M11" s="81"/>
      <c r="N11" s="91">
        <f>L11/$L$11</f>
        <v>1</v>
      </c>
      <c r="O11" s="91">
        <f>L11/'סכום נכסי הקרן'!$C$42</f>
        <v>1.6928486695777508E-2</v>
      </c>
      <c r="P11" s="5"/>
      <c r="BG11" s="99"/>
      <c r="BH11" s="3"/>
      <c r="BI11" s="99"/>
      <c r="BM11" s="99"/>
    </row>
    <row r="12" spans="2:65" s="4" customFormat="1" ht="18" customHeight="1">
      <c r="B12" s="80" t="s">
        <v>227</v>
      </c>
      <c r="C12" s="81"/>
      <c r="D12" s="81"/>
      <c r="E12" s="81"/>
      <c r="F12" s="81"/>
      <c r="G12" s="81"/>
      <c r="H12" s="81"/>
      <c r="I12" s="81"/>
      <c r="J12" s="90"/>
      <c r="K12" s="92"/>
      <c r="L12" s="90">
        <v>3816.93127</v>
      </c>
      <c r="M12" s="81"/>
      <c r="N12" s="91">
        <f t="shared" ref="N12:N16" si="0">L12/$L$11</f>
        <v>1</v>
      </c>
      <c r="O12" s="91">
        <f>L12/'סכום נכסי הקרן'!$C$42</f>
        <v>1.6928486695777508E-2</v>
      </c>
      <c r="P12" s="5"/>
      <c r="BG12" s="99"/>
      <c r="BH12" s="3"/>
      <c r="BI12" s="99"/>
      <c r="BM12" s="99"/>
    </row>
    <row r="13" spans="2:65">
      <c r="B13" s="101" t="s">
        <v>48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3816.93127</v>
      </c>
      <c r="M13" s="81"/>
      <c r="N13" s="91">
        <f t="shared" si="0"/>
        <v>1</v>
      </c>
      <c r="O13" s="91">
        <f>L13/'סכום נכסי הקרן'!$C$42</f>
        <v>1.6928486695777508E-2</v>
      </c>
      <c r="BH13" s="3"/>
    </row>
    <row r="14" spans="2:65" ht="20.25">
      <c r="B14" s="86" t="s">
        <v>950</v>
      </c>
      <c r="C14" s="83" t="s">
        <v>951</v>
      </c>
      <c r="D14" s="96" t="s">
        <v>27</v>
      </c>
      <c r="E14" s="83"/>
      <c r="F14" s="96" t="s">
        <v>897</v>
      </c>
      <c r="G14" s="83" t="s">
        <v>952</v>
      </c>
      <c r="H14" s="83" t="s">
        <v>953</v>
      </c>
      <c r="I14" s="96" t="s">
        <v>161</v>
      </c>
      <c r="J14" s="93">
        <v>6004.55</v>
      </c>
      <c r="K14" s="95">
        <v>11489</v>
      </c>
      <c r="L14" s="93">
        <v>2505.58151</v>
      </c>
      <c r="M14" s="94">
        <v>1.1634491469051673E-3</v>
      </c>
      <c r="N14" s="94">
        <f t="shared" si="0"/>
        <v>0.65643872859151586</v>
      </c>
      <c r="O14" s="94">
        <f>L14/'סכום נכסי הקרן'!$C$42</f>
        <v>1.1112514283554578E-2</v>
      </c>
      <c r="BH14" s="4"/>
    </row>
    <row r="15" spans="2:65">
      <c r="B15" s="86" t="s">
        <v>954</v>
      </c>
      <c r="C15" s="83" t="s">
        <v>955</v>
      </c>
      <c r="D15" s="96" t="s">
        <v>27</v>
      </c>
      <c r="E15" s="83"/>
      <c r="F15" s="96" t="s">
        <v>897</v>
      </c>
      <c r="G15" s="83" t="s">
        <v>956</v>
      </c>
      <c r="H15" s="83" t="s">
        <v>953</v>
      </c>
      <c r="I15" s="96" t="s">
        <v>161</v>
      </c>
      <c r="J15" s="93">
        <v>671</v>
      </c>
      <c r="K15" s="95">
        <v>30130.32</v>
      </c>
      <c r="L15" s="93">
        <v>734.29759999999999</v>
      </c>
      <c r="M15" s="94">
        <v>4.3311668193950907E-5</v>
      </c>
      <c r="N15" s="94">
        <f t="shared" si="0"/>
        <v>0.19237904695098165</v>
      </c>
      <c r="O15" s="94">
        <f>L15/'סכום נכסי הקרן'!$C$42</f>
        <v>3.256686136856049E-3</v>
      </c>
    </row>
    <row r="16" spans="2:65">
      <c r="B16" s="86" t="s">
        <v>957</v>
      </c>
      <c r="C16" s="83" t="s">
        <v>958</v>
      </c>
      <c r="D16" s="96" t="s">
        <v>27</v>
      </c>
      <c r="E16" s="83"/>
      <c r="F16" s="96" t="s">
        <v>897</v>
      </c>
      <c r="G16" s="83" t="s">
        <v>956</v>
      </c>
      <c r="H16" s="83" t="s">
        <v>953</v>
      </c>
      <c r="I16" s="96" t="s">
        <v>161</v>
      </c>
      <c r="J16" s="93">
        <v>9600</v>
      </c>
      <c r="K16" s="95">
        <v>1655</v>
      </c>
      <c r="L16" s="93">
        <v>577.05216000000007</v>
      </c>
      <c r="M16" s="94">
        <v>6.3691535415788918E-5</v>
      </c>
      <c r="N16" s="94">
        <f t="shared" si="0"/>
        <v>0.15118222445750248</v>
      </c>
      <c r="O16" s="94">
        <f>L16/'סכום נכסי הקרן'!$C$42</f>
        <v>2.5592862753668799E-3</v>
      </c>
    </row>
    <row r="17" spans="2:15">
      <c r="B17" s="82"/>
      <c r="C17" s="83"/>
      <c r="D17" s="83"/>
      <c r="E17" s="83"/>
      <c r="F17" s="83"/>
      <c r="G17" s="83"/>
      <c r="H17" s="83"/>
      <c r="I17" s="83"/>
      <c r="J17" s="93"/>
      <c r="K17" s="95"/>
      <c r="L17" s="83"/>
      <c r="M17" s="83"/>
      <c r="N17" s="94"/>
      <c r="O17" s="83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98" t="s">
        <v>246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98" t="s">
        <v>110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98" t="s">
        <v>229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98" t="s">
        <v>237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5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5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5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5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59" ht="20.2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BG37" s="4"/>
    </row>
    <row r="38" spans="2:5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BG38" s="3"/>
    </row>
    <row r="39" spans="2:5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5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5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5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5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5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5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5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5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5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3"/>
      <c r="C325" s="1"/>
      <c r="D325" s="1"/>
      <c r="E325" s="1"/>
    </row>
    <row r="326" spans="2:5">
      <c r="B326" s="43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6" type="noConversion"/>
  <dataValidations count="1">
    <dataValidation allowBlank="1" showInputMessage="1" showErrorMessage="1" sqref="A1:A1048576 B39:B1048576 C5:C1048576 D1:AF1048576 AH1:XFD1048576 AG1:AG37 B1:B19 B21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2019-06-03T10:28:37+00:00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35D27429-A1AA-41A8-B9A9-D62062300A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2019-06-03T09:10:47Z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