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7.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9.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0.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0.xml" ContentType="application/vnd.openxmlformats-officedocument.drawing+xml"/>
  <Override PartName="/xl/comments10.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comments11.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6.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7.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8.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9.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0.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1.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2.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3.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4.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5.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6.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7.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8.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9.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0.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1.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2.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3.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4.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5.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6.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7.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8.xml" ContentType="application/vnd.openxmlformats-officedocument.themeOverride+xml"/>
  <Override PartName="/xl/drawings/drawing34.xml" ContentType="application/vnd.openxmlformats-officedocument.drawing+xml"/>
  <Override PartName="/xl/comments34.xml" ContentType="application/vnd.openxmlformats-officedocument.spreadsheetml.comments+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39.xml" ContentType="application/vnd.openxmlformats-officedocument.themeOverride+xml"/>
  <Override PartName="/xl/drawings/drawing35.xml" ContentType="application/vnd.openxmlformats-officedocument.drawing+xml"/>
  <Override PartName="/xl/comments35.xml" ContentType="application/vnd.openxmlformats-officedocument.spreadsheetml.comment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40.xml" ContentType="application/vnd.openxmlformats-officedocument.themeOverride+xml"/>
  <Override PartName="/xl/drawings/drawing36.xml" ContentType="application/vnd.openxmlformats-officedocument.drawing+xml"/>
  <Override PartName="/xl/comments36.xml" ContentType="application/vnd.openxmlformats-officedocument.spreadsheetml.comment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37.xml" ContentType="application/vnd.openxmlformats-officedocument.drawing+xml"/>
  <Override PartName="/xl/comments37.xml" ContentType="application/vnd.openxmlformats-officedocument.spreadsheetml.comment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omments38.xml" ContentType="application/vnd.openxmlformats-officedocument.spreadsheetml.comments+xml"/>
  <Override PartName="/xl/comments3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6" sheetId="47" r:id="rId6"/>
    <sheet name="0815" sheetId="46" r:id="rId7"/>
    <sheet name="0812" sheetId="45" r:id="rId8"/>
    <sheet name="0811" sheetId="44" r:id="rId9"/>
    <sheet name="0810" sheetId="43" r:id="rId10"/>
    <sheet name="0809" sheetId="21" r:id="rId11"/>
    <sheet name="0808" sheetId="20" r:id="rId12"/>
    <sheet name="0805" sheetId="19" r:id="rId13"/>
    <sheet name="0804" sheetId="18" r:id="rId14"/>
    <sheet name="0803" sheetId="16" r:id="rId15"/>
    <sheet name="0802" sheetId="13" r:id="rId16"/>
    <sheet name="0801" sheetId="15" r:id="rId17"/>
    <sheet name="0729" sheetId="22" r:id="rId18"/>
    <sheet name="0728" sheetId="23" r:id="rId19"/>
    <sheet name="0727" sheetId="24" r:id="rId20"/>
    <sheet name="0726" sheetId="25" r:id="rId21"/>
    <sheet name="0725" sheetId="26" r:id="rId22"/>
    <sheet name="0722" sheetId="27" r:id="rId23"/>
    <sheet name="0721" sheetId="28" r:id="rId24"/>
    <sheet name="0720" sheetId="29" r:id="rId25"/>
    <sheet name="0719" sheetId="30" r:id="rId26"/>
    <sheet name="0718" sheetId="31" r:id="rId27"/>
    <sheet name="0715" sheetId="32" r:id="rId28"/>
    <sheet name="0714" sheetId="33" r:id="rId29"/>
    <sheet name="0713" sheetId="34" r:id="rId30"/>
    <sheet name="0712" sheetId="35" r:id="rId31"/>
    <sheet name="0711" sheetId="36" r:id="rId32"/>
    <sheet name="0708" sheetId="37" r:id="rId33"/>
    <sheet name="0707" sheetId="38" r:id="rId34"/>
    <sheet name="0706" sheetId="39" r:id="rId35"/>
    <sheet name="0705" sheetId="40" r:id="rId36"/>
    <sheet name="0704" sheetId="41" r:id="rId37"/>
    <sheet name="0701" sheetId="42" r:id="rId38"/>
    <sheet name="old" sheetId="1" r:id="rId39"/>
    <sheet name="daily" sheetId="11" r:id="rId40"/>
    <sheet name="FORECAST" sheetId="2" r:id="rId41"/>
    <sheet name="timezones (jst)" sheetId="3" r:id="rId42"/>
  </sheets>
  <externalReferences>
    <externalReference r:id="rId43"/>
    <externalReference r:id="rId44"/>
    <externalReference r:id="rId45"/>
    <externalReference r:id="rId46"/>
  </externalReferences>
  <definedNames>
    <definedName name="HSI" localSheetId="37">[1]FLASH!#REF!</definedName>
    <definedName name="HSI" localSheetId="36">[1]FLASH!#REF!</definedName>
    <definedName name="HSI" localSheetId="35">[1]FLASH!#REF!</definedName>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40">[2]FLASH!#REF!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0" i="45" l="1"/>
  <c r="J23" i="17"/>
  <c r="I23" i="17"/>
  <c r="H23" i="17"/>
  <c r="G23" i="17"/>
  <c r="F23" i="17"/>
  <c r="E23" i="17"/>
  <c r="D23" i="17"/>
  <c r="C23" i="17"/>
  <c r="B23" i="17"/>
  <c r="A23" i="17"/>
  <c r="V14" i="46" l="1"/>
  <c r="V22" i="46"/>
  <c r="V29" i="46"/>
  <c r="V30" i="46"/>
  <c r="V36" i="46"/>
  <c r="V39" i="46"/>
  <c r="V49" i="46"/>
  <c r="V89" i="46"/>
  <c r="V89" i="47"/>
  <c r="V49" i="47"/>
  <c r="V39" i="47"/>
  <c r="V36" i="47"/>
  <c r="V30" i="47"/>
  <c r="V29" i="47"/>
  <c r="V22" i="47"/>
  <c r="V14" i="47"/>
  <c r="H73" i="14" l="1"/>
  <c r="G73" i="14"/>
  <c r="AC73" i="14" s="1"/>
  <c r="E92" i="47"/>
  <c r="E91" i="47"/>
  <c r="Q91" i="47" s="1"/>
  <c r="E90" i="47"/>
  <c r="E89" i="47"/>
  <c r="E88" i="47"/>
  <c r="E87" i="47"/>
  <c r="E86" i="47"/>
  <c r="E85" i="47"/>
  <c r="U85" i="47" s="1"/>
  <c r="E84" i="47"/>
  <c r="E83" i="47"/>
  <c r="E82" i="47"/>
  <c r="E81" i="47"/>
  <c r="E80" i="47"/>
  <c r="E79" i="47"/>
  <c r="E78" i="47"/>
  <c r="E77" i="47"/>
  <c r="U77" i="47" s="1"/>
  <c r="E76" i="47"/>
  <c r="E75" i="47"/>
  <c r="E74" i="47"/>
  <c r="E73" i="47"/>
  <c r="E72" i="47"/>
  <c r="E71" i="47"/>
  <c r="E70" i="47"/>
  <c r="E69" i="47"/>
  <c r="R69" i="47" s="1"/>
  <c r="E68" i="47"/>
  <c r="E67" i="47"/>
  <c r="E66" i="47"/>
  <c r="E65" i="47"/>
  <c r="E64" i="47"/>
  <c r="E63" i="47"/>
  <c r="E62" i="47"/>
  <c r="E61" i="47"/>
  <c r="T61" i="47" s="1"/>
  <c r="E60" i="47"/>
  <c r="E59" i="47"/>
  <c r="E58" i="47"/>
  <c r="E57" i="47"/>
  <c r="E56" i="47"/>
  <c r="E55" i="47"/>
  <c r="E54" i="47"/>
  <c r="E53" i="47"/>
  <c r="E52" i="47"/>
  <c r="E51" i="47"/>
  <c r="E50" i="47"/>
  <c r="E49" i="47"/>
  <c r="E48" i="47"/>
  <c r="E47" i="47"/>
  <c r="E46" i="47"/>
  <c r="E45" i="47"/>
  <c r="R45" i="47" s="1"/>
  <c r="E44" i="47"/>
  <c r="E43" i="47"/>
  <c r="E42" i="47"/>
  <c r="E41" i="47"/>
  <c r="E40" i="47"/>
  <c r="E39" i="47"/>
  <c r="E38" i="47"/>
  <c r="E37" i="47"/>
  <c r="R37" i="47" s="1"/>
  <c r="E36" i="47"/>
  <c r="E35" i="47"/>
  <c r="E34" i="47"/>
  <c r="E33" i="47"/>
  <c r="E32" i="47"/>
  <c r="E31" i="47"/>
  <c r="E30" i="47"/>
  <c r="E29" i="47"/>
  <c r="R29" i="47" s="1"/>
  <c r="E28" i="47"/>
  <c r="E27" i="47"/>
  <c r="E26" i="47"/>
  <c r="E25" i="47"/>
  <c r="E24" i="47"/>
  <c r="E23" i="47"/>
  <c r="E22" i="47"/>
  <c r="E21" i="47"/>
  <c r="U21" i="47" s="1"/>
  <c r="E20" i="47"/>
  <c r="E19" i="47"/>
  <c r="E18" i="47"/>
  <c r="E17" i="47"/>
  <c r="E16" i="47"/>
  <c r="E15" i="47"/>
  <c r="E14" i="47"/>
  <c r="T92" i="47"/>
  <c r="R92" i="47"/>
  <c r="P92" i="47"/>
  <c r="O92" i="47"/>
  <c r="Q92" i="47"/>
  <c r="O91" i="47"/>
  <c r="T90" i="47"/>
  <c r="R90" i="47"/>
  <c r="P90" i="47"/>
  <c r="O90" i="47"/>
  <c r="Q89" i="47"/>
  <c r="P89" i="47"/>
  <c r="O89" i="47"/>
  <c r="T89" i="47" s="1"/>
  <c r="T88" i="47"/>
  <c r="P88" i="47"/>
  <c r="O88" i="47"/>
  <c r="O87" i="47"/>
  <c r="R86" i="47"/>
  <c r="P86" i="47"/>
  <c r="O86" i="47"/>
  <c r="Q86" i="47" s="1"/>
  <c r="O85" i="47"/>
  <c r="T84" i="47"/>
  <c r="R84" i="47"/>
  <c r="O84" i="47"/>
  <c r="Q84" i="47"/>
  <c r="R83" i="47"/>
  <c r="O83" i="47"/>
  <c r="T82" i="47"/>
  <c r="R82" i="47"/>
  <c r="O82" i="47"/>
  <c r="P82" i="47"/>
  <c r="T81" i="47"/>
  <c r="R81" i="47"/>
  <c r="Q81" i="47"/>
  <c r="P81" i="47"/>
  <c r="S81" i="47" s="1"/>
  <c r="O81" i="47"/>
  <c r="T80" i="47"/>
  <c r="Q80" i="47"/>
  <c r="P80" i="47"/>
  <c r="O80" i="47"/>
  <c r="U79" i="47"/>
  <c r="O79" i="47"/>
  <c r="R78" i="47"/>
  <c r="P78" i="47"/>
  <c r="O78" i="47"/>
  <c r="Q78" i="47" s="1"/>
  <c r="O77" i="47"/>
  <c r="T76" i="47"/>
  <c r="R76" i="47"/>
  <c r="O76" i="47"/>
  <c r="Q76" i="47" s="1"/>
  <c r="P76" i="47"/>
  <c r="R75" i="47"/>
  <c r="O75" i="47"/>
  <c r="R74" i="47"/>
  <c r="O74" i="47"/>
  <c r="T74" i="47" s="1"/>
  <c r="P74" i="47"/>
  <c r="T73" i="47"/>
  <c r="R73" i="47"/>
  <c r="Q73" i="47"/>
  <c r="P73" i="47"/>
  <c r="O73" i="47"/>
  <c r="T72" i="47"/>
  <c r="Q72" i="47"/>
  <c r="P72" i="47"/>
  <c r="O72" i="47"/>
  <c r="U71" i="47"/>
  <c r="Q71" i="47"/>
  <c r="P71" i="47"/>
  <c r="O71" i="47"/>
  <c r="U70" i="47"/>
  <c r="P70" i="47"/>
  <c r="O70" i="47"/>
  <c r="Q70" i="47" s="1"/>
  <c r="T69" i="47"/>
  <c r="O69" i="47"/>
  <c r="U68" i="47"/>
  <c r="R68" i="47"/>
  <c r="Q68" i="47"/>
  <c r="P68" i="47"/>
  <c r="O68" i="47"/>
  <c r="U67" i="47"/>
  <c r="R67" i="47"/>
  <c r="P67" i="47"/>
  <c r="O67" i="47"/>
  <c r="T67" i="47" s="1"/>
  <c r="U66" i="47"/>
  <c r="O66" i="47"/>
  <c r="T65" i="47"/>
  <c r="R65" i="47"/>
  <c r="Q65" i="47"/>
  <c r="P65" i="47"/>
  <c r="O65" i="47"/>
  <c r="Q64" i="47"/>
  <c r="O64" i="47"/>
  <c r="T63" i="47"/>
  <c r="R63" i="47"/>
  <c r="P63" i="47"/>
  <c r="O63" i="47"/>
  <c r="Q62" i="47"/>
  <c r="P62" i="47"/>
  <c r="O62" i="47"/>
  <c r="T62" i="47" s="1"/>
  <c r="O61" i="47"/>
  <c r="Q60" i="47"/>
  <c r="O60" i="47"/>
  <c r="U60" i="47"/>
  <c r="R59" i="47"/>
  <c r="P59" i="47"/>
  <c r="O59" i="47"/>
  <c r="T59" i="47" s="1"/>
  <c r="U58" i="47"/>
  <c r="O58" i="47"/>
  <c r="Q58" i="47" s="1"/>
  <c r="U57" i="47"/>
  <c r="T57" i="47"/>
  <c r="R57" i="47"/>
  <c r="Q57" i="47"/>
  <c r="O57" i="47"/>
  <c r="P57" i="47"/>
  <c r="R56" i="47"/>
  <c r="Q56" i="47"/>
  <c r="O56" i="47"/>
  <c r="U56" i="47"/>
  <c r="R55" i="47"/>
  <c r="P55" i="47"/>
  <c r="O55" i="47"/>
  <c r="P54" i="47"/>
  <c r="O54" i="47"/>
  <c r="Q54" i="47" s="1"/>
  <c r="R54" i="47"/>
  <c r="O53" i="47"/>
  <c r="U52" i="47"/>
  <c r="R52" i="47"/>
  <c r="O52" i="47"/>
  <c r="Q52" i="47" s="1"/>
  <c r="R51" i="47"/>
  <c r="S51" i="47" s="1"/>
  <c r="P51" i="47"/>
  <c r="O51" i="47"/>
  <c r="Q51" i="47" s="1"/>
  <c r="U50" i="47"/>
  <c r="Q50" i="47"/>
  <c r="P50" i="47"/>
  <c r="O50" i="47"/>
  <c r="R50" i="47"/>
  <c r="O49" i="47"/>
  <c r="T48" i="47"/>
  <c r="R48" i="47"/>
  <c r="O48" i="47"/>
  <c r="Q48" i="47" s="1"/>
  <c r="P48" i="47"/>
  <c r="R47" i="47"/>
  <c r="Q47" i="47"/>
  <c r="P47" i="47"/>
  <c r="O47" i="47"/>
  <c r="T46" i="47"/>
  <c r="O46" i="47"/>
  <c r="U46" i="47"/>
  <c r="O45" i="47"/>
  <c r="R44" i="47"/>
  <c r="P44" i="47"/>
  <c r="O44" i="47"/>
  <c r="U43" i="47"/>
  <c r="T43" i="47"/>
  <c r="O43" i="47"/>
  <c r="R42" i="47"/>
  <c r="P42" i="47"/>
  <c r="O42" i="47"/>
  <c r="U41" i="47"/>
  <c r="T41" i="47"/>
  <c r="O41" i="47"/>
  <c r="P41" i="47"/>
  <c r="T40" i="47"/>
  <c r="R40" i="47"/>
  <c r="Q40" i="47"/>
  <c r="O40" i="47"/>
  <c r="P40" i="47"/>
  <c r="T39" i="47"/>
  <c r="R39" i="47"/>
  <c r="Q39" i="47"/>
  <c r="P39" i="47"/>
  <c r="O39" i="47"/>
  <c r="U38" i="47"/>
  <c r="T38" i="47"/>
  <c r="P38" i="47"/>
  <c r="O38" i="47"/>
  <c r="R38" i="47"/>
  <c r="U37" i="47"/>
  <c r="O37" i="47"/>
  <c r="R36" i="47"/>
  <c r="P36" i="47"/>
  <c r="O36" i="47"/>
  <c r="U36" i="47"/>
  <c r="U35" i="47"/>
  <c r="R35" i="47"/>
  <c r="P35" i="47"/>
  <c r="O35" i="47"/>
  <c r="O34" i="47"/>
  <c r="O33" i="47"/>
  <c r="R32" i="47"/>
  <c r="P32" i="47"/>
  <c r="O32" i="47"/>
  <c r="U31" i="47"/>
  <c r="T31" i="47"/>
  <c r="Q31" i="47"/>
  <c r="P31" i="47"/>
  <c r="O31" i="47"/>
  <c r="R31" i="47"/>
  <c r="O30" i="47"/>
  <c r="U30" i="47"/>
  <c r="O29" i="47"/>
  <c r="U28" i="47"/>
  <c r="O28" i="47"/>
  <c r="U27" i="47"/>
  <c r="T27" i="47"/>
  <c r="R27" i="47"/>
  <c r="Q27" i="47"/>
  <c r="O27" i="47"/>
  <c r="P27" i="47"/>
  <c r="U26" i="47"/>
  <c r="T26" i="47"/>
  <c r="R26" i="47"/>
  <c r="Q26" i="47"/>
  <c r="O26" i="47"/>
  <c r="P26" i="47"/>
  <c r="R25" i="47"/>
  <c r="O25" i="47"/>
  <c r="T25" i="47" s="1"/>
  <c r="P25" i="47"/>
  <c r="R24" i="47"/>
  <c r="P24" i="47"/>
  <c r="O24" i="47"/>
  <c r="T24" i="47" s="1"/>
  <c r="O23" i="47"/>
  <c r="U22" i="47"/>
  <c r="O22" i="47"/>
  <c r="O21" i="47"/>
  <c r="U20" i="47"/>
  <c r="R20" i="47"/>
  <c r="P20" i="47"/>
  <c r="O20" i="47"/>
  <c r="Q20" i="47" s="1"/>
  <c r="Q19" i="47"/>
  <c r="P19" i="47"/>
  <c r="O19" i="47"/>
  <c r="U19" i="47"/>
  <c r="U18" i="47"/>
  <c r="O18" i="47"/>
  <c r="T18" i="47"/>
  <c r="T17" i="47"/>
  <c r="R17" i="47"/>
  <c r="Q17" i="47"/>
  <c r="O17" i="47"/>
  <c r="P17" i="47"/>
  <c r="R16" i="47"/>
  <c r="Q16" i="47"/>
  <c r="P16" i="47"/>
  <c r="O16" i="47"/>
  <c r="T16" i="47" s="1"/>
  <c r="U15" i="47"/>
  <c r="O15" i="47"/>
  <c r="T14" i="47"/>
  <c r="R14" i="47"/>
  <c r="Q14" i="47"/>
  <c r="P14" i="47"/>
  <c r="O14" i="47"/>
  <c r="L13" i="47"/>
  <c r="K13" i="47"/>
  <c r="J13" i="47"/>
  <c r="I13" i="47"/>
  <c r="H13" i="47"/>
  <c r="O9" i="47"/>
  <c r="N9" i="47"/>
  <c r="J9" i="47"/>
  <c r="F9" i="47"/>
  <c r="B9" i="47"/>
  <c r="P8" i="47"/>
  <c r="K8" i="47"/>
  <c r="J8" i="47"/>
  <c r="B8" i="47"/>
  <c r="O8" i="47" s="1"/>
  <c r="O7" i="47"/>
  <c r="L7" i="47"/>
  <c r="J7" i="47"/>
  <c r="B7" i="47"/>
  <c r="P6" i="47"/>
  <c r="K6" i="47"/>
  <c r="J6" i="47"/>
  <c r="B6" i="47"/>
  <c r="O6" i="47" s="1"/>
  <c r="J5" i="47"/>
  <c r="B5" i="47"/>
  <c r="L5" i="47" s="1"/>
  <c r="J4" i="47"/>
  <c r="B4" i="47"/>
  <c r="P3" i="47"/>
  <c r="N3" i="47"/>
  <c r="J3" i="47"/>
  <c r="F3" i="47"/>
  <c r="B3" i="47"/>
  <c r="J2" i="47"/>
  <c r="B2" i="47"/>
  <c r="BI1" i="47"/>
  <c r="O1" i="47"/>
  <c r="N1" i="47"/>
  <c r="M1" i="47"/>
  <c r="L1" i="47"/>
  <c r="AW73" i="14" l="1"/>
  <c r="P29" i="47"/>
  <c r="P45" i="47"/>
  <c r="Q45" i="47"/>
  <c r="S50" i="47"/>
  <c r="P61" i="47"/>
  <c r="P21" i="47"/>
  <c r="S73" i="47"/>
  <c r="R21" i="47"/>
  <c r="P69" i="47"/>
  <c r="Q37" i="47"/>
  <c r="S39" i="47"/>
  <c r="S48" i="47"/>
  <c r="S20" i="47"/>
  <c r="Q29" i="47"/>
  <c r="O13" i="47"/>
  <c r="P1" i="47" s="1"/>
  <c r="T32" i="47"/>
  <c r="Q32" i="47"/>
  <c r="P33" i="47"/>
  <c r="T33" i="47"/>
  <c r="R33" i="47"/>
  <c r="U33" i="47"/>
  <c r="K2" i="47"/>
  <c r="O3" i="47"/>
  <c r="K4" i="47"/>
  <c r="F5" i="47"/>
  <c r="P5" i="47"/>
  <c r="N7" i="47"/>
  <c r="R23" i="47"/>
  <c r="T23" i="47"/>
  <c r="Q23" i="47"/>
  <c r="P23" i="47"/>
  <c r="U23" i="47"/>
  <c r="C4" i="47"/>
  <c r="M4" i="47"/>
  <c r="Q35" i="47"/>
  <c r="T35" i="47"/>
  <c r="B10" i="47"/>
  <c r="L2" i="47"/>
  <c r="F2" i="47"/>
  <c r="N2" i="47"/>
  <c r="F4" i="47"/>
  <c r="N4" i="47"/>
  <c r="K7" i="47"/>
  <c r="P7" i="47"/>
  <c r="M7" i="47"/>
  <c r="C7" i="47"/>
  <c r="R15" i="47"/>
  <c r="P15" i="47"/>
  <c r="E13" i="47"/>
  <c r="K1" i="47" s="1"/>
  <c r="T15" i="47"/>
  <c r="S16" i="47"/>
  <c r="M2" i="47"/>
  <c r="O2" i="47"/>
  <c r="K3" i="47"/>
  <c r="O4" i="47"/>
  <c r="K5" i="47"/>
  <c r="F7" i="47"/>
  <c r="Q15" i="47"/>
  <c r="L4" i="47"/>
  <c r="S14" i="47"/>
  <c r="M5" i="47"/>
  <c r="C5" i="47"/>
  <c r="O5" i="47"/>
  <c r="P2" i="47"/>
  <c r="L3" i="47"/>
  <c r="P4" i="47"/>
  <c r="C3" i="47"/>
  <c r="M3" i="47"/>
  <c r="N5" i="47"/>
  <c r="S17" i="47"/>
  <c r="S27" i="47"/>
  <c r="C9" i="47"/>
  <c r="M9" i="47"/>
  <c r="T28" i="47"/>
  <c r="S31" i="47"/>
  <c r="T22" i="47"/>
  <c r="P30" i="47"/>
  <c r="T30" i="47"/>
  <c r="Q33" i="47"/>
  <c r="S35" i="47"/>
  <c r="S45" i="47"/>
  <c r="L6" i="47"/>
  <c r="L8" i="47"/>
  <c r="P9" i="47"/>
  <c r="U17" i="47"/>
  <c r="P18" i="47"/>
  <c r="R19" i="47"/>
  <c r="T20" i="47"/>
  <c r="Q25" i="47"/>
  <c r="U34" i="47"/>
  <c r="T34" i="47"/>
  <c r="C6" i="47"/>
  <c r="M6" i="47"/>
  <c r="C8" i="47"/>
  <c r="M8" i="47"/>
  <c r="Q9" i="47"/>
  <c r="U14" i="47"/>
  <c r="Q18" i="47"/>
  <c r="T19" i="47"/>
  <c r="T21" i="47"/>
  <c r="Q24" i="47"/>
  <c r="Q28" i="47"/>
  <c r="Q34" i="47"/>
  <c r="T42" i="47"/>
  <c r="Q42" i="47"/>
  <c r="F6" i="47"/>
  <c r="N6" i="47"/>
  <c r="F8" i="47"/>
  <c r="N8" i="47"/>
  <c r="R18" i="47"/>
  <c r="P22" i="47"/>
  <c r="P28" i="47"/>
  <c r="Q30" i="47"/>
  <c r="S32" i="47"/>
  <c r="P34" i="47"/>
  <c r="K9" i="47"/>
  <c r="U16" i="47"/>
  <c r="Q21" i="47"/>
  <c r="Q22" i="47"/>
  <c r="S26" i="47"/>
  <c r="R28" i="47"/>
  <c r="R30" i="47"/>
  <c r="R34" i="47"/>
  <c r="L9" i="47"/>
  <c r="R22" i="47"/>
  <c r="S40" i="47"/>
  <c r="U25" i="47"/>
  <c r="T37" i="47"/>
  <c r="R41" i="47"/>
  <c r="T36" i="47"/>
  <c r="R43" i="47"/>
  <c r="P43" i="47"/>
  <c r="Q7" i="47" s="1"/>
  <c r="Q66" i="47"/>
  <c r="U24" i="47"/>
  <c r="T29" i="47"/>
  <c r="U32" i="47"/>
  <c r="P37" i="47"/>
  <c r="Q38" i="47"/>
  <c r="Q43" i="47"/>
  <c r="S54" i="47"/>
  <c r="Q55" i="47"/>
  <c r="T55" i="47"/>
  <c r="U29" i="47"/>
  <c r="Q36" i="47"/>
  <c r="S36" i="47" s="1"/>
  <c r="Q44" i="47"/>
  <c r="T47" i="47"/>
  <c r="Q49" i="47"/>
  <c r="S44" i="47"/>
  <c r="S47" i="47"/>
  <c r="U53" i="47"/>
  <c r="V6" i="47" s="1"/>
  <c r="T53" i="47"/>
  <c r="R53" i="47"/>
  <c r="Q53" i="47"/>
  <c r="P53" i="47"/>
  <c r="S57" i="47"/>
  <c r="Q41" i="47"/>
  <c r="R46" i="47"/>
  <c r="Q46" i="47"/>
  <c r="P46" i="47"/>
  <c r="U40" i="47"/>
  <c r="T45" i="47"/>
  <c r="U48" i="47"/>
  <c r="P49" i="47"/>
  <c r="T50" i="47"/>
  <c r="T51" i="47"/>
  <c r="P52" i="47"/>
  <c r="T52" i="47"/>
  <c r="U45" i="47"/>
  <c r="U42" i="47"/>
  <c r="R49" i="47"/>
  <c r="T54" i="47"/>
  <c r="T56" i="47"/>
  <c r="P56" i="47"/>
  <c r="U39" i="47"/>
  <c r="T44" i="47"/>
  <c r="U47" i="47"/>
  <c r="U54" i="47"/>
  <c r="T58" i="47"/>
  <c r="R58" i="47"/>
  <c r="P58" i="47"/>
  <c r="S59" i="47"/>
  <c r="S65" i="47"/>
  <c r="U44" i="47"/>
  <c r="T49" i="47"/>
  <c r="U49" i="47"/>
  <c r="R60" i="47"/>
  <c r="P60" i="47"/>
  <c r="T60" i="47"/>
  <c r="T66" i="47"/>
  <c r="R66" i="47"/>
  <c r="P66" i="47"/>
  <c r="Q77" i="47"/>
  <c r="U55" i="47"/>
  <c r="Q59" i="47"/>
  <c r="R62" i="47"/>
  <c r="U63" i="47"/>
  <c r="P64" i="47"/>
  <c r="Q4" i="47" s="1"/>
  <c r="Q67" i="47"/>
  <c r="T68" i="47"/>
  <c r="U69" i="47"/>
  <c r="T70" i="47"/>
  <c r="S72" i="47"/>
  <c r="T77" i="47"/>
  <c r="R77" i="47"/>
  <c r="P77" i="47"/>
  <c r="S86" i="47"/>
  <c r="R87" i="47"/>
  <c r="Q87" i="47"/>
  <c r="P87" i="47"/>
  <c r="T87" i="47"/>
  <c r="S92" i="47"/>
  <c r="Q61" i="47"/>
  <c r="R64" i="47"/>
  <c r="U65" i="47"/>
  <c r="R61" i="47"/>
  <c r="U62" i="47"/>
  <c r="Q69" i="47"/>
  <c r="Q75" i="47"/>
  <c r="U51" i="47"/>
  <c r="U59" i="47"/>
  <c r="Q63" i="47"/>
  <c r="T64" i="47"/>
  <c r="R70" i="47"/>
  <c r="R71" i="47"/>
  <c r="T71" i="47"/>
  <c r="S76" i="47"/>
  <c r="S78" i="47"/>
  <c r="R79" i="47"/>
  <c r="S5" i="47" s="1"/>
  <c r="Q79" i="47"/>
  <c r="P79" i="47"/>
  <c r="T79" i="47"/>
  <c r="U87" i="47"/>
  <c r="U64" i="47"/>
  <c r="S68" i="47"/>
  <c r="T85" i="47"/>
  <c r="R85" i="47"/>
  <c r="P85" i="47"/>
  <c r="U61" i="47"/>
  <c r="Q74" i="47"/>
  <c r="Q83" i="47"/>
  <c r="Q85" i="47"/>
  <c r="U74" i="47"/>
  <c r="P75" i="47"/>
  <c r="U82" i="47"/>
  <c r="P83" i="47"/>
  <c r="R89" i="47"/>
  <c r="U90" i="47"/>
  <c r="P91" i="47"/>
  <c r="U76" i="47"/>
  <c r="U84" i="47"/>
  <c r="Q88" i="47"/>
  <c r="R91" i="47"/>
  <c r="U92" i="47"/>
  <c r="R72" i="47"/>
  <c r="U73" i="47"/>
  <c r="T78" i="47"/>
  <c r="R80" i="47"/>
  <c r="U81" i="47"/>
  <c r="T86" i="47"/>
  <c r="R88" i="47"/>
  <c r="U89" i="47"/>
  <c r="T75" i="47"/>
  <c r="U78" i="47"/>
  <c r="Q82" i="47"/>
  <c r="T83" i="47"/>
  <c r="U86" i="47"/>
  <c r="Q90" i="47"/>
  <c r="S90" i="47" s="1"/>
  <c r="T91" i="47"/>
  <c r="U75" i="47"/>
  <c r="U83" i="47"/>
  <c r="P84" i="47"/>
  <c r="U91" i="47"/>
  <c r="U72" i="47"/>
  <c r="U80" i="47"/>
  <c r="U88" i="47"/>
  <c r="P13" i="47" l="1"/>
  <c r="Q1" i="47" s="1"/>
  <c r="S9" i="47"/>
  <c r="Q3" i="47"/>
  <c r="U8" i="47"/>
  <c r="S74" i="47"/>
  <c r="U3" i="47"/>
  <c r="S55" i="47"/>
  <c r="S63" i="47"/>
  <c r="S42" i="47"/>
  <c r="S67" i="47"/>
  <c r="S49" i="47"/>
  <c r="S21" i="47"/>
  <c r="S80" i="47"/>
  <c r="S61" i="47"/>
  <c r="S46" i="47"/>
  <c r="S41" i="47"/>
  <c r="R5" i="47"/>
  <c r="R2" i="47"/>
  <c r="R3" i="47"/>
  <c r="R7" i="47"/>
  <c r="S2" i="47"/>
  <c r="S33" i="47"/>
  <c r="S79" i="47"/>
  <c r="U9" i="47"/>
  <c r="S89" i="47"/>
  <c r="S88" i="47"/>
  <c r="S82" i="47"/>
  <c r="S87" i="47"/>
  <c r="S8" i="47"/>
  <c r="S38" i="47"/>
  <c r="V7" i="47"/>
  <c r="F10" i="47"/>
  <c r="C10" i="47"/>
  <c r="S30" i="47"/>
  <c r="V3" i="47"/>
  <c r="V2" i="47"/>
  <c r="S23" i="47"/>
  <c r="S75" i="47"/>
  <c r="S58" i="47"/>
  <c r="V9" i="47"/>
  <c r="S28" i="47"/>
  <c r="R9" i="47"/>
  <c r="S29" i="47"/>
  <c r="U6" i="47"/>
  <c r="S18" i="47"/>
  <c r="R6" i="47"/>
  <c r="Q8" i="47"/>
  <c r="S25" i="47"/>
  <c r="T13" i="47"/>
  <c r="U1" i="47" s="1"/>
  <c r="S7" i="47"/>
  <c r="S24" i="47"/>
  <c r="S56" i="47"/>
  <c r="S83" i="47"/>
  <c r="S85" i="47"/>
  <c r="S77" i="47"/>
  <c r="S62" i="47"/>
  <c r="S66" i="47"/>
  <c r="S52" i="47"/>
  <c r="S53" i="47"/>
  <c r="S34" i="47"/>
  <c r="V8" i="47"/>
  <c r="R8" i="47"/>
  <c r="U13" i="47"/>
  <c r="V1" i="47" s="1"/>
  <c r="V5" i="47"/>
  <c r="C2" i="47"/>
  <c r="U4" i="47"/>
  <c r="R13" i="47"/>
  <c r="S1" i="47" s="1"/>
  <c r="S84" i="47"/>
  <c r="S70" i="47"/>
  <c r="R4" i="47"/>
  <c r="S60" i="47"/>
  <c r="S71" i="47"/>
  <c r="S69" i="47"/>
  <c r="S43" i="47"/>
  <c r="Q13" i="47"/>
  <c r="R1" i="47" s="1"/>
  <c r="Q6" i="47"/>
  <c r="U7" i="47"/>
  <c r="V4" i="47"/>
  <c r="S37" i="47"/>
  <c r="S64" i="47"/>
  <c r="Q5" i="47"/>
  <c r="S91" i="47"/>
  <c r="S22" i="47"/>
  <c r="Q2" i="47"/>
  <c r="U5" i="47"/>
  <c r="S13" i="47"/>
  <c r="T1" i="47" s="1"/>
  <c r="S19" i="47"/>
  <c r="S3" i="47"/>
  <c r="S15" i="47"/>
  <c r="S4" i="47"/>
  <c r="S6" i="47"/>
  <c r="U2" i="47"/>
  <c r="BI1" i="46"/>
  <c r="BI1" i="45"/>
  <c r="E13" i="44"/>
  <c r="T3" i="47" l="1"/>
  <c r="T8" i="47"/>
  <c r="T6" i="47"/>
  <c r="T4" i="47"/>
  <c r="T9" i="47"/>
  <c r="T5" i="47"/>
  <c r="T7" i="47"/>
  <c r="T2" i="47"/>
  <c r="A22" i="17"/>
  <c r="A21" i="17"/>
  <c r="A20" i="17"/>
  <c r="C31" i="14" l="1"/>
  <c r="D31" i="14"/>
  <c r="E31" i="14"/>
  <c r="C30" i="14" a="1"/>
  <c r="C30" i="14" s="1"/>
  <c r="D30" i="14" a="1"/>
  <c r="D30" i="14" s="1"/>
  <c r="E30" i="14" a="1"/>
  <c r="E30" i="14" s="1"/>
  <c r="G72" i="14" l="1"/>
  <c r="E92" i="46"/>
  <c r="E91" i="46"/>
  <c r="E90" i="46"/>
  <c r="E89" i="46"/>
  <c r="E88" i="46"/>
  <c r="E87" i="46"/>
  <c r="E86" i="46"/>
  <c r="R86" i="46" s="1"/>
  <c r="E85" i="46"/>
  <c r="R85" i="46" s="1"/>
  <c r="E84" i="46"/>
  <c r="E83" i="46"/>
  <c r="E82" i="46"/>
  <c r="E81" i="46"/>
  <c r="E80" i="46"/>
  <c r="P80" i="46" s="1"/>
  <c r="E79" i="46"/>
  <c r="E78" i="46"/>
  <c r="R78" i="46" s="1"/>
  <c r="E77" i="46"/>
  <c r="R77" i="46" s="1"/>
  <c r="E76" i="46"/>
  <c r="E75" i="46"/>
  <c r="E74" i="46"/>
  <c r="E73" i="46"/>
  <c r="E72" i="46"/>
  <c r="P72" i="46" s="1"/>
  <c r="E71" i="46"/>
  <c r="E70" i="46"/>
  <c r="R70" i="46" s="1"/>
  <c r="E69" i="46"/>
  <c r="R69" i="46" s="1"/>
  <c r="E68" i="46"/>
  <c r="E67" i="46"/>
  <c r="E66" i="46"/>
  <c r="E65" i="46"/>
  <c r="E64" i="46"/>
  <c r="R64" i="46" s="1"/>
  <c r="E63" i="46"/>
  <c r="R63" i="46" s="1"/>
  <c r="E62" i="46"/>
  <c r="E61" i="46"/>
  <c r="E60" i="46"/>
  <c r="E59" i="46"/>
  <c r="E58" i="46"/>
  <c r="E57" i="46"/>
  <c r="E56" i="46"/>
  <c r="E55" i="46"/>
  <c r="Q55" i="46" s="1"/>
  <c r="E54" i="46"/>
  <c r="E53" i="46"/>
  <c r="U53" i="46" s="1"/>
  <c r="E52" i="46"/>
  <c r="E51" i="46"/>
  <c r="E50" i="46"/>
  <c r="E49" i="46"/>
  <c r="E48" i="46"/>
  <c r="P48" i="46" s="1"/>
  <c r="E47" i="46"/>
  <c r="E46" i="46"/>
  <c r="P46" i="46" s="1"/>
  <c r="E45" i="46"/>
  <c r="U45" i="46" s="1"/>
  <c r="E44" i="46"/>
  <c r="E43" i="46"/>
  <c r="E42" i="46"/>
  <c r="E41" i="46"/>
  <c r="E40" i="46"/>
  <c r="R40" i="46" s="1"/>
  <c r="E39" i="46"/>
  <c r="P39" i="46" s="1"/>
  <c r="E38" i="46"/>
  <c r="E37" i="46"/>
  <c r="R37" i="46" s="1"/>
  <c r="E36" i="46"/>
  <c r="E35" i="46"/>
  <c r="E34" i="46"/>
  <c r="E33" i="46"/>
  <c r="E32" i="46"/>
  <c r="E31" i="46"/>
  <c r="R31" i="46" s="1"/>
  <c r="E30" i="46"/>
  <c r="P30" i="46" s="1"/>
  <c r="E29" i="46"/>
  <c r="U29" i="46" s="1"/>
  <c r="E28" i="46"/>
  <c r="E27" i="46"/>
  <c r="E26" i="46"/>
  <c r="E25" i="46"/>
  <c r="E24" i="46"/>
  <c r="E23" i="46"/>
  <c r="R23" i="46" s="1"/>
  <c r="E22" i="46"/>
  <c r="E21" i="46"/>
  <c r="E20" i="46"/>
  <c r="E19" i="46"/>
  <c r="E18" i="46"/>
  <c r="E17" i="46"/>
  <c r="E16" i="46"/>
  <c r="E15" i="46"/>
  <c r="U15" i="46" s="1"/>
  <c r="E14" i="46"/>
  <c r="P14" i="46" s="1"/>
  <c r="T92" i="46"/>
  <c r="O92" i="46"/>
  <c r="Q92" i="46" s="1"/>
  <c r="R92" i="46"/>
  <c r="R91" i="46"/>
  <c r="O91" i="46"/>
  <c r="Q91" i="46" s="1"/>
  <c r="R90" i="46"/>
  <c r="P90" i="46"/>
  <c r="O90" i="46"/>
  <c r="T90" i="46" s="1"/>
  <c r="P89" i="46"/>
  <c r="O89" i="46"/>
  <c r="Q89" i="46" s="1"/>
  <c r="P88" i="46"/>
  <c r="O88" i="46"/>
  <c r="U87" i="46"/>
  <c r="O87" i="46"/>
  <c r="O86" i="46"/>
  <c r="P85" i="46"/>
  <c r="O85" i="46"/>
  <c r="O84" i="46"/>
  <c r="T84" i="46" s="1"/>
  <c r="R84" i="46"/>
  <c r="T83" i="46"/>
  <c r="R83" i="46"/>
  <c r="O83" i="46"/>
  <c r="Q83" i="46" s="1"/>
  <c r="R82" i="46"/>
  <c r="P82" i="46"/>
  <c r="O82" i="46"/>
  <c r="T81" i="46"/>
  <c r="P81" i="46"/>
  <c r="O81" i="46"/>
  <c r="Q81" i="46" s="1"/>
  <c r="O80" i="46"/>
  <c r="O79" i="46"/>
  <c r="O78" i="46"/>
  <c r="O77" i="46"/>
  <c r="Q76" i="46"/>
  <c r="O76" i="46"/>
  <c r="T76" i="46" s="1"/>
  <c r="R76" i="46"/>
  <c r="R75" i="46"/>
  <c r="O75" i="46"/>
  <c r="T75" i="46" s="1"/>
  <c r="R74" i="46"/>
  <c r="P74" i="46"/>
  <c r="O74" i="46"/>
  <c r="T74" i="46" s="1"/>
  <c r="T73" i="46"/>
  <c r="P73" i="46"/>
  <c r="O73" i="46"/>
  <c r="Q73" i="46" s="1"/>
  <c r="O72" i="46"/>
  <c r="O71" i="46"/>
  <c r="U71" i="46"/>
  <c r="O70" i="46"/>
  <c r="O69" i="46"/>
  <c r="O68" i="46"/>
  <c r="T68" i="46" s="1"/>
  <c r="P68" i="46"/>
  <c r="R67" i="46"/>
  <c r="P67" i="46"/>
  <c r="O67" i="46"/>
  <c r="T66" i="46"/>
  <c r="R66" i="46"/>
  <c r="P66" i="46"/>
  <c r="O66" i="46"/>
  <c r="Q66" i="46" s="1"/>
  <c r="O65" i="46"/>
  <c r="Q65" i="46" s="1"/>
  <c r="P65" i="46"/>
  <c r="T64" i="46"/>
  <c r="O64" i="46"/>
  <c r="O63" i="46"/>
  <c r="P62" i="46"/>
  <c r="O62" i="46"/>
  <c r="U61" i="46"/>
  <c r="O61" i="46"/>
  <c r="T60" i="46"/>
  <c r="R60" i="46"/>
  <c r="Q60" i="46"/>
  <c r="P60" i="46"/>
  <c r="O60" i="46"/>
  <c r="U59" i="46"/>
  <c r="O59" i="46"/>
  <c r="Q59" i="46" s="1"/>
  <c r="R58" i="46"/>
  <c r="P58" i="46"/>
  <c r="O58" i="46"/>
  <c r="T58" i="46" s="1"/>
  <c r="O57" i="46"/>
  <c r="U57" i="46"/>
  <c r="T56" i="46"/>
  <c r="R56" i="46"/>
  <c r="O56" i="46"/>
  <c r="O55" i="46"/>
  <c r="R54" i="46"/>
  <c r="O54" i="46"/>
  <c r="O53" i="46"/>
  <c r="U52" i="46"/>
  <c r="R52" i="46"/>
  <c r="P52" i="46"/>
  <c r="O52" i="46"/>
  <c r="T52" i="46" s="1"/>
  <c r="R51" i="46"/>
  <c r="O51" i="46"/>
  <c r="Q51" i="46" s="1"/>
  <c r="U51" i="46"/>
  <c r="R50" i="46"/>
  <c r="P50" i="46"/>
  <c r="O50" i="46"/>
  <c r="Q50" i="46" s="1"/>
  <c r="O49" i="46"/>
  <c r="R49" i="46"/>
  <c r="O48" i="46"/>
  <c r="P47" i="46"/>
  <c r="O47" i="46"/>
  <c r="O46" i="46"/>
  <c r="O45" i="46"/>
  <c r="R44" i="46"/>
  <c r="P44" i="46"/>
  <c r="O44" i="46"/>
  <c r="O43" i="46"/>
  <c r="Q43" i="46" s="1"/>
  <c r="R42" i="46"/>
  <c r="P42" i="46"/>
  <c r="O42" i="46"/>
  <c r="T42" i="46" s="1"/>
  <c r="U41" i="46"/>
  <c r="O41" i="46"/>
  <c r="O40" i="46"/>
  <c r="T40" i="46" s="1"/>
  <c r="O39" i="46"/>
  <c r="U38" i="46"/>
  <c r="P38" i="46"/>
  <c r="O38" i="46"/>
  <c r="U37" i="46"/>
  <c r="O37" i="46"/>
  <c r="R36" i="46"/>
  <c r="P36" i="46"/>
  <c r="O36" i="46"/>
  <c r="T36" i="46" s="1"/>
  <c r="P35" i="46"/>
  <c r="O35" i="46"/>
  <c r="R35" i="46"/>
  <c r="U34" i="46"/>
  <c r="O34" i="46"/>
  <c r="T34" i="46"/>
  <c r="U33" i="46"/>
  <c r="O33" i="46"/>
  <c r="Q33" i="46" s="1"/>
  <c r="P32" i="46"/>
  <c r="O32" i="46"/>
  <c r="P31" i="46"/>
  <c r="O31" i="46"/>
  <c r="U30" i="46"/>
  <c r="R30" i="46"/>
  <c r="O30" i="46"/>
  <c r="Q30" i="46" s="1"/>
  <c r="O29" i="46"/>
  <c r="R28" i="46"/>
  <c r="P28" i="46"/>
  <c r="O28" i="46"/>
  <c r="T28" i="46" s="1"/>
  <c r="U27" i="46"/>
  <c r="O27" i="46"/>
  <c r="R26" i="46"/>
  <c r="P26" i="46"/>
  <c r="O26" i="46"/>
  <c r="Q26" i="46" s="1"/>
  <c r="O25" i="46"/>
  <c r="P25" i="46"/>
  <c r="O24" i="46"/>
  <c r="O23" i="46"/>
  <c r="O22" i="46"/>
  <c r="O21" i="46"/>
  <c r="U21" i="46"/>
  <c r="R20" i="46"/>
  <c r="P20" i="46"/>
  <c r="O20" i="46"/>
  <c r="Q20" i="46" s="1"/>
  <c r="O19" i="46"/>
  <c r="R18" i="46"/>
  <c r="P18" i="46"/>
  <c r="O18" i="46"/>
  <c r="Q18" i="46" s="1"/>
  <c r="O17" i="46"/>
  <c r="U17" i="46"/>
  <c r="P16" i="46"/>
  <c r="O16" i="46"/>
  <c r="T16" i="46" s="1"/>
  <c r="O15" i="46"/>
  <c r="R14" i="46"/>
  <c r="O14" i="46"/>
  <c r="L13" i="46"/>
  <c r="O1" i="46" s="1"/>
  <c r="K13" i="46"/>
  <c r="N1" i="46" s="1"/>
  <c r="J13" i="46"/>
  <c r="M1" i="46" s="1"/>
  <c r="I13" i="46"/>
  <c r="H13" i="46"/>
  <c r="J9" i="46"/>
  <c r="B9" i="46"/>
  <c r="N9" i="46" s="1"/>
  <c r="J8" i="46"/>
  <c r="B8" i="46"/>
  <c r="P8" i="46" s="1"/>
  <c r="J7" i="46"/>
  <c r="B7" i="46"/>
  <c r="N7" i="46" s="1"/>
  <c r="J6" i="46"/>
  <c r="B6" i="46"/>
  <c r="P6" i="46" s="1"/>
  <c r="J5" i="46"/>
  <c r="B5" i="46"/>
  <c r="F5" i="46" s="1"/>
  <c r="F22" i="17" s="1"/>
  <c r="J4" i="46"/>
  <c r="B4" i="46"/>
  <c r="P4" i="46" s="1"/>
  <c r="J3" i="46"/>
  <c r="B3" i="46"/>
  <c r="N3" i="46" s="1"/>
  <c r="J2" i="46"/>
  <c r="B2" i="46"/>
  <c r="P2" i="46" s="1"/>
  <c r="L1" i="46"/>
  <c r="T20" i="46" l="1"/>
  <c r="Q28" i="46"/>
  <c r="T43" i="46"/>
  <c r="T22" i="46"/>
  <c r="T62" i="46"/>
  <c r="T18" i="46"/>
  <c r="T24" i="46"/>
  <c r="T32" i="46"/>
  <c r="T26" i="46"/>
  <c r="Q84" i="46"/>
  <c r="Q42" i="46"/>
  <c r="S50" i="46"/>
  <c r="Q75" i="46"/>
  <c r="Q61" i="46"/>
  <c r="P23" i="46"/>
  <c r="S26" i="46"/>
  <c r="Q47" i="46"/>
  <c r="R55" i="46"/>
  <c r="Q23" i="46"/>
  <c r="Q31" i="46"/>
  <c r="Q71" i="46"/>
  <c r="Q15" i="46"/>
  <c r="P55" i="46"/>
  <c r="P63" i="46"/>
  <c r="Q39" i="46"/>
  <c r="Q63" i="46"/>
  <c r="AC72" i="14"/>
  <c r="AW72" i="14"/>
  <c r="F3" i="46"/>
  <c r="D22" i="17" s="1"/>
  <c r="N5" i="46"/>
  <c r="F9" i="46"/>
  <c r="J22" i="17" s="1"/>
  <c r="F7" i="46"/>
  <c r="H22" i="17" s="1"/>
  <c r="R16" i="46"/>
  <c r="T30" i="46"/>
  <c r="Q32" i="46"/>
  <c r="T38" i="46"/>
  <c r="U48" i="46"/>
  <c r="P54" i="46"/>
  <c r="U70" i="46"/>
  <c r="P78" i="46"/>
  <c r="P22" i="46"/>
  <c r="R32" i="46"/>
  <c r="S32" i="46" s="1"/>
  <c r="T54" i="46"/>
  <c r="R62" i="46"/>
  <c r="S63" i="46"/>
  <c r="P69" i="46"/>
  <c r="R22" i="46"/>
  <c r="R24" i="46"/>
  <c r="Q40" i="46"/>
  <c r="P77" i="46"/>
  <c r="P86" i="46"/>
  <c r="S31" i="46"/>
  <c r="Q14" i="46"/>
  <c r="S14" i="46" s="1"/>
  <c r="Q16" i="46"/>
  <c r="P40" i="46"/>
  <c r="T86" i="46"/>
  <c r="T69" i="46"/>
  <c r="S66" i="46"/>
  <c r="M3" i="46"/>
  <c r="M5" i="46"/>
  <c r="M7" i="46"/>
  <c r="M9" i="46"/>
  <c r="O13" i="46"/>
  <c r="P1" i="46" s="1"/>
  <c r="Q27" i="46"/>
  <c r="K2" i="46"/>
  <c r="O3" i="46"/>
  <c r="K4" i="46"/>
  <c r="O5" i="46"/>
  <c r="K6" i="46"/>
  <c r="O7" i="46"/>
  <c r="K8" i="46"/>
  <c r="O9" i="46"/>
  <c r="B10" i="46"/>
  <c r="T14" i="46"/>
  <c r="P15" i="46"/>
  <c r="E13" i="46"/>
  <c r="K1" i="46" s="1"/>
  <c r="T15" i="46"/>
  <c r="T19" i="46"/>
  <c r="R19" i="46"/>
  <c r="P19" i="46"/>
  <c r="S28" i="46"/>
  <c r="L2" i="46"/>
  <c r="P3" i="46"/>
  <c r="L4" i="46"/>
  <c r="P5" i="46"/>
  <c r="L6" i="46"/>
  <c r="P7" i="46"/>
  <c r="L8" i="46"/>
  <c r="P9" i="46"/>
  <c r="P17" i="46"/>
  <c r="R21" i="46"/>
  <c r="P21" i="46"/>
  <c r="Q25" i="46"/>
  <c r="M2" i="46"/>
  <c r="C4" i="46"/>
  <c r="M4" i="46"/>
  <c r="C6" i="46"/>
  <c r="M6" i="46"/>
  <c r="C8" i="46"/>
  <c r="M8" i="46"/>
  <c r="U16" i="46"/>
  <c r="Q17" i="46"/>
  <c r="Q19" i="46"/>
  <c r="S20" i="46"/>
  <c r="F2" i="46"/>
  <c r="C22" i="17" s="1"/>
  <c r="N2" i="46"/>
  <c r="F4" i="46"/>
  <c r="E22" i="17" s="1"/>
  <c r="N4" i="46"/>
  <c r="F6" i="46"/>
  <c r="G22" i="17" s="1"/>
  <c r="N6" i="46"/>
  <c r="F8" i="46"/>
  <c r="I22" i="17" s="1"/>
  <c r="N8" i="46"/>
  <c r="Q21" i="46"/>
  <c r="S30" i="46"/>
  <c r="T17" i="46"/>
  <c r="R17" i="46"/>
  <c r="O2" i="46"/>
  <c r="K3" i="46"/>
  <c r="O4" i="46"/>
  <c r="K5" i="46"/>
  <c r="O6" i="46"/>
  <c r="K7" i="46"/>
  <c r="O8" i="46"/>
  <c r="K9" i="46"/>
  <c r="R15" i="46"/>
  <c r="S18" i="46"/>
  <c r="U19" i="46"/>
  <c r="L3" i="46"/>
  <c r="L5" i="46"/>
  <c r="L7" i="46"/>
  <c r="L9" i="46"/>
  <c r="T21" i="46"/>
  <c r="S23" i="46"/>
  <c r="T27" i="46"/>
  <c r="R27" i="46"/>
  <c r="P27" i="46"/>
  <c r="U18" i="46"/>
  <c r="Q22" i="46"/>
  <c r="T23" i="46"/>
  <c r="R25" i="46"/>
  <c r="U26" i="46"/>
  <c r="T31" i="46"/>
  <c r="T33" i="46"/>
  <c r="P33" i="46"/>
  <c r="Q35" i="46"/>
  <c r="R45" i="46"/>
  <c r="U23" i="46"/>
  <c r="P24" i="46"/>
  <c r="Q29" i="46"/>
  <c r="U31" i="46"/>
  <c r="P34" i="46"/>
  <c r="U20" i="46"/>
  <c r="Q24" i="46"/>
  <c r="T25" i="46"/>
  <c r="U28" i="46"/>
  <c r="R29" i="46"/>
  <c r="Q34" i="46"/>
  <c r="T35" i="46"/>
  <c r="S40" i="46"/>
  <c r="S42" i="46"/>
  <c r="U25" i="46"/>
  <c r="R34" i="46"/>
  <c r="U35" i="46"/>
  <c r="R38" i="46"/>
  <c r="S38" i="46" s="1"/>
  <c r="Q38" i="46"/>
  <c r="T41" i="46"/>
  <c r="R41" i="46"/>
  <c r="P41" i="46"/>
  <c r="U14" i="46"/>
  <c r="U22" i="46"/>
  <c r="R33" i="46"/>
  <c r="P37" i="46"/>
  <c r="T37" i="46"/>
  <c r="T44" i="46"/>
  <c r="Q44" i="46"/>
  <c r="U24" i="46"/>
  <c r="P29" i="46"/>
  <c r="T29" i="46"/>
  <c r="Q36" i="46"/>
  <c r="Q37" i="46"/>
  <c r="Q41" i="46"/>
  <c r="Q45" i="46"/>
  <c r="P45" i="46"/>
  <c r="T45" i="46"/>
  <c r="U32" i="46"/>
  <c r="R39" i="46"/>
  <c r="U40" i="46"/>
  <c r="R47" i="46"/>
  <c r="Q49" i="46"/>
  <c r="Q53" i="46"/>
  <c r="T59" i="46"/>
  <c r="R59" i="46"/>
  <c r="P59" i="46"/>
  <c r="T39" i="46"/>
  <c r="U42" i="46"/>
  <c r="P43" i="46"/>
  <c r="S44" i="46"/>
  <c r="Q46" i="46"/>
  <c r="T47" i="46"/>
  <c r="Q48" i="46"/>
  <c r="T49" i="46"/>
  <c r="T50" i="46"/>
  <c r="T51" i="46"/>
  <c r="P51" i="46"/>
  <c r="U39" i="46"/>
  <c r="R46" i="46"/>
  <c r="U47" i="46"/>
  <c r="R48" i="46"/>
  <c r="U49" i="46"/>
  <c r="T61" i="46"/>
  <c r="R61" i="46"/>
  <c r="P61" i="46"/>
  <c r="U36" i="46"/>
  <c r="R43" i="46"/>
  <c r="U44" i="46"/>
  <c r="T48" i="46"/>
  <c r="Q52" i="46"/>
  <c r="T46" i="46"/>
  <c r="T53" i="46"/>
  <c r="R53" i="46"/>
  <c r="P57" i="46"/>
  <c r="T57" i="46"/>
  <c r="R57" i="46"/>
  <c r="T67" i="46"/>
  <c r="Q67" i="46"/>
  <c r="U46" i="46"/>
  <c r="U43" i="46"/>
  <c r="P49" i="46"/>
  <c r="P53" i="46"/>
  <c r="S55" i="46"/>
  <c r="Q57" i="46"/>
  <c r="S60" i="46"/>
  <c r="U50" i="46"/>
  <c r="Q54" i="46"/>
  <c r="T55" i="46"/>
  <c r="U58" i="46"/>
  <c r="Q62" i="46"/>
  <c r="T63" i="46"/>
  <c r="R65" i="46"/>
  <c r="U66" i="46"/>
  <c r="U68" i="46"/>
  <c r="P71" i="46"/>
  <c r="U55" i="46"/>
  <c r="P56" i="46"/>
  <c r="U63" i="46"/>
  <c r="P64" i="46"/>
  <c r="R71" i="46"/>
  <c r="R87" i="46"/>
  <c r="P87" i="46"/>
  <c r="T87" i="46"/>
  <c r="Q56" i="46"/>
  <c r="U60" i="46"/>
  <c r="Q64" i="46"/>
  <c r="T65" i="46"/>
  <c r="T85" i="46"/>
  <c r="Q85" i="46"/>
  <c r="S85" i="46" s="1"/>
  <c r="U65" i="46"/>
  <c r="T77" i="46"/>
  <c r="Q77" i="46"/>
  <c r="R79" i="46"/>
  <c r="P79" i="46"/>
  <c r="T79" i="46"/>
  <c r="U54" i="46"/>
  <c r="Q58" i="46"/>
  <c r="U62" i="46"/>
  <c r="Q68" i="46"/>
  <c r="P70" i="46"/>
  <c r="T70" i="46"/>
  <c r="T71" i="46"/>
  <c r="U79" i="46"/>
  <c r="U56" i="46"/>
  <c r="U64" i="46"/>
  <c r="R68" i="46"/>
  <c r="Q69" i="46"/>
  <c r="Q70" i="46"/>
  <c r="R73" i="46"/>
  <c r="U74" i="46"/>
  <c r="P75" i="46"/>
  <c r="Q78" i="46"/>
  <c r="R81" i="46"/>
  <c r="U82" i="46"/>
  <c r="P83" i="46"/>
  <c r="Q86" i="46"/>
  <c r="S86" i="46" s="1"/>
  <c r="R89" i="46"/>
  <c r="U90" i="46"/>
  <c r="P91" i="46"/>
  <c r="Q72" i="46"/>
  <c r="U76" i="46"/>
  <c r="Q80" i="46"/>
  <c r="U84" i="46"/>
  <c r="Q88" i="46"/>
  <c r="T89" i="46"/>
  <c r="U92" i="46"/>
  <c r="R72" i="46"/>
  <c r="U73" i="46"/>
  <c r="T78" i="46"/>
  <c r="R80" i="46"/>
  <c r="U81" i="46"/>
  <c r="R88" i="46"/>
  <c r="U89" i="46"/>
  <c r="Q74" i="46"/>
  <c r="U78" i="46"/>
  <c r="Q82" i="46"/>
  <c r="U86" i="46"/>
  <c r="Q90" i="46"/>
  <c r="T91" i="46"/>
  <c r="U67" i="46"/>
  <c r="T72" i="46"/>
  <c r="U75" i="46"/>
  <c r="P76" i="46"/>
  <c r="Q79" i="46"/>
  <c r="T80" i="46"/>
  <c r="U83" i="46"/>
  <c r="P84" i="46"/>
  <c r="Q87" i="46"/>
  <c r="T88" i="46"/>
  <c r="U91" i="46"/>
  <c r="P92" i="46"/>
  <c r="U72" i="46"/>
  <c r="U80" i="46"/>
  <c r="U88" i="46"/>
  <c r="U69" i="46"/>
  <c r="U77" i="46"/>
  <c r="T82" i="46"/>
  <c r="U85" i="46"/>
  <c r="S54" i="46" l="1"/>
  <c r="Q4" i="46"/>
  <c r="S77" i="46"/>
  <c r="Q2" i="46"/>
  <c r="S78" i="46"/>
  <c r="S9" i="46"/>
  <c r="U6" i="46"/>
  <c r="S2" i="46"/>
  <c r="Q5" i="46"/>
  <c r="Q3" i="46"/>
  <c r="S48" i="46"/>
  <c r="S16" i="46"/>
  <c r="S58" i="46"/>
  <c r="U7" i="46"/>
  <c r="S52" i="46"/>
  <c r="S71" i="46"/>
  <c r="S49" i="46"/>
  <c r="S57" i="46"/>
  <c r="S24" i="46"/>
  <c r="T13" i="46"/>
  <c r="U1" i="46" s="1"/>
  <c r="R8" i="46"/>
  <c r="R2" i="46"/>
  <c r="S5" i="46"/>
  <c r="S82" i="46"/>
  <c r="S80" i="46"/>
  <c r="S68" i="46"/>
  <c r="S64" i="46"/>
  <c r="S67" i="46"/>
  <c r="S69" i="46"/>
  <c r="S65" i="46"/>
  <c r="S43" i="46"/>
  <c r="S29" i="46"/>
  <c r="R7" i="46"/>
  <c r="R3" i="46"/>
  <c r="S36" i="46"/>
  <c r="Q9" i="46"/>
  <c r="S21" i="46"/>
  <c r="C10" i="46"/>
  <c r="F10" i="46"/>
  <c r="S4" i="46"/>
  <c r="C7" i="46"/>
  <c r="U3" i="46"/>
  <c r="S83" i="46"/>
  <c r="S88" i="46"/>
  <c r="S59" i="46"/>
  <c r="S47" i="46"/>
  <c r="S46" i="46"/>
  <c r="U13" i="46"/>
  <c r="V1" i="46" s="1"/>
  <c r="V3" i="46"/>
  <c r="S33" i="46"/>
  <c r="V6" i="46"/>
  <c r="V2" i="46"/>
  <c r="U2" i="46"/>
  <c r="U9" i="46"/>
  <c r="Q6" i="46"/>
  <c r="S91" i="46"/>
  <c r="S75" i="46"/>
  <c r="S70" i="46"/>
  <c r="S62" i="46"/>
  <c r="S51" i="46"/>
  <c r="S3" i="46"/>
  <c r="U8" i="46"/>
  <c r="S8" i="46"/>
  <c r="C3" i="46"/>
  <c r="Q13" i="46"/>
  <c r="R1" i="46" s="1"/>
  <c r="S92" i="46"/>
  <c r="S84" i="46"/>
  <c r="S39" i="46"/>
  <c r="S41" i="46"/>
  <c r="S34" i="46"/>
  <c r="S27" i="46"/>
  <c r="S7" i="46"/>
  <c r="C2" i="46"/>
  <c r="S17" i="46"/>
  <c r="S22" i="46"/>
  <c r="C9" i="46"/>
  <c r="U5" i="46"/>
  <c r="S15" i="46"/>
  <c r="P13" i="46"/>
  <c r="Q1" i="46" s="1"/>
  <c r="S76" i="46"/>
  <c r="S90" i="46"/>
  <c r="S74" i="46"/>
  <c r="S89" i="46"/>
  <c r="S81" i="46"/>
  <c r="S73" i="46"/>
  <c r="S79" i="46"/>
  <c r="S72" i="46"/>
  <c r="T9" i="46" s="1"/>
  <c r="S56" i="46"/>
  <c r="V7" i="46"/>
  <c r="S61" i="46"/>
  <c r="R9" i="46"/>
  <c r="R5" i="46"/>
  <c r="S25" i="46"/>
  <c r="R4" i="46"/>
  <c r="U4" i="46"/>
  <c r="S35" i="46"/>
  <c r="Q8" i="46"/>
  <c r="R6" i="46"/>
  <c r="V9" i="46"/>
  <c r="S87" i="46"/>
  <c r="S53" i="46"/>
  <c r="S45" i="46"/>
  <c r="S37" i="46"/>
  <c r="R13" i="46"/>
  <c r="S1" i="46" s="1"/>
  <c r="V8" i="46"/>
  <c r="V4" i="46"/>
  <c r="V5" i="46"/>
  <c r="Q7" i="46"/>
  <c r="S19" i="46"/>
  <c r="S6" i="46"/>
  <c r="C5" i="46"/>
  <c r="B22" i="17" l="1"/>
  <c r="H72" i="14"/>
  <c r="T6" i="46"/>
  <c r="T5" i="46"/>
  <c r="T3" i="46"/>
  <c r="T2" i="46"/>
  <c r="S13" i="46"/>
  <c r="T1" i="46" s="1"/>
  <c r="T8" i="46"/>
  <c r="T7" i="46"/>
  <c r="T4" i="46"/>
  <c r="A19" i="17" l="1"/>
  <c r="AY41" i="14"/>
  <c r="AZ41" i="14"/>
  <c r="AY42" i="14"/>
  <c r="AZ42" i="14"/>
  <c r="AY43" i="14"/>
  <c r="AZ43" i="14"/>
  <c r="AY44" i="14"/>
  <c r="AZ44" i="14"/>
  <c r="AY45" i="14"/>
  <c r="AZ45" i="14"/>
  <c r="AY46" i="14"/>
  <c r="AZ46" i="14"/>
  <c r="AY47" i="14"/>
  <c r="AZ47" i="14"/>
  <c r="AY48" i="14"/>
  <c r="AZ48" i="14"/>
  <c r="AY49" i="14"/>
  <c r="AZ49" i="14"/>
  <c r="AY50" i="14"/>
  <c r="AZ50" i="14"/>
  <c r="AY51" i="14"/>
  <c r="AZ51" i="14"/>
  <c r="AY52" i="14"/>
  <c r="AZ52" i="14"/>
  <c r="AY53" i="14"/>
  <c r="AZ53" i="14"/>
  <c r="AY54" i="14"/>
  <c r="AZ54" i="14"/>
  <c r="AY55" i="14"/>
  <c r="AZ55" i="14"/>
  <c r="AY56" i="14"/>
  <c r="AZ56" i="14"/>
  <c r="AY57" i="14"/>
  <c r="AZ57" i="14"/>
  <c r="AY58" i="14"/>
  <c r="AZ58" i="14"/>
  <c r="AY59" i="14"/>
  <c r="AZ59" i="14"/>
  <c r="AY60" i="14"/>
  <c r="AZ60" i="14"/>
  <c r="AY61" i="14"/>
  <c r="AZ61" i="14"/>
  <c r="AY62" i="14"/>
  <c r="AZ62" i="14"/>
  <c r="AY63" i="14"/>
  <c r="AZ63" i="14"/>
  <c r="AY64" i="14"/>
  <c r="AZ64" i="14"/>
  <c r="AY65" i="14"/>
  <c r="AZ65" i="14"/>
  <c r="AY66" i="14"/>
  <c r="AZ66" i="14"/>
  <c r="AY67" i="14"/>
  <c r="AZ67" i="14"/>
  <c r="AX42" i="14"/>
  <c r="AX43" i="14"/>
  <c r="AX44" i="14"/>
  <c r="AX45" i="14"/>
  <c r="AX46" i="14"/>
  <c r="AX47" i="14"/>
  <c r="AX48" i="14"/>
  <c r="AX49" i="14"/>
  <c r="AX50" i="14"/>
  <c r="AX51" i="14"/>
  <c r="AX52" i="14"/>
  <c r="AX53" i="14"/>
  <c r="AX54" i="14"/>
  <c r="AX55" i="14"/>
  <c r="AX56" i="14"/>
  <c r="AX57" i="14"/>
  <c r="AX58" i="14"/>
  <c r="AX59" i="14"/>
  <c r="AX60" i="14"/>
  <c r="AX61" i="14"/>
  <c r="AX62" i="14"/>
  <c r="AX63" i="14"/>
  <c r="AX64" i="14"/>
  <c r="AX65" i="14"/>
  <c r="AX66" i="14"/>
  <c r="AX67" i="14"/>
  <c r="AX41" i="14"/>
  <c r="E92" i="45" l="1"/>
  <c r="E91" i="45"/>
  <c r="E90" i="45"/>
  <c r="E89" i="45"/>
  <c r="E88" i="45"/>
  <c r="E87" i="45"/>
  <c r="U87" i="45" s="1"/>
  <c r="E86" i="45"/>
  <c r="P86" i="45" s="1"/>
  <c r="E85" i="45"/>
  <c r="R85" i="45" s="1"/>
  <c r="E84" i="45"/>
  <c r="E83" i="45"/>
  <c r="E82" i="45"/>
  <c r="E81" i="45"/>
  <c r="E80" i="45"/>
  <c r="E79" i="45"/>
  <c r="E78" i="45"/>
  <c r="T78" i="45" s="1"/>
  <c r="E77" i="45"/>
  <c r="P77" i="45" s="1"/>
  <c r="E76" i="45"/>
  <c r="E75" i="45"/>
  <c r="E74" i="45"/>
  <c r="E73" i="45"/>
  <c r="E72" i="45"/>
  <c r="E71" i="45"/>
  <c r="U71" i="45" s="1"/>
  <c r="E70" i="45"/>
  <c r="R70" i="45" s="1"/>
  <c r="E69" i="45"/>
  <c r="R69" i="45" s="1"/>
  <c r="E68" i="45"/>
  <c r="E67" i="45"/>
  <c r="E66" i="45"/>
  <c r="E65" i="45"/>
  <c r="E64" i="45"/>
  <c r="E63" i="45"/>
  <c r="E62" i="45"/>
  <c r="E61" i="45"/>
  <c r="R61" i="45" s="1"/>
  <c r="E60" i="45"/>
  <c r="E59" i="45"/>
  <c r="E58" i="45"/>
  <c r="E57" i="45"/>
  <c r="E56" i="45"/>
  <c r="E55" i="45"/>
  <c r="P55" i="45" s="1"/>
  <c r="E54" i="45"/>
  <c r="R54" i="45" s="1"/>
  <c r="E53" i="45"/>
  <c r="E52" i="45"/>
  <c r="E51" i="45"/>
  <c r="E50" i="45"/>
  <c r="E49" i="45"/>
  <c r="E48" i="45"/>
  <c r="E47" i="45"/>
  <c r="E46" i="45"/>
  <c r="P46" i="45" s="1"/>
  <c r="E45" i="45"/>
  <c r="E44" i="45"/>
  <c r="E43" i="45"/>
  <c r="E42" i="45"/>
  <c r="E41" i="45"/>
  <c r="E40" i="45"/>
  <c r="E39" i="45"/>
  <c r="E38" i="45"/>
  <c r="E37" i="45"/>
  <c r="U37" i="45" s="1"/>
  <c r="E36" i="45"/>
  <c r="E35" i="45"/>
  <c r="E34" i="45"/>
  <c r="E33" i="45"/>
  <c r="E32" i="45"/>
  <c r="E31" i="45"/>
  <c r="E30" i="45"/>
  <c r="R30" i="45" s="1"/>
  <c r="E29" i="45"/>
  <c r="P29" i="45" s="1"/>
  <c r="E28" i="45"/>
  <c r="E27" i="45"/>
  <c r="E26" i="45"/>
  <c r="E25" i="45"/>
  <c r="E24" i="45"/>
  <c r="E23" i="45"/>
  <c r="E22" i="45"/>
  <c r="E21" i="45"/>
  <c r="E20" i="45"/>
  <c r="E19" i="45"/>
  <c r="E18" i="45"/>
  <c r="E17" i="45"/>
  <c r="E16" i="45"/>
  <c r="E15" i="45"/>
  <c r="R15" i="45" s="1"/>
  <c r="E14" i="45"/>
  <c r="G71" i="14"/>
  <c r="G2" i="14" s="1"/>
  <c r="O92" i="45"/>
  <c r="T92" i="45" s="1"/>
  <c r="U92" i="45"/>
  <c r="R91" i="45"/>
  <c r="P91" i="45"/>
  <c r="O91" i="45"/>
  <c r="Q91" i="45" s="1"/>
  <c r="O90" i="45"/>
  <c r="R89" i="45"/>
  <c r="O89" i="45"/>
  <c r="Q89" i="45" s="1"/>
  <c r="P89" i="45"/>
  <c r="R88" i="45"/>
  <c r="P88" i="45"/>
  <c r="O88" i="45"/>
  <c r="O87" i="45"/>
  <c r="R86" i="45"/>
  <c r="O86" i="45"/>
  <c r="O85" i="45"/>
  <c r="O84" i="45"/>
  <c r="R83" i="45"/>
  <c r="P83" i="45"/>
  <c r="O83" i="45"/>
  <c r="Q83" i="45" s="1"/>
  <c r="O82" i="45"/>
  <c r="R81" i="45"/>
  <c r="O81" i="45"/>
  <c r="Q81" i="45" s="1"/>
  <c r="P81" i="45"/>
  <c r="R80" i="45"/>
  <c r="P80" i="45"/>
  <c r="O80" i="45"/>
  <c r="U79" i="45"/>
  <c r="O79" i="45"/>
  <c r="O78" i="45"/>
  <c r="P78" i="45"/>
  <c r="R77" i="45"/>
  <c r="O77" i="45"/>
  <c r="U76" i="45"/>
  <c r="T76" i="45"/>
  <c r="O76" i="45"/>
  <c r="R75" i="45"/>
  <c r="Q75" i="45"/>
  <c r="P75" i="45"/>
  <c r="O75" i="45"/>
  <c r="U74" i="45"/>
  <c r="O74" i="45"/>
  <c r="T73" i="45"/>
  <c r="R73" i="45"/>
  <c r="O73" i="45"/>
  <c r="Q73" i="45" s="1"/>
  <c r="P73" i="45"/>
  <c r="R72" i="45"/>
  <c r="P72" i="45"/>
  <c r="O72" i="45"/>
  <c r="Q72" i="45" s="1"/>
  <c r="O71" i="45"/>
  <c r="O70" i="45"/>
  <c r="P69" i="45"/>
  <c r="O69" i="45"/>
  <c r="P68" i="45"/>
  <c r="O68" i="45"/>
  <c r="T68" i="45" s="1"/>
  <c r="R68" i="45"/>
  <c r="R67" i="45"/>
  <c r="O67" i="45"/>
  <c r="T67" i="45" s="1"/>
  <c r="P67" i="45"/>
  <c r="R66" i="45"/>
  <c r="P66" i="45"/>
  <c r="O66" i="45"/>
  <c r="O65" i="45"/>
  <c r="R64" i="45"/>
  <c r="P64" i="45"/>
  <c r="O64" i="45"/>
  <c r="Q64" i="45" s="1"/>
  <c r="O63" i="45"/>
  <c r="O62" i="45"/>
  <c r="P61" i="45"/>
  <c r="O61" i="45"/>
  <c r="U60" i="45"/>
  <c r="O60" i="45"/>
  <c r="R59" i="45"/>
  <c r="Q59" i="45"/>
  <c r="O59" i="45"/>
  <c r="T59" i="45" s="1"/>
  <c r="P59" i="45"/>
  <c r="R58" i="45"/>
  <c r="P58" i="45"/>
  <c r="O58" i="45"/>
  <c r="U57" i="45"/>
  <c r="P57" i="45"/>
  <c r="O57" i="45"/>
  <c r="Q57" i="45" s="1"/>
  <c r="R57" i="45"/>
  <c r="U56" i="45"/>
  <c r="R56" i="45"/>
  <c r="O56" i="45"/>
  <c r="O55" i="45"/>
  <c r="O54" i="45"/>
  <c r="Q54" i="45" s="1"/>
  <c r="O53" i="45"/>
  <c r="U52" i="45"/>
  <c r="T52" i="45"/>
  <c r="O52" i="45"/>
  <c r="Q52" i="45" s="1"/>
  <c r="R52" i="45"/>
  <c r="R51" i="45"/>
  <c r="P51" i="45"/>
  <c r="O51" i="45"/>
  <c r="T50" i="45"/>
  <c r="Q50" i="45"/>
  <c r="O50" i="45"/>
  <c r="R50" i="45"/>
  <c r="R49" i="45"/>
  <c r="P49" i="45"/>
  <c r="O49" i="45"/>
  <c r="T49" i="45" s="1"/>
  <c r="O48" i="45"/>
  <c r="O47" i="45"/>
  <c r="O46" i="45"/>
  <c r="O45" i="45"/>
  <c r="R44" i="45"/>
  <c r="O44" i="45"/>
  <c r="T44" i="45" s="1"/>
  <c r="P44" i="45"/>
  <c r="R43" i="45"/>
  <c r="P43" i="45"/>
  <c r="O43" i="45"/>
  <c r="T43" i="45" s="1"/>
  <c r="T42" i="45"/>
  <c r="Q42" i="45"/>
  <c r="O42" i="45"/>
  <c r="R42" i="45"/>
  <c r="T41" i="45"/>
  <c r="R41" i="45"/>
  <c r="P41" i="45"/>
  <c r="O41" i="45"/>
  <c r="Q41" i="45" s="1"/>
  <c r="U40" i="45"/>
  <c r="O40" i="45"/>
  <c r="Q40" i="45" s="1"/>
  <c r="R39" i="45"/>
  <c r="P39" i="45"/>
  <c r="O39" i="45"/>
  <c r="O38" i="45"/>
  <c r="O37" i="45"/>
  <c r="P37" i="45"/>
  <c r="R36" i="45"/>
  <c r="O36" i="45"/>
  <c r="T36" i="45" s="1"/>
  <c r="P36" i="45"/>
  <c r="T35" i="45"/>
  <c r="R35" i="45"/>
  <c r="P35" i="45"/>
  <c r="O35" i="45"/>
  <c r="Q35" i="45" s="1"/>
  <c r="R34" i="45"/>
  <c r="O34" i="45"/>
  <c r="U34" i="45"/>
  <c r="T33" i="45"/>
  <c r="R33" i="45"/>
  <c r="P33" i="45"/>
  <c r="O33" i="45"/>
  <c r="Q33" i="45" s="1"/>
  <c r="P32" i="45"/>
  <c r="O32" i="45"/>
  <c r="Q32" i="45" s="1"/>
  <c r="O31" i="45"/>
  <c r="O30" i="45"/>
  <c r="O29" i="45"/>
  <c r="U28" i="45"/>
  <c r="T28" i="45"/>
  <c r="O28" i="45"/>
  <c r="R27" i="45"/>
  <c r="O27" i="45"/>
  <c r="Q27" i="45" s="1"/>
  <c r="P27" i="45"/>
  <c r="R26" i="45"/>
  <c r="O26" i="45"/>
  <c r="R25" i="45"/>
  <c r="P25" i="45"/>
  <c r="O25" i="45"/>
  <c r="T25" i="45" s="1"/>
  <c r="Q24" i="45"/>
  <c r="P24" i="45"/>
  <c r="O24" i="45"/>
  <c r="U23" i="45"/>
  <c r="R23" i="45"/>
  <c r="O23" i="45"/>
  <c r="R22" i="45"/>
  <c r="O22" i="45"/>
  <c r="O21" i="45"/>
  <c r="R20" i="45"/>
  <c r="O20" i="45"/>
  <c r="T20" i="45" s="1"/>
  <c r="P20" i="45"/>
  <c r="R19" i="45"/>
  <c r="O19" i="45"/>
  <c r="P19" i="45"/>
  <c r="R18" i="45"/>
  <c r="O18" i="45"/>
  <c r="R17" i="45"/>
  <c r="P17" i="45"/>
  <c r="O17" i="45"/>
  <c r="T17" i="45" s="1"/>
  <c r="U16" i="45"/>
  <c r="P16" i="45"/>
  <c r="O16" i="45"/>
  <c r="T16" i="45" s="1"/>
  <c r="R16" i="45"/>
  <c r="O15" i="45"/>
  <c r="U15" i="45"/>
  <c r="O14" i="45"/>
  <c r="L13" i="45"/>
  <c r="K13" i="45"/>
  <c r="J13" i="45"/>
  <c r="I13" i="45"/>
  <c r="H13" i="45"/>
  <c r="J9" i="45"/>
  <c r="B9" i="45"/>
  <c r="P9" i="45" s="1"/>
  <c r="J8" i="45"/>
  <c r="B8" i="45"/>
  <c r="L8" i="45" s="1"/>
  <c r="J7" i="45"/>
  <c r="B7" i="45"/>
  <c r="O7" i="45" s="1"/>
  <c r="M6" i="45"/>
  <c r="J6" i="45"/>
  <c r="B6" i="45"/>
  <c r="J5" i="45"/>
  <c r="B5" i="45"/>
  <c r="P5" i="45" s="1"/>
  <c r="J4" i="45"/>
  <c r="B4" i="45"/>
  <c r="J3" i="45"/>
  <c r="B3" i="45"/>
  <c r="P3" i="45" s="1"/>
  <c r="J2" i="45"/>
  <c r="B2" i="45"/>
  <c r="B10" i="45" s="1"/>
  <c r="O1" i="45"/>
  <c r="N1" i="45"/>
  <c r="M1" i="45"/>
  <c r="L1" i="45"/>
  <c r="T45" i="45" l="1"/>
  <c r="T53" i="45"/>
  <c r="S25" i="45"/>
  <c r="T47" i="45"/>
  <c r="T79" i="45"/>
  <c r="O13" i="45"/>
  <c r="P1" i="45" s="1"/>
  <c r="Q17" i="45"/>
  <c r="S17" i="45" s="1"/>
  <c r="Q25" i="45"/>
  <c r="Q44" i="45"/>
  <c r="Q49" i="45"/>
  <c r="Q68" i="45"/>
  <c r="T14" i="45"/>
  <c r="Q67" i="45"/>
  <c r="S67" i="45" s="1"/>
  <c r="Q20" i="45"/>
  <c r="T81" i="45"/>
  <c r="T89" i="45"/>
  <c r="C4" i="45"/>
  <c r="L2" i="45"/>
  <c r="O5" i="45"/>
  <c r="P7" i="45"/>
  <c r="O9" i="45"/>
  <c r="M2" i="45"/>
  <c r="O3" i="45"/>
  <c r="S33" i="45"/>
  <c r="P53" i="45"/>
  <c r="Q69" i="45"/>
  <c r="R37" i="45"/>
  <c r="R53" i="45"/>
  <c r="S6" i="45" s="1"/>
  <c r="P85" i="45"/>
  <c r="S68" i="45"/>
  <c r="T69" i="45"/>
  <c r="P22" i="45"/>
  <c r="Q39" i="45"/>
  <c r="P54" i="45"/>
  <c r="S54" i="45" s="1"/>
  <c r="U55" i="45"/>
  <c r="T70" i="45"/>
  <c r="Q86" i="45"/>
  <c r="Q15" i="45"/>
  <c r="T39" i="45"/>
  <c r="Q47" i="45"/>
  <c r="Q62" i="45"/>
  <c r="Q78" i="45"/>
  <c r="T86" i="45"/>
  <c r="K2" i="45"/>
  <c r="P47" i="45"/>
  <c r="T54" i="45"/>
  <c r="R55" i="45"/>
  <c r="R62" i="45"/>
  <c r="P70" i="45"/>
  <c r="R78" i="45"/>
  <c r="P62" i="45"/>
  <c r="R14" i="45"/>
  <c r="Q30" i="45"/>
  <c r="S30" i="45" s="1"/>
  <c r="R47" i="45"/>
  <c r="U54" i="45"/>
  <c r="T62" i="45"/>
  <c r="Q14" i="45"/>
  <c r="P30" i="45"/>
  <c r="Q70" i="45"/>
  <c r="Q22" i="45"/>
  <c r="C10" i="45"/>
  <c r="C2" i="45"/>
  <c r="K6" i="45"/>
  <c r="P6" i="45"/>
  <c r="O6" i="45"/>
  <c r="N6" i="45"/>
  <c r="F6" i="45"/>
  <c r="G21" i="17" s="1"/>
  <c r="K8" i="45"/>
  <c r="C8" i="45"/>
  <c r="P8" i="45"/>
  <c r="M8" i="45"/>
  <c r="O8" i="45"/>
  <c r="N8" i="45"/>
  <c r="F8" i="45"/>
  <c r="I21" i="17" s="1"/>
  <c r="C6" i="45"/>
  <c r="S47" i="45"/>
  <c r="L6" i="45"/>
  <c r="Q18" i="45"/>
  <c r="T18" i="45"/>
  <c r="Q19" i="45"/>
  <c r="K4" i="45"/>
  <c r="P4" i="45"/>
  <c r="O4" i="45"/>
  <c r="N4" i="45"/>
  <c r="F4" i="45"/>
  <c r="E21" i="17" s="1"/>
  <c r="L4" i="45"/>
  <c r="P2" i="45"/>
  <c r="O2" i="45"/>
  <c r="N2" i="45"/>
  <c r="F2" i="45"/>
  <c r="C21" i="17" s="1"/>
  <c r="M4" i="45"/>
  <c r="U6" i="45"/>
  <c r="R21" i="45"/>
  <c r="E13" i="45"/>
  <c r="K1" i="45" s="1"/>
  <c r="U21" i="45"/>
  <c r="T21" i="45"/>
  <c r="P21" i="45"/>
  <c r="T31" i="45"/>
  <c r="R31" i="45"/>
  <c r="Q31" i="45"/>
  <c r="P31" i="45"/>
  <c r="T26" i="45"/>
  <c r="Q26" i="45"/>
  <c r="S27" i="45"/>
  <c r="S44" i="45"/>
  <c r="Q21" i="45"/>
  <c r="K3" i="45"/>
  <c r="K5" i="45"/>
  <c r="K7" i="45"/>
  <c r="K9" i="45"/>
  <c r="U20" i="45"/>
  <c r="T61" i="45"/>
  <c r="Q61" i="45"/>
  <c r="S61" i="45" s="1"/>
  <c r="Q66" i="45"/>
  <c r="L3" i="45"/>
  <c r="L5" i="45"/>
  <c r="L7" i="45"/>
  <c r="L9" i="45"/>
  <c r="P14" i="45"/>
  <c r="T15" i="45"/>
  <c r="S22" i="45"/>
  <c r="R28" i="45"/>
  <c r="Q28" i="45"/>
  <c r="P28" i="45"/>
  <c r="T29" i="45"/>
  <c r="Q29" i="45"/>
  <c r="U31" i="45"/>
  <c r="T34" i="45"/>
  <c r="Q34" i="45"/>
  <c r="S35" i="45"/>
  <c r="T38" i="45"/>
  <c r="R38" i="45"/>
  <c r="U38" i="45"/>
  <c r="P38" i="45"/>
  <c r="U14" i="45"/>
  <c r="C3" i="45"/>
  <c r="M3" i="45"/>
  <c r="C5" i="45"/>
  <c r="M5" i="45"/>
  <c r="C7" i="45"/>
  <c r="M7" i="45"/>
  <c r="C9" i="45"/>
  <c r="M9" i="45"/>
  <c r="S39" i="45"/>
  <c r="S57" i="45"/>
  <c r="F3" i="45"/>
  <c r="D21" i="17" s="1"/>
  <c r="N3" i="45"/>
  <c r="F5" i="45"/>
  <c r="F21" i="17" s="1"/>
  <c r="N5" i="45"/>
  <c r="F7" i="45"/>
  <c r="H21" i="17" s="1"/>
  <c r="N7" i="45"/>
  <c r="F9" i="45"/>
  <c r="J21" i="17" s="1"/>
  <c r="N9" i="45"/>
  <c r="S19" i="45"/>
  <c r="S20" i="45"/>
  <c r="T23" i="45"/>
  <c r="Q23" i="45"/>
  <c r="P23" i="45"/>
  <c r="P15" i="45"/>
  <c r="Q16" i="45"/>
  <c r="U17" i="45"/>
  <c r="P18" i="45"/>
  <c r="T22" i="45"/>
  <c r="R24" i="45"/>
  <c r="U25" i="45"/>
  <c r="P26" i="45"/>
  <c r="T30" i="45"/>
  <c r="R32" i="45"/>
  <c r="U33" i="45"/>
  <c r="P34" i="45"/>
  <c r="Q38" i="45"/>
  <c r="R65" i="45"/>
  <c r="P65" i="45"/>
  <c r="U65" i="45"/>
  <c r="T65" i="45"/>
  <c r="T19" i="45"/>
  <c r="U22" i="45"/>
  <c r="T27" i="45"/>
  <c r="R29" i="45"/>
  <c r="U30" i="45"/>
  <c r="S41" i="45"/>
  <c r="T48" i="45"/>
  <c r="R48" i="45"/>
  <c r="P48" i="45"/>
  <c r="T82" i="45"/>
  <c r="R82" i="45"/>
  <c r="P82" i="45"/>
  <c r="U82" i="45"/>
  <c r="U19" i="45"/>
  <c r="T24" i="45"/>
  <c r="U27" i="45"/>
  <c r="T32" i="45"/>
  <c r="Q36" i="45"/>
  <c r="S36" i="45" s="1"/>
  <c r="T40" i="45"/>
  <c r="R40" i="45"/>
  <c r="P40" i="45"/>
  <c r="R45" i="45"/>
  <c r="P45" i="45"/>
  <c r="Q58" i="45"/>
  <c r="U24" i="45"/>
  <c r="U32" i="45"/>
  <c r="Q48" i="45"/>
  <c r="T51" i="45"/>
  <c r="Q51" i="45"/>
  <c r="S51" i="45" s="1"/>
  <c r="Q88" i="45"/>
  <c r="U29" i="45"/>
  <c r="Q46" i="45"/>
  <c r="U48" i="45"/>
  <c r="S49" i="45"/>
  <c r="U18" i="45"/>
  <c r="U26" i="45"/>
  <c r="T37" i="45"/>
  <c r="Q43" i="45"/>
  <c r="U45" i="45"/>
  <c r="Q55" i="45"/>
  <c r="S59" i="45"/>
  <c r="S73" i="45"/>
  <c r="U42" i="45"/>
  <c r="U50" i="45"/>
  <c r="T56" i="45"/>
  <c r="S64" i="45"/>
  <c r="Q65" i="45"/>
  <c r="U39" i="45"/>
  <c r="R46" i="45"/>
  <c r="U47" i="45"/>
  <c r="T57" i="45"/>
  <c r="U36" i="45"/>
  <c r="U44" i="45"/>
  <c r="Q53" i="45"/>
  <c r="P56" i="45"/>
  <c r="R60" i="45"/>
  <c r="Q60" i="45"/>
  <c r="P60" i="45"/>
  <c r="T63" i="45"/>
  <c r="R63" i="45"/>
  <c r="P63" i="45"/>
  <c r="S89" i="45"/>
  <c r="Q37" i="45"/>
  <c r="U41" i="45"/>
  <c r="P42" i="45"/>
  <c r="Q45" i="45"/>
  <c r="T46" i="45"/>
  <c r="U49" i="45"/>
  <c r="P50" i="45"/>
  <c r="Q6" i="45" s="1"/>
  <c r="Q56" i="45"/>
  <c r="S69" i="45"/>
  <c r="Q71" i="45"/>
  <c r="T71" i="45"/>
  <c r="S72" i="45"/>
  <c r="U46" i="45"/>
  <c r="Q63" i="45"/>
  <c r="U35" i="45"/>
  <c r="U43" i="45"/>
  <c r="U51" i="45"/>
  <c r="P52" i="45"/>
  <c r="T55" i="45"/>
  <c r="T60" i="45"/>
  <c r="U63" i="45"/>
  <c r="T85" i="45"/>
  <c r="Q85" i="45"/>
  <c r="Q82" i="45"/>
  <c r="R84" i="45"/>
  <c r="Q84" i="45"/>
  <c r="P84" i="45"/>
  <c r="S91" i="45"/>
  <c r="U62" i="45"/>
  <c r="S70" i="45"/>
  <c r="S75" i="45"/>
  <c r="U59" i="45"/>
  <c r="T64" i="45"/>
  <c r="U67" i="45"/>
  <c r="R87" i="45"/>
  <c r="P87" i="45"/>
  <c r="T90" i="45"/>
  <c r="R90" i="45"/>
  <c r="P90" i="45"/>
  <c r="U64" i="45"/>
  <c r="T74" i="45"/>
  <c r="R74" i="45"/>
  <c r="P74" i="45"/>
  <c r="T77" i="45"/>
  <c r="Q77" i="45"/>
  <c r="S81" i="45"/>
  <c r="T84" i="45"/>
  <c r="U53" i="45"/>
  <c r="T58" i="45"/>
  <c r="U61" i="45"/>
  <c r="T66" i="45"/>
  <c r="U68" i="45"/>
  <c r="S77" i="45"/>
  <c r="Q80" i="45"/>
  <c r="S83" i="45"/>
  <c r="U84" i="45"/>
  <c r="Q90" i="45"/>
  <c r="R92" i="45"/>
  <c r="P92" i="45"/>
  <c r="U58" i="45"/>
  <c r="U66" i="45"/>
  <c r="R71" i="45"/>
  <c r="P71" i="45"/>
  <c r="Q74" i="45"/>
  <c r="R76" i="45"/>
  <c r="Q76" i="45"/>
  <c r="P76" i="45"/>
  <c r="R79" i="45"/>
  <c r="P79" i="45"/>
  <c r="T87" i="45"/>
  <c r="U90" i="45"/>
  <c r="Q92" i="45"/>
  <c r="U73" i="45"/>
  <c r="U81" i="45"/>
  <c r="U89" i="45"/>
  <c r="U70" i="45"/>
  <c r="T75" i="45"/>
  <c r="U78" i="45"/>
  <c r="T83" i="45"/>
  <c r="U86" i="45"/>
  <c r="T91" i="45"/>
  <c r="T72" i="45"/>
  <c r="U75" i="45"/>
  <c r="Q79" i="45"/>
  <c r="T80" i="45"/>
  <c r="U83" i="45"/>
  <c r="Q87" i="45"/>
  <c r="T88" i="45"/>
  <c r="U91" i="45"/>
  <c r="U72" i="45"/>
  <c r="U80" i="45"/>
  <c r="U88" i="45"/>
  <c r="U69" i="45"/>
  <c r="U77" i="45"/>
  <c r="U85" i="45"/>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8" i="21" s="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9" i="19" s="1"/>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8" i="16"/>
  <c r="AI19" i="16"/>
  <c r="AI20" i="16"/>
  <c r="AI21" i="16"/>
  <c r="AI22" i="16"/>
  <c r="AI23" i="16"/>
  <c r="AI24" i="16"/>
  <c r="AI25" i="16"/>
  <c r="AI26" i="16"/>
  <c r="AI27" i="16"/>
  <c r="AI28" i="16"/>
  <c r="AI29" i="16"/>
  <c r="AI30" i="16"/>
  <c r="AI31" i="16"/>
  <c r="AI32" i="16"/>
  <c r="AI33" i="16"/>
  <c r="AI6" i="16" s="1"/>
  <c r="AI34" i="16"/>
  <c r="AI35" i="16"/>
  <c r="AI36" i="16"/>
  <c r="AI37" i="16"/>
  <c r="AI38" i="16"/>
  <c r="AI8" i="16" s="1"/>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5" i="22" s="1"/>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8" i="23" s="1"/>
  <c r="AI39" i="23"/>
  <c r="AI40" i="23"/>
  <c r="AI41" i="23"/>
  <c r="AI7" i="23" s="1"/>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8" i="24" s="1"/>
  <c r="AI41" i="24"/>
  <c r="AI42" i="24"/>
  <c r="AI43" i="24"/>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6" i="25" s="1"/>
  <c r="AI51" i="25"/>
  <c r="AI52" i="25"/>
  <c r="AI53" i="25"/>
  <c r="AI54" i="25"/>
  <c r="AI9" i="25" s="1"/>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16" i="26"/>
  <c r="AI17" i="26"/>
  <c r="AI18" i="26"/>
  <c r="AI19" i="26"/>
  <c r="AI20" i="26"/>
  <c r="AI9" i="26" s="1"/>
  <c r="AI21" i="26"/>
  <c r="AI22" i="26"/>
  <c r="AI23" i="26"/>
  <c r="AI24" i="26"/>
  <c r="AI25" i="26"/>
  <c r="AI26" i="26"/>
  <c r="AI27" i="26"/>
  <c r="AI28" i="26"/>
  <c r="AI29" i="26"/>
  <c r="AI30" i="26"/>
  <c r="AI31" i="26"/>
  <c r="AI32" i="26"/>
  <c r="AI33" i="26"/>
  <c r="AI34" i="26"/>
  <c r="AI35" i="26"/>
  <c r="AI36" i="26"/>
  <c r="AI37" i="26"/>
  <c r="AI38" i="26"/>
  <c r="AI39" i="26"/>
  <c r="AI40" i="26"/>
  <c r="AI41" i="26"/>
  <c r="AI42" i="26"/>
  <c r="AI43" i="26"/>
  <c r="AI44" i="26"/>
  <c r="AI45" i="26"/>
  <c r="AI46" i="26"/>
  <c r="AI47" i="26"/>
  <c r="AI48" i="26"/>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18" i="27"/>
  <c r="AI19" i="27"/>
  <c r="AI20" i="27"/>
  <c r="AI21" i="27"/>
  <c r="AI22" i="27"/>
  <c r="AI23" i="27"/>
  <c r="AI24" i="27"/>
  <c r="AI25" i="27"/>
  <c r="AI26" i="27"/>
  <c r="AI27" i="27"/>
  <c r="AI28" i="27"/>
  <c r="AI29" i="27"/>
  <c r="AI30" i="27"/>
  <c r="AI31" i="27"/>
  <c r="AI32" i="27"/>
  <c r="AI33" i="27"/>
  <c r="AI6" i="27" s="1"/>
  <c r="AI34" i="27"/>
  <c r="AI35" i="27"/>
  <c r="AI36" i="27"/>
  <c r="AI37" i="27"/>
  <c r="AI38" i="27"/>
  <c r="AI8" i="27" s="1"/>
  <c r="AI39" i="27"/>
  <c r="AI40" i="27"/>
  <c r="AI41" i="27"/>
  <c r="AI42" i="27"/>
  <c r="AI43" i="27"/>
  <c r="AI44" i="27"/>
  <c r="AI45" i="27"/>
  <c r="AI46" i="27"/>
  <c r="AI47" i="27"/>
  <c r="AI48" i="27"/>
  <c r="AI49" i="27"/>
  <c r="AI50" i="27"/>
  <c r="AI51" i="27"/>
  <c r="AI52" i="27"/>
  <c r="AI53" i="27"/>
  <c r="AI54" i="27"/>
  <c r="AI9" i="27" s="1"/>
  <c r="AI55" i="27"/>
  <c r="AI56" i="27"/>
  <c r="AI57" i="27"/>
  <c r="AI58" i="27"/>
  <c r="AI59" i="27"/>
  <c r="AI60" i="27"/>
  <c r="AI61" i="27"/>
  <c r="AI62" i="27"/>
  <c r="AI63" i="27"/>
  <c r="AI64" i="27"/>
  <c r="AI65" i="27"/>
  <c r="AI66" i="27"/>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9" i="29" s="1"/>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2" i="30" s="1"/>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18" i="31"/>
  <c r="AI19" i="31"/>
  <c r="AI20" i="31"/>
  <c r="AI21" i="31"/>
  <c r="AI22" i="31"/>
  <c r="AI23" i="31"/>
  <c r="AI24" i="31"/>
  <c r="AI25" i="31"/>
  <c r="AI26" i="31"/>
  <c r="AI27" i="31"/>
  <c r="AI28" i="31"/>
  <c r="AI29" i="31"/>
  <c r="AI30" i="31"/>
  <c r="AI31" i="31"/>
  <c r="AI32" i="31"/>
  <c r="AI33" i="31"/>
  <c r="AI6" i="31" s="1"/>
  <c r="AI34" i="31"/>
  <c r="AI35" i="31"/>
  <c r="AI36" i="31"/>
  <c r="AI37" i="31"/>
  <c r="AI38" i="31"/>
  <c r="AI8" i="31" s="1"/>
  <c r="AI39" i="31"/>
  <c r="AI40" i="31"/>
  <c r="AI41" i="31"/>
  <c r="AI7" i="31" s="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2" i="33"/>
  <c r="AI23" i="33"/>
  <c r="AI24" i="33"/>
  <c r="AI25" i="33"/>
  <c r="AI26" i="33"/>
  <c r="AI27" i="33"/>
  <c r="AI28" i="33"/>
  <c r="AI29" i="33"/>
  <c r="AI30" i="33"/>
  <c r="AI31" i="33"/>
  <c r="AI32" i="33"/>
  <c r="AI33" i="33"/>
  <c r="AI34" i="33"/>
  <c r="AI5" i="33" s="1"/>
  <c r="AI35" i="33"/>
  <c r="AI36" i="33"/>
  <c r="AI37" i="33"/>
  <c r="AI38" i="33"/>
  <c r="AI39" i="33"/>
  <c r="AI40" i="33"/>
  <c r="AI41" i="33"/>
  <c r="AI42" i="33"/>
  <c r="AI43" i="33"/>
  <c r="AI44" i="33"/>
  <c r="AI45" i="33"/>
  <c r="AI46" i="33"/>
  <c r="AI47" i="33"/>
  <c r="AI48" i="33"/>
  <c r="AI49" i="33"/>
  <c r="AI50" i="33"/>
  <c r="AI51" i="33"/>
  <c r="AI52" i="33"/>
  <c r="AI53" i="33"/>
  <c r="AI54" i="33"/>
  <c r="AI9" i="33" s="1"/>
  <c r="AI55" i="33"/>
  <c r="AI56" i="33"/>
  <c r="AI57" i="33"/>
  <c r="AI58" i="33"/>
  <c r="AI59" i="33"/>
  <c r="AI60" i="33"/>
  <c r="AI61" i="33"/>
  <c r="AI62" i="33"/>
  <c r="AI63" i="33"/>
  <c r="AI64" i="33"/>
  <c r="AI65" i="33"/>
  <c r="AI66" i="33"/>
  <c r="AI7" i="33" s="1"/>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8" i="35" s="1"/>
  <c r="AI39" i="35"/>
  <c r="AI40" i="35"/>
  <c r="AI41" i="35"/>
  <c r="AI7" i="35" s="1"/>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4" i="36" s="1"/>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3" i="37" s="1"/>
  <c r="AI46" i="37"/>
  <c r="AI47" i="37"/>
  <c r="AI48" i="37"/>
  <c r="AI49" i="37"/>
  <c r="AI50" i="37"/>
  <c r="AI51" i="37"/>
  <c r="AI52" i="37"/>
  <c r="AI53" i="37"/>
  <c r="AI54" i="37"/>
  <c r="AI55" i="37"/>
  <c r="AI56" i="37"/>
  <c r="AI57" i="37"/>
  <c r="AI58" i="37"/>
  <c r="AI59" i="37"/>
  <c r="AI60" i="37"/>
  <c r="AI61" i="37"/>
  <c r="AI62" i="37"/>
  <c r="AI63" i="37"/>
  <c r="AI64" i="37"/>
  <c r="AI65" i="37"/>
  <c r="AI66" i="37"/>
  <c r="AI7" i="37" s="1"/>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2" i="38" s="1"/>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8" i="39" s="1"/>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3" i="40" s="1"/>
  <c r="T43" i="14" s="1"/>
  <c r="AI17" i="40"/>
  <c r="AI18" i="40"/>
  <c r="AI19" i="40"/>
  <c r="AI20" i="40"/>
  <c r="AI9" i="40" s="1"/>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7" i="40" s="1"/>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2" i="41"/>
  <c r="AI23" i="41"/>
  <c r="AI24" i="41"/>
  <c r="AI25" i="41"/>
  <c r="AI26" i="41"/>
  <c r="AI27" i="41"/>
  <c r="AI28" i="41"/>
  <c r="AI29" i="41"/>
  <c r="AI30" i="41"/>
  <c r="AI31" i="41"/>
  <c r="AI32" i="41"/>
  <c r="AI33" i="41"/>
  <c r="AI34" i="41"/>
  <c r="AI35" i="41"/>
  <c r="AI36" i="41"/>
  <c r="AI37" i="41"/>
  <c r="AI38" i="41"/>
  <c r="AI8" i="41" s="1"/>
  <c r="AI39" i="41"/>
  <c r="AI40" i="41"/>
  <c r="AI41" i="41"/>
  <c r="AI42" i="41"/>
  <c r="AI43" i="41"/>
  <c r="AI44" i="41"/>
  <c r="AI45" i="41"/>
  <c r="AI3" i="41" s="1"/>
  <c r="AI46" i="41"/>
  <c r="AI47" i="41"/>
  <c r="AI48" i="41"/>
  <c r="AI49" i="41"/>
  <c r="AI50" i="41"/>
  <c r="AI51" i="41"/>
  <c r="AI52" i="41"/>
  <c r="AI53" i="41"/>
  <c r="AI54" i="41"/>
  <c r="AI9" i="41" s="1"/>
  <c r="AI55" i="41"/>
  <c r="AI56" i="41"/>
  <c r="AI57" i="41"/>
  <c r="AI58" i="41"/>
  <c r="AI59" i="41"/>
  <c r="AI60" i="41"/>
  <c r="AI61" i="41"/>
  <c r="AI62" i="41"/>
  <c r="AI63" i="41"/>
  <c r="AI64" i="41"/>
  <c r="AI65" i="41"/>
  <c r="AI66" i="41"/>
  <c r="AI7" i="41" s="1"/>
  <c r="AI67" i="41"/>
  <c r="AI68" i="41"/>
  <c r="AI69" i="4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16" i="42"/>
  <c r="AI17" i="42"/>
  <c r="AI18" i="42"/>
  <c r="AI19" i="42"/>
  <c r="AI20" i="42"/>
  <c r="AI21" i="42"/>
  <c r="AI22" i="42"/>
  <c r="AI23" i="42"/>
  <c r="AI24" i="42"/>
  <c r="AI25" i="42"/>
  <c r="AI26" i="42"/>
  <c r="AI27" i="42"/>
  <c r="AI28" i="42"/>
  <c r="AI29" i="42"/>
  <c r="AI30" i="42"/>
  <c r="AI31" i="42"/>
  <c r="AI32" i="42"/>
  <c r="AI33" i="42"/>
  <c r="AI34" i="42"/>
  <c r="AI35" i="42"/>
  <c r="AI36" i="42"/>
  <c r="AI37" i="42"/>
  <c r="AI38" i="42"/>
  <c r="AI39" i="42"/>
  <c r="AI40" i="42"/>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14" i="23"/>
  <c r="AI14" i="24"/>
  <c r="AI14" i="25"/>
  <c r="AI14" i="26"/>
  <c r="AI14" i="27"/>
  <c r="AI14" i="28"/>
  <c r="AI14" i="29"/>
  <c r="AI14" i="30"/>
  <c r="AI14" i="31"/>
  <c r="AI14" i="32"/>
  <c r="AI14" i="33"/>
  <c r="AI14" i="34"/>
  <c r="AI14" i="35"/>
  <c r="AI14" i="36"/>
  <c r="AI14" i="37"/>
  <c r="AI14" i="38"/>
  <c r="AI14" i="39"/>
  <c r="AI14" i="40"/>
  <c r="AI14" i="41"/>
  <c r="AI14" i="42"/>
  <c r="T40" i="14"/>
  <c r="AI6" i="24"/>
  <c r="AI7" i="26"/>
  <c r="AI3" i="27"/>
  <c r="AI3" i="28"/>
  <c r="AI6" i="28"/>
  <c r="AI6" i="30"/>
  <c r="AI7" i="30"/>
  <c r="AI6" i="32"/>
  <c r="AI3" i="33"/>
  <c r="AI7" i="34"/>
  <c r="AI3" i="35"/>
  <c r="AI6" i="36"/>
  <c r="AI6" i="38"/>
  <c r="AI7" i="38"/>
  <c r="AI6" i="40"/>
  <c r="AI7" i="42"/>
  <c r="AI13" i="18"/>
  <c r="T65" i="14" s="1"/>
  <c r="AI2" i="20"/>
  <c r="AI2" i="24"/>
  <c r="AI3" i="21"/>
  <c r="AI6" i="21"/>
  <c r="AI6" i="20"/>
  <c r="AI7" i="20"/>
  <c r="AI7" i="19"/>
  <c r="AI8" i="19"/>
  <c r="AI6" i="18"/>
  <c r="AI7" i="18"/>
  <c r="AI9" i="18"/>
  <c r="AI3" i="16"/>
  <c r="AI9" i="16"/>
  <c r="AI3" i="13"/>
  <c r="AI6" i="13"/>
  <c r="AI3" i="15"/>
  <c r="AI4" i="15"/>
  <c r="AI7" i="15"/>
  <c r="AI6" i="22"/>
  <c r="AI7" i="22"/>
  <c r="AI3" i="23"/>
  <c r="AI6" i="23"/>
  <c r="AI7" i="25"/>
  <c r="AI6" i="26"/>
  <c r="AI7" i="29"/>
  <c r="AI3" i="30"/>
  <c r="AI3" i="31"/>
  <c r="AI6" i="34"/>
  <c r="AI9" i="37"/>
  <c r="AI3" i="39"/>
  <c r="AI6" i="42"/>
  <c r="S62" i="45" l="1"/>
  <c r="S55" i="45"/>
  <c r="B21" i="17"/>
  <c r="H71" i="14"/>
  <c r="V8" i="45"/>
  <c r="S78" i="45"/>
  <c r="AI5" i="42"/>
  <c r="AI7" i="39"/>
  <c r="AI5" i="39"/>
  <c r="AI2" i="39"/>
  <c r="AI4" i="38"/>
  <c r="AI8" i="38"/>
  <c r="AI9" i="38"/>
  <c r="AI5" i="38"/>
  <c r="AI8" i="37"/>
  <c r="AI9" i="36"/>
  <c r="AI6" i="35"/>
  <c r="AI5" i="35"/>
  <c r="AI13" i="35"/>
  <c r="T48" i="14" s="1"/>
  <c r="AI4" i="34"/>
  <c r="AI8" i="34"/>
  <c r="AI9" i="34"/>
  <c r="AI5" i="34"/>
  <c r="AI8" i="33"/>
  <c r="AI9" i="32"/>
  <c r="AI5" i="31"/>
  <c r="AI2" i="31"/>
  <c r="AI8" i="30"/>
  <c r="AI9" i="30"/>
  <c r="AI13" i="30"/>
  <c r="T53" i="14" s="1"/>
  <c r="AI8" i="29"/>
  <c r="AI5" i="28"/>
  <c r="AI9" i="28"/>
  <c r="AI7" i="27"/>
  <c r="AI5" i="27"/>
  <c r="AI2" i="27"/>
  <c r="AI4" i="26"/>
  <c r="AI8" i="26"/>
  <c r="AI5" i="26"/>
  <c r="AI5" i="25"/>
  <c r="AI8" i="25"/>
  <c r="AI9" i="24"/>
  <c r="AI5" i="23"/>
  <c r="AI2" i="23"/>
  <c r="AI4" i="22"/>
  <c r="AI8" i="22"/>
  <c r="AI9" i="22"/>
  <c r="AI8" i="15"/>
  <c r="AI5" i="16"/>
  <c r="AI2" i="16"/>
  <c r="AI4" i="18"/>
  <c r="AI8" i="18"/>
  <c r="AI5" i="18"/>
  <c r="AI9" i="20"/>
  <c r="AI5" i="21"/>
  <c r="AI2" i="21"/>
  <c r="AI2" i="42"/>
  <c r="AI6" i="41"/>
  <c r="AI2" i="41"/>
  <c r="AI13" i="38"/>
  <c r="T45" i="14" s="1"/>
  <c r="AI9" i="35"/>
  <c r="AI6" i="33"/>
  <c r="AI2" i="33"/>
  <c r="AI7" i="32"/>
  <c r="AI5" i="32"/>
  <c r="AI8" i="32"/>
  <c r="AI9" i="31"/>
  <c r="AI4" i="29"/>
  <c r="AI6" i="29"/>
  <c r="AI3" i="29"/>
  <c r="AI5" i="29"/>
  <c r="AI2" i="29"/>
  <c r="AI7" i="28"/>
  <c r="AI8" i="28"/>
  <c r="AI4" i="28"/>
  <c r="AI3" i="26"/>
  <c r="AI2" i="26"/>
  <c r="AI4" i="25"/>
  <c r="AI3" i="25"/>
  <c r="AI2" i="25"/>
  <c r="AI7" i="24"/>
  <c r="AI5" i="24"/>
  <c r="AI13" i="24"/>
  <c r="T59" i="14" s="1"/>
  <c r="AI9" i="23"/>
  <c r="AI3" i="22"/>
  <c r="AI13" i="22"/>
  <c r="T61" i="14" s="1"/>
  <c r="AI6" i="15"/>
  <c r="AI5" i="15"/>
  <c r="AI13" i="15"/>
  <c r="T62" i="14" s="1"/>
  <c r="AI7" i="13"/>
  <c r="AI5" i="13"/>
  <c r="AI8" i="13"/>
  <c r="AI4" i="13"/>
  <c r="AI13" i="16"/>
  <c r="T64" i="14" s="1"/>
  <c r="AI3" i="18"/>
  <c r="AI2" i="18"/>
  <c r="AI4" i="19"/>
  <c r="AI6" i="19"/>
  <c r="AI3" i="19"/>
  <c r="AI5" i="19"/>
  <c r="AI2" i="19"/>
  <c r="AI5" i="20"/>
  <c r="AI8" i="20"/>
  <c r="AI9" i="21"/>
  <c r="AI7" i="21"/>
  <c r="AI9" i="42"/>
  <c r="AI3" i="42"/>
  <c r="AI5" i="41"/>
  <c r="AI8" i="40"/>
  <c r="AI6" i="39"/>
  <c r="AI3" i="38"/>
  <c r="AI6" i="37"/>
  <c r="AI2" i="37"/>
  <c r="AI8" i="36"/>
  <c r="AI3" i="34"/>
  <c r="AI8" i="42"/>
  <c r="AI4" i="41"/>
  <c r="AI3" i="40"/>
  <c r="AI5" i="40"/>
  <c r="AI9" i="39"/>
  <c r="AI13" i="39"/>
  <c r="T44" i="14" s="1"/>
  <c r="AI5" i="37"/>
  <c r="AI5" i="36"/>
  <c r="AI13" i="36"/>
  <c r="T47" i="14" s="1"/>
  <c r="AI2" i="34"/>
  <c r="S80" i="45"/>
  <c r="S7" i="45"/>
  <c r="V3" i="45"/>
  <c r="R7" i="45"/>
  <c r="Q4" i="45"/>
  <c r="Q13" i="45"/>
  <c r="R1" i="45" s="1"/>
  <c r="S29" i="45"/>
  <c r="S86" i="45"/>
  <c r="U8" i="45"/>
  <c r="S84" i="45"/>
  <c r="S46" i="45"/>
  <c r="S43" i="45"/>
  <c r="U5" i="45"/>
  <c r="S38" i="45"/>
  <c r="S28" i="45"/>
  <c r="S2" i="45"/>
  <c r="T13" i="45"/>
  <c r="U1" i="45" s="1"/>
  <c r="R2" i="45"/>
  <c r="S90" i="45"/>
  <c r="S60" i="45"/>
  <c r="S40" i="45"/>
  <c r="S37" i="45"/>
  <c r="S65" i="45"/>
  <c r="Q9" i="45"/>
  <c r="S5" i="45"/>
  <c r="R9" i="45"/>
  <c r="V2" i="45"/>
  <c r="R4" i="45"/>
  <c r="S8" i="45"/>
  <c r="R6" i="45"/>
  <c r="U13" i="45"/>
  <c r="V1" i="45" s="1"/>
  <c r="S79" i="45"/>
  <c r="S92" i="45"/>
  <c r="S53" i="45"/>
  <c r="S48" i="45"/>
  <c r="S18" i="45"/>
  <c r="U9" i="45"/>
  <c r="S32" i="45"/>
  <c r="S31" i="45"/>
  <c r="Q5" i="45"/>
  <c r="R8" i="45"/>
  <c r="S82" i="45"/>
  <c r="S26" i="45"/>
  <c r="S16" i="45"/>
  <c r="U3" i="45"/>
  <c r="S3" i="45"/>
  <c r="R5" i="45"/>
  <c r="S21" i="45"/>
  <c r="V9" i="45"/>
  <c r="S4" i="45"/>
  <c r="U2" i="45"/>
  <c r="V5" i="45"/>
  <c r="S74" i="45"/>
  <c r="Q7" i="45"/>
  <c r="S87" i="45"/>
  <c r="S52" i="45"/>
  <c r="S42" i="45"/>
  <c r="S63" i="45"/>
  <c r="S58" i="45"/>
  <c r="S85" i="45"/>
  <c r="S66" i="45"/>
  <c r="S34" i="45"/>
  <c r="R3" i="45"/>
  <c r="V4" i="45"/>
  <c r="V7" i="45"/>
  <c r="V6" i="45"/>
  <c r="U4" i="45"/>
  <c r="S76" i="45"/>
  <c r="S71" i="45"/>
  <c r="S88" i="45"/>
  <c r="S50" i="45"/>
  <c r="S56" i="45"/>
  <c r="S45" i="45"/>
  <c r="S15" i="45"/>
  <c r="S23" i="45"/>
  <c r="Q3" i="45"/>
  <c r="U7" i="45"/>
  <c r="S14" i="45"/>
  <c r="P13" i="45"/>
  <c r="Q1" i="45" s="1"/>
  <c r="S9" i="45"/>
  <c r="S24" i="45"/>
  <c r="Q2" i="45"/>
  <c r="R13" i="45"/>
  <c r="S1" i="45" s="1"/>
  <c r="Q8" i="45"/>
  <c r="AO62" i="14"/>
  <c r="AI10" i="34"/>
  <c r="AI13" i="20"/>
  <c r="T67" i="14" s="1"/>
  <c r="AI4" i="40"/>
  <c r="AI4" i="23"/>
  <c r="AI10" i="23" s="1"/>
  <c r="AI9" i="13"/>
  <c r="AI4" i="21"/>
  <c r="AI2" i="22"/>
  <c r="AI10" i="22" s="1"/>
  <c r="AI13" i="21"/>
  <c r="T68" i="14" s="1"/>
  <c r="AI4" i="32"/>
  <c r="AI4" i="20"/>
  <c r="AI2" i="15"/>
  <c r="AI13" i="32"/>
  <c r="T51" i="14" s="1"/>
  <c r="AI13" i="31"/>
  <c r="T52" i="14" s="1"/>
  <c r="AI4" i="24"/>
  <c r="AI13" i="23"/>
  <c r="T60" i="14" s="1"/>
  <c r="AI5" i="30"/>
  <c r="AI2" i="35"/>
  <c r="AI4" i="16"/>
  <c r="AI13" i="13"/>
  <c r="AI13" i="41"/>
  <c r="T42" i="14" s="1"/>
  <c r="AI13" i="19"/>
  <c r="T66" i="14" s="1"/>
  <c r="AI10" i="24"/>
  <c r="AI10" i="42"/>
  <c r="AI4" i="35"/>
  <c r="AI4" i="27"/>
  <c r="AI10" i="27" s="1"/>
  <c r="AI2" i="40"/>
  <c r="AI10" i="40" s="1"/>
  <c r="AI2" i="32"/>
  <c r="AI13" i="28"/>
  <c r="T55" i="14" s="1"/>
  <c r="AI13" i="27"/>
  <c r="T56" i="14" s="1"/>
  <c r="AI13" i="26"/>
  <c r="T57" i="14" s="1"/>
  <c r="AI10" i="26"/>
  <c r="AI13" i="34"/>
  <c r="T49" i="14" s="1"/>
  <c r="AI13" i="25"/>
  <c r="T58" i="14" s="1"/>
  <c r="AI4" i="30"/>
  <c r="AI10" i="30" s="1"/>
  <c r="AI4" i="39"/>
  <c r="AI10" i="39" s="1"/>
  <c r="AI4" i="31"/>
  <c r="AI10" i="31" s="1"/>
  <c r="AI13" i="42"/>
  <c r="T41" i="14" s="1"/>
  <c r="AI13" i="33"/>
  <c r="T50" i="14" s="1"/>
  <c r="AI13" i="37"/>
  <c r="T46" i="14" s="1"/>
  <c r="AI13" i="29"/>
  <c r="T54" i="14" s="1"/>
  <c r="AI10" i="32"/>
  <c r="AI10" i="41"/>
  <c r="AI10" i="35"/>
  <c r="AI10" i="18"/>
  <c r="AI10" i="20"/>
  <c r="AI10" i="21"/>
  <c r="AI10" i="33"/>
  <c r="AI10" i="25"/>
  <c r="AI10" i="36"/>
  <c r="AI10" i="16"/>
  <c r="AI10" i="19"/>
  <c r="AI10" i="28"/>
  <c r="AI10" i="38"/>
  <c r="AI10" i="37"/>
  <c r="AI10" i="13"/>
  <c r="AI10" i="29"/>
  <c r="AI10" i="15"/>
  <c r="T7" i="45" l="1"/>
  <c r="BI45" i="14"/>
  <c r="BI53" i="14"/>
  <c r="BI61" i="14"/>
  <c r="BI46" i="14"/>
  <c r="BI54" i="14"/>
  <c r="BI62" i="14"/>
  <c r="BI47" i="14"/>
  <c r="BI55" i="14"/>
  <c r="BI48" i="14"/>
  <c r="BI56" i="14"/>
  <c r="BI41" i="14"/>
  <c r="BI49" i="14"/>
  <c r="BI57" i="14"/>
  <c r="BI42" i="14"/>
  <c r="BI50" i="14"/>
  <c r="BI58" i="14"/>
  <c r="BI43" i="14"/>
  <c r="BI51" i="14"/>
  <c r="BI59" i="14"/>
  <c r="BI44" i="14"/>
  <c r="BI52" i="14"/>
  <c r="BI60" i="14"/>
  <c r="T8" i="45"/>
  <c r="T3" i="45"/>
  <c r="S13" i="45"/>
  <c r="T1" i="45" s="1"/>
  <c r="T5" i="45"/>
  <c r="T6" i="45"/>
  <c r="T9" i="45"/>
  <c r="T2" i="45"/>
  <c r="T4" i="45"/>
  <c r="AO41" i="14"/>
  <c r="AO49" i="14"/>
  <c r="AO57" i="14"/>
  <c r="AO42" i="14"/>
  <c r="AO50" i="14"/>
  <c r="AO58" i="14"/>
  <c r="AO43" i="14"/>
  <c r="AO51" i="14"/>
  <c r="AO59" i="14"/>
  <c r="AO44" i="14"/>
  <c r="AO52" i="14"/>
  <c r="AO60" i="14"/>
  <c r="AO45" i="14"/>
  <c r="AO53" i="14"/>
  <c r="AO61" i="14"/>
  <c r="AO56" i="14"/>
  <c r="AO46" i="14"/>
  <c r="AO54" i="14"/>
  <c r="AO47" i="14"/>
  <c r="AO55" i="14"/>
  <c r="AO48" i="14"/>
  <c r="T63" i="14"/>
  <c r="A18" i="17"/>
  <c r="BI68" i="14" l="1"/>
  <c r="BI66" i="14"/>
  <c r="BI64" i="14"/>
  <c r="BI63" i="14"/>
  <c r="BI67" i="14"/>
  <c r="BI65" i="14"/>
  <c r="AO64" i="14"/>
  <c r="AO65" i="14"/>
  <c r="AO66" i="14"/>
  <c r="AO63" i="14"/>
  <c r="AO68" i="14"/>
  <c r="AO67" i="14"/>
  <c r="E15" i="44"/>
  <c r="E16" i="44"/>
  <c r="E17" i="44"/>
  <c r="E18" i="44"/>
  <c r="E19" i="44"/>
  <c r="E20" i="44"/>
  <c r="E21" i="44"/>
  <c r="E22" i="44"/>
  <c r="E23" i="44"/>
  <c r="E24" i="44"/>
  <c r="E25" i="44"/>
  <c r="E26" i="44"/>
  <c r="E27" i="44"/>
  <c r="E28" i="44"/>
  <c r="E29" i="44"/>
  <c r="P29" i="44" s="1"/>
  <c r="E30" i="44"/>
  <c r="E31" i="44"/>
  <c r="E32" i="44"/>
  <c r="E33" i="44"/>
  <c r="E34" i="44"/>
  <c r="E35" i="44"/>
  <c r="E36" i="44"/>
  <c r="E37" i="44"/>
  <c r="U37" i="44" s="1"/>
  <c r="E38" i="44"/>
  <c r="R38" i="44" s="1"/>
  <c r="E39" i="44"/>
  <c r="U39" i="44" s="1"/>
  <c r="E40" i="44"/>
  <c r="E41" i="44"/>
  <c r="E42" i="44"/>
  <c r="E43" i="44"/>
  <c r="E44" i="44"/>
  <c r="E45" i="44"/>
  <c r="U45" i="44" s="1"/>
  <c r="E46" i="44"/>
  <c r="U46" i="44" s="1"/>
  <c r="E47" i="44"/>
  <c r="R47" i="44" s="1"/>
  <c r="E48" i="44"/>
  <c r="E49" i="44"/>
  <c r="E50" i="44"/>
  <c r="E51" i="44"/>
  <c r="E52" i="44"/>
  <c r="E53" i="44"/>
  <c r="E54" i="44"/>
  <c r="E55" i="44"/>
  <c r="E56" i="44"/>
  <c r="E57" i="44"/>
  <c r="E58" i="44"/>
  <c r="E59" i="44"/>
  <c r="E60" i="44"/>
  <c r="E61" i="44"/>
  <c r="E62" i="44"/>
  <c r="E63" i="44"/>
  <c r="E64" i="44"/>
  <c r="E65" i="44"/>
  <c r="E66" i="44"/>
  <c r="E67" i="44"/>
  <c r="E68" i="44"/>
  <c r="E69" i="44"/>
  <c r="E70" i="44"/>
  <c r="P70" i="44" s="1"/>
  <c r="E71" i="44"/>
  <c r="R71" i="44" s="1"/>
  <c r="E72" i="44"/>
  <c r="E73" i="44"/>
  <c r="E74" i="44"/>
  <c r="E75" i="44"/>
  <c r="E76" i="44"/>
  <c r="E77" i="44"/>
  <c r="R77" i="44" s="1"/>
  <c r="E78" i="44"/>
  <c r="R78" i="44" s="1"/>
  <c r="E79" i="44"/>
  <c r="P79" i="44" s="1"/>
  <c r="E80" i="44"/>
  <c r="E81" i="44"/>
  <c r="E82" i="44"/>
  <c r="E83" i="44"/>
  <c r="E84" i="44"/>
  <c r="E85" i="44"/>
  <c r="T85" i="44" s="1"/>
  <c r="E86" i="44"/>
  <c r="R86" i="44" s="1"/>
  <c r="E87" i="44"/>
  <c r="E88" i="44"/>
  <c r="E89" i="44"/>
  <c r="E90" i="44"/>
  <c r="E91" i="44"/>
  <c r="E92" i="44"/>
  <c r="E14" i="44"/>
  <c r="R14" i="44" s="1"/>
  <c r="AC71" i="14"/>
  <c r="AW71" i="14"/>
  <c r="G70" i="14"/>
  <c r="R92" i="44"/>
  <c r="P92" i="44"/>
  <c r="O92" i="44"/>
  <c r="T91" i="44"/>
  <c r="R91" i="44"/>
  <c r="Q91" i="44"/>
  <c r="O91" i="44"/>
  <c r="P91" i="44"/>
  <c r="R90" i="44"/>
  <c r="P90" i="44"/>
  <c r="O90" i="44"/>
  <c r="T89" i="44"/>
  <c r="R89" i="44"/>
  <c r="O89" i="44"/>
  <c r="Q89" i="44" s="1"/>
  <c r="P89" i="44"/>
  <c r="R88" i="44"/>
  <c r="P88" i="44"/>
  <c r="O88" i="44"/>
  <c r="P87" i="44"/>
  <c r="O87" i="44"/>
  <c r="O86" i="44"/>
  <c r="O85" i="44"/>
  <c r="R84" i="44"/>
  <c r="P84" i="44"/>
  <c r="O84" i="44"/>
  <c r="R83" i="44"/>
  <c r="O83" i="44"/>
  <c r="Q83" i="44" s="1"/>
  <c r="P83" i="44"/>
  <c r="R82" i="44"/>
  <c r="P82" i="44"/>
  <c r="O82" i="44"/>
  <c r="Q82" i="44" s="1"/>
  <c r="R81" i="44"/>
  <c r="P81" i="44"/>
  <c r="O81" i="44"/>
  <c r="Q81" i="44" s="1"/>
  <c r="R80" i="44"/>
  <c r="P80" i="44"/>
  <c r="O80" i="44"/>
  <c r="Q80" i="44" s="1"/>
  <c r="O79" i="44"/>
  <c r="Q79" i="44" s="1"/>
  <c r="O78" i="44"/>
  <c r="O77" i="44"/>
  <c r="T77" i="44" s="1"/>
  <c r="R76" i="44"/>
  <c r="P76" i="44"/>
  <c r="O76" i="44"/>
  <c r="Q76" i="44" s="1"/>
  <c r="T75" i="44"/>
  <c r="R75" i="44"/>
  <c r="O75" i="44"/>
  <c r="Q75" i="44" s="1"/>
  <c r="P75" i="44"/>
  <c r="R74" i="44"/>
  <c r="P74" i="44"/>
  <c r="O74" i="44"/>
  <c r="Q74" i="44" s="1"/>
  <c r="R73" i="44"/>
  <c r="O73" i="44"/>
  <c r="Q73" i="44" s="1"/>
  <c r="P73" i="44"/>
  <c r="R72" i="44"/>
  <c r="P72" i="44"/>
  <c r="O72" i="44"/>
  <c r="Q72" i="44" s="1"/>
  <c r="O71" i="44"/>
  <c r="Q71" i="44" s="1"/>
  <c r="R70" i="44"/>
  <c r="O70" i="44"/>
  <c r="O69" i="44"/>
  <c r="R68" i="44"/>
  <c r="P68" i="44"/>
  <c r="O68" i="44"/>
  <c r="Q68" i="44" s="1"/>
  <c r="R67" i="44"/>
  <c r="P67" i="44"/>
  <c r="O67" i="44"/>
  <c r="Q67" i="44" s="1"/>
  <c r="P66" i="44"/>
  <c r="O66" i="44"/>
  <c r="T66" i="44" s="1"/>
  <c r="R65" i="44"/>
  <c r="P65" i="44"/>
  <c r="O65" i="44"/>
  <c r="Q65" i="44" s="1"/>
  <c r="P64" i="44"/>
  <c r="O64" i="44"/>
  <c r="T64" i="44" s="1"/>
  <c r="R63" i="44"/>
  <c r="O63" i="44"/>
  <c r="O62" i="44"/>
  <c r="R61" i="44"/>
  <c r="O61" i="44"/>
  <c r="T61" i="44" s="1"/>
  <c r="P60" i="44"/>
  <c r="O60" i="44"/>
  <c r="T60" i="44" s="1"/>
  <c r="T59" i="44"/>
  <c r="R59" i="44"/>
  <c r="P59" i="44"/>
  <c r="O59" i="44"/>
  <c r="Q59" i="44" s="1"/>
  <c r="O58" i="44"/>
  <c r="U58" i="44"/>
  <c r="R57" i="44"/>
  <c r="P57" i="44"/>
  <c r="O57" i="44"/>
  <c r="Q57" i="44" s="1"/>
  <c r="O56" i="44"/>
  <c r="U56" i="44"/>
  <c r="O55" i="44"/>
  <c r="O54" i="44"/>
  <c r="O53" i="44"/>
  <c r="O52" i="44"/>
  <c r="T52" i="44" s="1"/>
  <c r="O51" i="44"/>
  <c r="R50" i="44"/>
  <c r="O50" i="44"/>
  <c r="Q50" i="44" s="1"/>
  <c r="O49" i="44"/>
  <c r="O48" i="44"/>
  <c r="U48" i="44"/>
  <c r="O47" i="44"/>
  <c r="O46" i="44"/>
  <c r="O45" i="44"/>
  <c r="Q45" i="44" s="1"/>
  <c r="U44" i="44"/>
  <c r="R44" i="44"/>
  <c r="O44" i="44"/>
  <c r="Q44" i="44" s="1"/>
  <c r="O43" i="44"/>
  <c r="Q43" i="44" s="1"/>
  <c r="U43" i="44"/>
  <c r="O42" i="44"/>
  <c r="R41" i="44"/>
  <c r="O41" i="44"/>
  <c r="Q41" i="44" s="1"/>
  <c r="U41" i="44"/>
  <c r="O40" i="44"/>
  <c r="U40" i="44"/>
  <c r="O39" i="44"/>
  <c r="O38" i="44"/>
  <c r="O37" i="44"/>
  <c r="U36" i="44"/>
  <c r="R36" i="44"/>
  <c r="O36" i="44"/>
  <c r="Q36" i="44" s="1"/>
  <c r="U35" i="44"/>
  <c r="P35" i="44"/>
  <c r="O35" i="44"/>
  <c r="Q35" i="44" s="1"/>
  <c r="O34" i="44"/>
  <c r="P33" i="44"/>
  <c r="O33" i="44"/>
  <c r="T33" i="44" s="1"/>
  <c r="U32" i="44"/>
  <c r="O32" i="44"/>
  <c r="R32" i="44"/>
  <c r="O31" i="44"/>
  <c r="O30" i="44"/>
  <c r="O29" i="44"/>
  <c r="U28" i="44"/>
  <c r="R28" i="44"/>
  <c r="O28" i="44"/>
  <c r="Q27" i="44"/>
  <c r="P27" i="44"/>
  <c r="O27" i="44"/>
  <c r="R26" i="44"/>
  <c r="P26" i="44"/>
  <c r="O26" i="44"/>
  <c r="U26" i="44"/>
  <c r="P25" i="44"/>
  <c r="O25" i="44"/>
  <c r="T25" i="44" s="1"/>
  <c r="R24" i="44"/>
  <c r="P24" i="44"/>
  <c r="O24" i="44"/>
  <c r="U24" i="44"/>
  <c r="O23" i="44"/>
  <c r="O22" i="44"/>
  <c r="O21" i="44"/>
  <c r="U20" i="44"/>
  <c r="O20" i="44"/>
  <c r="Q20" i="44" s="1"/>
  <c r="U19" i="44"/>
  <c r="P19" i="44"/>
  <c r="O19" i="44"/>
  <c r="Q19" i="44" s="1"/>
  <c r="R19" i="44"/>
  <c r="R18" i="44"/>
  <c r="P18" i="44"/>
  <c r="O18" i="44"/>
  <c r="U18" i="44"/>
  <c r="R17" i="44"/>
  <c r="P17" i="44"/>
  <c r="O17" i="44"/>
  <c r="Q17" i="44" s="1"/>
  <c r="R16" i="44"/>
  <c r="P16" i="44"/>
  <c r="O16" i="44"/>
  <c r="T16" i="44" s="1"/>
  <c r="O15" i="44"/>
  <c r="P14" i="44"/>
  <c r="O14" i="44"/>
  <c r="T14" i="44" s="1"/>
  <c r="L13" i="44"/>
  <c r="K13" i="44"/>
  <c r="J13" i="44"/>
  <c r="I13" i="44"/>
  <c r="H13" i="44"/>
  <c r="J9" i="44"/>
  <c r="B9" i="44"/>
  <c r="O9" i="44" s="1"/>
  <c r="J8" i="44"/>
  <c r="B8" i="44"/>
  <c r="O8" i="44" s="1"/>
  <c r="J7" i="44"/>
  <c r="B7" i="44"/>
  <c r="P7" i="44" s="1"/>
  <c r="J6" i="44"/>
  <c r="B6" i="44"/>
  <c r="P6" i="44" s="1"/>
  <c r="J5" i="44"/>
  <c r="B5" i="44"/>
  <c r="N5" i="44" s="1"/>
  <c r="J4" i="44"/>
  <c r="B4" i="44"/>
  <c r="O4" i="44" s="1"/>
  <c r="J3" i="44"/>
  <c r="B3" i="44"/>
  <c r="P3" i="44" s="1"/>
  <c r="M2" i="44"/>
  <c r="J2" i="44"/>
  <c r="B2" i="44"/>
  <c r="O2" i="44" s="1"/>
  <c r="O1" i="44"/>
  <c r="N1" i="44"/>
  <c r="M1" i="44"/>
  <c r="L1" i="44"/>
  <c r="AW70" i="14" l="1"/>
  <c r="M4" i="44"/>
  <c r="M6" i="44"/>
  <c r="O6" i="44"/>
  <c r="M8" i="44"/>
  <c r="L5" i="44"/>
  <c r="F7" i="44"/>
  <c r="H20" i="17" s="1"/>
  <c r="P5" i="44"/>
  <c r="N7" i="44"/>
  <c r="P9" i="44"/>
  <c r="Q33" i="44"/>
  <c r="T87" i="44"/>
  <c r="Q63" i="44"/>
  <c r="T55" i="44"/>
  <c r="Q31" i="44"/>
  <c r="T23" i="44"/>
  <c r="T15" i="44"/>
  <c r="T57" i="44"/>
  <c r="T65" i="44"/>
  <c r="T67" i="44"/>
  <c r="T54" i="44"/>
  <c r="T69" i="44"/>
  <c r="Q61" i="44"/>
  <c r="T53" i="44"/>
  <c r="T21" i="44"/>
  <c r="Q25" i="44"/>
  <c r="T83" i="44"/>
  <c r="T17" i="44"/>
  <c r="T81" i="44"/>
  <c r="T73" i="44"/>
  <c r="Q15" i="44"/>
  <c r="Q39" i="44"/>
  <c r="T63" i="44"/>
  <c r="P71" i="44"/>
  <c r="R79" i="44"/>
  <c r="R87" i="44"/>
  <c r="P15" i="44"/>
  <c r="R39" i="44"/>
  <c r="T79" i="44"/>
  <c r="R15" i="44"/>
  <c r="S15" i="44" s="1"/>
  <c r="P23" i="44"/>
  <c r="T31" i="44"/>
  <c r="U47" i="44"/>
  <c r="P55" i="44"/>
  <c r="Q85" i="44"/>
  <c r="Q23" i="44"/>
  <c r="P31" i="44"/>
  <c r="Q55" i="44"/>
  <c r="P85" i="44"/>
  <c r="Q47" i="44"/>
  <c r="R55" i="44"/>
  <c r="P63" i="44"/>
  <c r="Q87" i="44"/>
  <c r="K4" i="44"/>
  <c r="P53" i="44"/>
  <c r="S71" i="44"/>
  <c r="P78" i="44"/>
  <c r="R85" i="44"/>
  <c r="S85" i="44" s="1"/>
  <c r="K2" i="44"/>
  <c r="K6" i="44"/>
  <c r="Q21" i="44"/>
  <c r="Q53" i="44"/>
  <c r="R6" i="44" s="1"/>
  <c r="Q69" i="44"/>
  <c r="P21" i="44"/>
  <c r="R53" i="44"/>
  <c r="P69" i="44"/>
  <c r="K8" i="44"/>
  <c r="Q37" i="44"/>
  <c r="R69" i="44"/>
  <c r="P77" i="44"/>
  <c r="S77" i="44" s="1"/>
  <c r="S91" i="44"/>
  <c r="P61" i="44"/>
  <c r="S75" i="44"/>
  <c r="Q77" i="44"/>
  <c r="S87" i="44"/>
  <c r="AC70" i="14"/>
  <c r="P86" i="44"/>
  <c r="U30" i="44"/>
  <c r="U38" i="44"/>
  <c r="Q46" i="44"/>
  <c r="P62" i="44"/>
  <c r="Q38" i="44"/>
  <c r="R46" i="44"/>
  <c r="T62" i="44"/>
  <c r="Q54" i="44"/>
  <c r="Q70" i="44"/>
  <c r="S70" i="44" s="1"/>
  <c r="S81" i="44"/>
  <c r="Q78" i="44"/>
  <c r="S78" i="44" s="1"/>
  <c r="F3" i="44"/>
  <c r="D20" i="17" s="1"/>
  <c r="Q22" i="44"/>
  <c r="U22" i="44"/>
  <c r="K1" i="44"/>
  <c r="T22" i="44"/>
  <c r="R22" i="44"/>
  <c r="P22" i="44"/>
  <c r="T29" i="44"/>
  <c r="Q29" i="44"/>
  <c r="B10" i="44"/>
  <c r="C5" i="44" s="1"/>
  <c r="N3" i="44"/>
  <c r="K5" i="44"/>
  <c r="O5" i="44"/>
  <c r="M5" i="44"/>
  <c r="L3" i="44"/>
  <c r="F5" i="44"/>
  <c r="F20" i="17" s="1"/>
  <c r="S17" i="44"/>
  <c r="O3" i="44"/>
  <c r="M3" i="44"/>
  <c r="K3" i="44"/>
  <c r="F2" i="44"/>
  <c r="C20" i="17" s="1"/>
  <c r="N2" i="44"/>
  <c r="P4" i="44"/>
  <c r="O7" i="44"/>
  <c r="L8" i="44"/>
  <c r="Q14" i="44"/>
  <c r="U15" i="44"/>
  <c r="Q16" i="44"/>
  <c r="U17" i="44"/>
  <c r="Q18" i="44"/>
  <c r="T19" i="44"/>
  <c r="T28" i="44"/>
  <c r="Q28" i="44"/>
  <c r="P28" i="44"/>
  <c r="P2" i="44"/>
  <c r="L6" i="44"/>
  <c r="F8" i="44"/>
  <c r="I20" i="17" s="1"/>
  <c r="N8" i="44"/>
  <c r="K9" i="44"/>
  <c r="T30" i="44"/>
  <c r="Q30" i="44"/>
  <c r="P30" i="44"/>
  <c r="T34" i="44"/>
  <c r="R34" i="44"/>
  <c r="Q34" i="44"/>
  <c r="P34" i="44"/>
  <c r="P49" i="44"/>
  <c r="T49" i="44"/>
  <c r="U49" i="44"/>
  <c r="R49" i="44"/>
  <c r="Q49" i="44"/>
  <c r="L9" i="44"/>
  <c r="O13" i="44"/>
  <c r="P1" i="44" s="1"/>
  <c r="T18" i="44"/>
  <c r="P20" i="44"/>
  <c r="T24" i="44"/>
  <c r="Q24" i="44"/>
  <c r="T26" i="44"/>
  <c r="Q26" i="44"/>
  <c r="L4" i="44"/>
  <c r="F6" i="44"/>
  <c r="G20" i="17" s="1"/>
  <c r="N6" i="44"/>
  <c r="K7" i="44"/>
  <c r="P8" i="44"/>
  <c r="C9" i="44"/>
  <c r="M9" i="44"/>
  <c r="U14" i="44"/>
  <c r="U16" i="44"/>
  <c r="R20" i="44"/>
  <c r="R30" i="44"/>
  <c r="U34" i="44"/>
  <c r="L7" i="44"/>
  <c r="F9" i="44"/>
  <c r="J20" i="17" s="1"/>
  <c r="N9" i="44"/>
  <c r="T27" i="44"/>
  <c r="T42" i="44"/>
  <c r="P42" i="44"/>
  <c r="U42" i="44"/>
  <c r="R42" i="44"/>
  <c r="Q42" i="44"/>
  <c r="Q48" i="44"/>
  <c r="L2" i="44"/>
  <c r="F4" i="44"/>
  <c r="E20" i="17" s="1"/>
  <c r="N4" i="44"/>
  <c r="C7" i="44"/>
  <c r="M7" i="44"/>
  <c r="S19" i="44"/>
  <c r="T20" i="44"/>
  <c r="T32" i="44"/>
  <c r="Q32" i="44"/>
  <c r="P32" i="44"/>
  <c r="Q40" i="44"/>
  <c r="R21" i="44"/>
  <c r="R23" i="44"/>
  <c r="R25" i="44"/>
  <c r="R27" i="44"/>
  <c r="S27" i="44" s="1"/>
  <c r="R29" i="44"/>
  <c r="R31" i="44"/>
  <c r="R33" i="44"/>
  <c r="S33" i="44" s="1"/>
  <c r="R35" i="44"/>
  <c r="P39" i="44"/>
  <c r="T39" i="44"/>
  <c r="R43" i="44"/>
  <c r="U51" i="44"/>
  <c r="S57" i="44"/>
  <c r="S25"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U67" i="44"/>
  <c r="T71" i="44"/>
  <c r="R60" i="44"/>
  <c r="R62" i="44"/>
  <c r="R64" i="44"/>
  <c r="R66" i="44"/>
  <c r="S69" i="44"/>
  <c r="Q84" i="44"/>
  <c r="Q86" i="44"/>
  <c r="U60" i="44"/>
  <c r="U62" i="44"/>
  <c r="U64" i="44"/>
  <c r="U66"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61" i="44" l="1"/>
  <c r="S66" i="44"/>
  <c r="S21" i="44"/>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A17" i="17"/>
  <c r="A16" i="17"/>
  <c r="N40" i="14"/>
  <c r="AC16" i="15"/>
  <c r="AC17" i="15"/>
  <c r="AC18" i="15"/>
  <c r="AC19" i="15"/>
  <c r="AC20" i="15"/>
  <c r="AC21" i="15"/>
  <c r="AC22" i="15"/>
  <c r="AC23" i="15"/>
  <c r="AC24" i="15"/>
  <c r="AC25" i="15"/>
  <c r="AC26" i="15"/>
  <c r="AC27" i="15"/>
  <c r="AC28" i="15"/>
  <c r="AC29" i="15"/>
  <c r="AC30" i="15"/>
  <c r="AC31" i="15"/>
  <c r="AC32" i="15"/>
  <c r="AC33" i="15"/>
  <c r="AC34" i="15"/>
  <c r="AC35" i="15"/>
  <c r="AC36" i="15"/>
  <c r="AC37" i="15"/>
  <c r="AC38" i="15"/>
  <c r="AC39" i="15"/>
  <c r="AC40" i="15"/>
  <c r="AC41" i="15"/>
  <c r="AC7" i="15" s="1"/>
  <c r="AC42" i="15"/>
  <c r="AC43" i="15"/>
  <c r="AC44" i="15"/>
  <c r="AC45" i="15"/>
  <c r="AC3" i="15" s="1"/>
  <c r="AC46" i="15"/>
  <c r="AC47" i="15"/>
  <c r="AC48" i="15"/>
  <c r="AC49" i="15"/>
  <c r="AC50" i="15"/>
  <c r="AC51" i="15"/>
  <c r="AC52" i="15"/>
  <c r="AC53" i="15"/>
  <c r="AC6" i="15" s="1"/>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23" i="23"/>
  <c r="AC24" i="23"/>
  <c r="AC25" i="23"/>
  <c r="AC26" i="23"/>
  <c r="AC27" i="23"/>
  <c r="AC28" i="23"/>
  <c r="AC29" i="23"/>
  <c r="AC30" i="23"/>
  <c r="AC31" i="23"/>
  <c r="AC32" i="23"/>
  <c r="AC33" i="23"/>
  <c r="AC34" i="23"/>
  <c r="AC35" i="23"/>
  <c r="AC5" i="23" s="1"/>
  <c r="AC36" i="23"/>
  <c r="AC37" i="23"/>
  <c r="AC38" i="23"/>
  <c r="AC39" i="23"/>
  <c r="AC40" i="23"/>
  <c r="AC41" i="23"/>
  <c r="AC42" i="23"/>
  <c r="AC43" i="23"/>
  <c r="AC7" i="23" s="1"/>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8" i="24"/>
  <c r="AC19" i="24"/>
  <c r="AC20" i="24"/>
  <c r="AC21" i="24"/>
  <c r="AC22" i="24"/>
  <c r="AC23" i="24"/>
  <c r="AC24" i="24"/>
  <c r="AC25" i="24"/>
  <c r="AC26" i="24"/>
  <c r="AC27" i="24"/>
  <c r="AC28" i="24"/>
  <c r="AC29" i="24"/>
  <c r="AC30" i="24"/>
  <c r="AC31" i="24"/>
  <c r="AC32" i="24"/>
  <c r="AC33" i="24"/>
  <c r="AC6" i="24" s="1"/>
  <c r="AC34" i="24"/>
  <c r="AC35" i="24"/>
  <c r="AC36" i="24"/>
  <c r="AC37" i="24"/>
  <c r="AC38" i="24"/>
  <c r="AC39" i="24"/>
  <c r="AC40" i="24"/>
  <c r="AC41" i="24"/>
  <c r="AC7" i="24" s="1"/>
  <c r="AC42" i="24"/>
  <c r="AC43" i="24"/>
  <c r="AC44" i="24"/>
  <c r="AC45" i="24"/>
  <c r="AC46" i="24"/>
  <c r="AC47" i="24"/>
  <c r="AC48" i="24"/>
  <c r="AC49" i="24"/>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21" i="25"/>
  <c r="AC22" i="25"/>
  <c r="AC23" i="25"/>
  <c r="AC24" i="25"/>
  <c r="AC25" i="25"/>
  <c r="AC26" i="25"/>
  <c r="AC27" i="25"/>
  <c r="AC28" i="25"/>
  <c r="AC29" i="25"/>
  <c r="AC30" i="25"/>
  <c r="AC31" i="25"/>
  <c r="AC32" i="25"/>
  <c r="AC33" i="25"/>
  <c r="AC34" i="25"/>
  <c r="AC35" i="25"/>
  <c r="AC36" i="25"/>
  <c r="AC37" i="25"/>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9" i="27"/>
  <c r="AC20" i="27"/>
  <c r="AC21" i="27"/>
  <c r="AC22" i="27"/>
  <c r="AC23" i="27"/>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9" i="27" s="1"/>
  <c r="AC48" i="27"/>
  <c r="AC49" i="27"/>
  <c r="AC50" i="27"/>
  <c r="AC6" i="27" s="1"/>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38" i="28"/>
  <c r="AC39" i="28"/>
  <c r="AC40" i="28"/>
  <c r="AC41" i="28"/>
  <c r="AC42" i="28"/>
  <c r="AC43" i="28"/>
  <c r="AC44" i="28"/>
  <c r="AC45" i="28"/>
  <c r="AC46" i="28"/>
  <c r="AC47" i="28"/>
  <c r="AC48" i="28"/>
  <c r="AC49" i="28"/>
  <c r="AC50" i="28"/>
  <c r="AC51" i="28"/>
  <c r="AC52" i="28"/>
  <c r="AC53" i="28"/>
  <c r="AC54" i="28"/>
  <c r="AC9" i="28" s="1"/>
  <c r="AC55" i="28"/>
  <c r="AC56" i="28"/>
  <c r="AC57" i="28"/>
  <c r="AC58" i="28"/>
  <c r="AC59" i="28"/>
  <c r="AC60" i="28"/>
  <c r="AC61" i="28"/>
  <c r="AC62" i="28"/>
  <c r="AC63" i="28"/>
  <c r="AC64" i="28"/>
  <c r="AC65" i="28"/>
  <c r="AC66" i="28"/>
  <c r="AC67" i="28"/>
  <c r="AC68" i="28"/>
  <c r="AC69" i="28"/>
  <c r="AC70" i="28"/>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17" i="29"/>
  <c r="AC18" i="29"/>
  <c r="AC19" i="29"/>
  <c r="AC20" i="29"/>
  <c r="AC21" i="29"/>
  <c r="AC22" i="29"/>
  <c r="AC23" i="29"/>
  <c r="AC24" i="29"/>
  <c r="AC25" i="29"/>
  <c r="AC26" i="29"/>
  <c r="AC27" i="29"/>
  <c r="AC28" i="29"/>
  <c r="AC29" i="29"/>
  <c r="AC30" i="29"/>
  <c r="AC31" i="29"/>
  <c r="AC32" i="29"/>
  <c r="AC33" i="29"/>
  <c r="AC34" i="29"/>
  <c r="AC35" i="29"/>
  <c r="AC36" i="29"/>
  <c r="AC37" i="29"/>
  <c r="AC38" i="29"/>
  <c r="AC39" i="29"/>
  <c r="AC40" i="29"/>
  <c r="AC41" i="29"/>
  <c r="AC7" i="29" s="1"/>
  <c r="AC42" i="29"/>
  <c r="AC43" i="29"/>
  <c r="AC44" i="29"/>
  <c r="AC45" i="29"/>
  <c r="AC3" i="29" s="1"/>
  <c r="AC46" i="29"/>
  <c r="AC47" i="29"/>
  <c r="AC48" i="29"/>
  <c r="AC49" i="29"/>
  <c r="AC50" i="29"/>
  <c r="AC51" i="29"/>
  <c r="AC52" i="29"/>
  <c r="AC53" i="29"/>
  <c r="AC6" i="29" s="1"/>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20" i="30"/>
  <c r="AC21" i="30"/>
  <c r="AC22" i="30"/>
  <c r="AC23" i="30"/>
  <c r="AC24" i="30"/>
  <c r="AC25" i="30"/>
  <c r="AC26" i="30"/>
  <c r="AC27" i="30"/>
  <c r="AC28" i="30"/>
  <c r="AC29" i="30"/>
  <c r="AC30" i="30"/>
  <c r="AC31" i="30"/>
  <c r="AC32" i="30"/>
  <c r="AC33" i="30"/>
  <c r="AC34" i="30"/>
  <c r="AC35" i="30"/>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18" i="32"/>
  <c r="AC19" i="32"/>
  <c r="AC20" i="32"/>
  <c r="AC21" i="32"/>
  <c r="AC22" i="32"/>
  <c r="AC23" i="32"/>
  <c r="AC24" i="32"/>
  <c r="AC25" i="32"/>
  <c r="AC26" i="32"/>
  <c r="AC27" i="32"/>
  <c r="AC28" i="32"/>
  <c r="AC29" i="32"/>
  <c r="AC30" i="32"/>
  <c r="AC31" i="32"/>
  <c r="AC32" i="32"/>
  <c r="AC33" i="32"/>
  <c r="AC34" i="32"/>
  <c r="AC35" i="32"/>
  <c r="AC36" i="32"/>
  <c r="AC37" i="32"/>
  <c r="AC38" i="32"/>
  <c r="AC8" i="32" s="1"/>
  <c r="AC39" i="32"/>
  <c r="AC40" i="32"/>
  <c r="AC41" i="32"/>
  <c r="AC42" i="32"/>
  <c r="AC43" i="32"/>
  <c r="AC44" i="32"/>
  <c r="AC45" i="32"/>
  <c r="AC46" i="32"/>
  <c r="AC47" i="32"/>
  <c r="AC48" i="32"/>
  <c r="AC49" i="32"/>
  <c r="AC50" i="32"/>
  <c r="AC51" i="32"/>
  <c r="AC52" i="32"/>
  <c r="AC53" i="32"/>
  <c r="AC54" i="32"/>
  <c r="AC9" i="32" s="1"/>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21" i="33"/>
  <c r="AC22" i="33"/>
  <c r="AC23" i="33"/>
  <c r="AC24" i="33"/>
  <c r="AC25" i="33"/>
  <c r="AC26" i="33"/>
  <c r="AC27" i="33"/>
  <c r="AC28" i="33"/>
  <c r="AC29" i="33"/>
  <c r="AC30" i="33"/>
  <c r="AC31" i="33"/>
  <c r="AC32" i="33"/>
  <c r="AC33" i="33"/>
  <c r="AC34" i="33"/>
  <c r="AC35" i="33"/>
  <c r="AC36" i="33"/>
  <c r="AC37" i="33"/>
  <c r="AC38" i="33"/>
  <c r="AC39" i="33"/>
  <c r="AC40" i="33"/>
  <c r="AC41" i="33"/>
  <c r="AC7" i="33" s="1"/>
  <c r="AC42" i="33"/>
  <c r="AC43" i="33"/>
  <c r="AC44" i="33"/>
  <c r="AC45" i="33"/>
  <c r="AC46" i="33"/>
  <c r="AC47" i="33"/>
  <c r="AC48" i="33"/>
  <c r="AC49" i="33"/>
  <c r="AC50" i="33"/>
  <c r="AC51" i="33"/>
  <c r="AC52" i="33"/>
  <c r="AC53" i="33"/>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17" i="34"/>
  <c r="AC18" i="34"/>
  <c r="AC19" i="34"/>
  <c r="AC20" i="34"/>
  <c r="AC21" i="34"/>
  <c r="AC22" i="34"/>
  <c r="AC23" i="34"/>
  <c r="AC24" i="34"/>
  <c r="AC25" i="34"/>
  <c r="AC26" i="34"/>
  <c r="AC27" i="34"/>
  <c r="AC28" i="34"/>
  <c r="AC8" i="34" s="1"/>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9" i="35"/>
  <c r="AC20" i="35"/>
  <c r="AC21" i="35"/>
  <c r="AC22" i="35"/>
  <c r="AC23" i="35"/>
  <c r="AC3" i="35" s="1"/>
  <c r="AC24" i="35"/>
  <c r="AC25" i="35"/>
  <c r="AC26" i="35"/>
  <c r="AC27" i="35"/>
  <c r="AC28" i="35"/>
  <c r="AC29" i="35"/>
  <c r="AC30" i="35"/>
  <c r="AC31" i="35"/>
  <c r="AC32" i="35"/>
  <c r="AC33" i="35"/>
  <c r="AC34" i="35"/>
  <c r="AC35" i="35"/>
  <c r="AC36" i="35"/>
  <c r="AC37" i="35"/>
  <c r="AC38" i="35"/>
  <c r="AC39" i="35"/>
  <c r="AC40" i="35"/>
  <c r="AC41" i="35"/>
  <c r="AC42" i="35"/>
  <c r="AC43" i="35"/>
  <c r="AC44" i="35"/>
  <c r="AC45" i="35"/>
  <c r="AC46" i="35"/>
  <c r="AC47" i="35"/>
  <c r="AC9" i="35" s="1"/>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38" i="36"/>
  <c r="AC39" i="36"/>
  <c r="AC40" i="36"/>
  <c r="AC41" i="36"/>
  <c r="AC42" i="36"/>
  <c r="AC43" i="36"/>
  <c r="AC44" i="36"/>
  <c r="AC45" i="36"/>
  <c r="AC46" i="36"/>
  <c r="AC47" i="36"/>
  <c r="AC48" i="36"/>
  <c r="AC49" i="36"/>
  <c r="AC50" i="36"/>
  <c r="AC51" i="36"/>
  <c r="AC52" i="36"/>
  <c r="AC53" i="36"/>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25" i="37"/>
  <c r="AC26" i="37"/>
  <c r="AC27" i="37"/>
  <c r="AC28" i="37"/>
  <c r="AC29" i="37"/>
  <c r="AC30" i="37"/>
  <c r="AC31" i="37"/>
  <c r="AC32" i="37"/>
  <c r="AC33" i="37"/>
  <c r="AC34" i="37"/>
  <c r="AC35" i="37"/>
  <c r="AC36" i="37"/>
  <c r="AC37" i="37"/>
  <c r="AC38" i="37"/>
  <c r="AC39" i="37"/>
  <c r="AC40" i="37"/>
  <c r="AC8" i="37" s="1"/>
  <c r="AC41" i="37"/>
  <c r="AC7" i="37" s="1"/>
  <c r="AC42" i="37"/>
  <c r="AC43" i="37"/>
  <c r="AC44" i="37"/>
  <c r="AC45" i="37"/>
  <c r="AC3" i="37" s="1"/>
  <c r="AC46" i="37"/>
  <c r="AC47" i="37"/>
  <c r="AC48" i="37"/>
  <c r="AC49" i="37"/>
  <c r="AC50" i="37"/>
  <c r="AC51" i="37"/>
  <c r="AC52" i="37"/>
  <c r="AC53" i="37"/>
  <c r="AC54" i="37"/>
  <c r="AC55" i="37"/>
  <c r="AC56" i="37"/>
  <c r="AC57" i="37"/>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7" i="38" s="1"/>
  <c r="AC44" i="38"/>
  <c r="AC45" i="38"/>
  <c r="AC46" i="38"/>
  <c r="AC47" i="38"/>
  <c r="AC48" i="38"/>
  <c r="AC49" i="38"/>
  <c r="AC50" i="38"/>
  <c r="AC51" i="38"/>
  <c r="AC52" i="38"/>
  <c r="AC53" i="38"/>
  <c r="AC54" i="38"/>
  <c r="AC55" i="38"/>
  <c r="AC56" i="38"/>
  <c r="AC57" i="38"/>
  <c r="AC58" i="38"/>
  <c r="AC59" i="38"/>
  <c r="AC60" i="38"/>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23" i="39"/>
  <c r="AC24" i="39"/>
  <c r="AC25" i="39"/>
  <c r="AC26" i="39"/>
  <c r="AC27" i="39"/>
  <c r="AC8" i="39" s="1"/>
  <c r="AC28" i="39"/>
  <c r="AC29" i="39"/>
  <c r="AC30" i="39"/>
  <c r="AC31" i="39"/>
  <c r="AC32" i="39"/>
  <c r="AC33" i="39"/>
  <c r="AC34" i="39"/>
  <c r="AC35" i="39"/>
  <c r="AC36" i="39"/>
  <c r="AC37" i="39"/>
  <c r="AC38" i="39"/>
  <c r="AC39" i="39"/>
  <c r="AC40" i="39"/>
  <c r="AC41" i="39"/>
  <c r="AC42" i="39"/>
  <c r="AC43" i="39"/>
  <c r="AC44" i="39"/>
  <c r="AC45" i="39"/>
  <c r="AC46" i="39"/>
  <c r="AC47" i="39"/>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18" i="40"/>
  <c r="AC19" i="40"/>
  <c r="AC20" i="40"/>
  <c r="AC21" i="40"/>
  <c r="AC22" i="40"/>
  <c r="AC23" i="40"/>
  <c r="AC24" i="40"/>
  <c r="AC25" i="40"/>
  <c r="AC26" i="40"/>
  <c r="AC27" i="40"/>
  <c r="AC28" i="40"/>
  <c r="AC29" i="40"/>
  <c r="AC30" i="40"/>
  <c r="AC31" i="40"/>
  <c r="AC32" i="40"/>
  <c r="AC33" i="40"/>
  <c r="AC34" i="40"/>
  <c r="AC35" i="40"/>
  <c r="AC36" i="40"/>
  <c r="AC37" i="40"/>
  <c r="AC38" i="40"/>
  <c r="AC8" i="40" s="1"/>
  <c r="AC39" i="40"/>
  <c r="AC40" i="40"/>
  <c r="AC41" i="40"/>
  <c r="AC42" i="40"/>
  <c r="AC43" i="40"/>
  <c r="AC44" i="40"/>
  <c r="AC45" i="40"/>
  <c r="AC46" i="40"/>
  <c r="AC47" i="40"/>
  <c r="AC48" i="40"/>
  <c r="AC49" i="40"/>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21" i="41"/>
  <c r="AC22" i="41"/>
  <c r="AC23" i="41"/>
  <c r="AC24" i="41"/>
  <c r="AC25" i="41"/>
  <c r="AC26" i="41"/>
  <c r="AC27" i="41"/>
  <c r="AC28" i="41"/>
  <c r="AC29" i="41"/>
  <c r="AC30" i="41"/>
  <c r="AC31" i="41"/>
  <c r="AC32" i="41"/>
  <c r="AC33" i="41"/>
  <c r="AC34" i="41"/>
  <c r="AC35" i="41"/>
  <c r="AC36" i="41"/>
  <c r="AC37" i="41"/>
  <c r="AC38" i="41"/>
  <c r="AC39" i="41"/>
  <c r="AC40" i="41"/>
  <c r="AC41" i="41"/>
  <c r="AC7" i="41" s="1"/>
  <c r="AC42" i="41"/>
  <c r="AC43" i="41"/>
  <c r="AC44" i="41"/>
  <c r="AC45" i="41"/>
  <c r="AC3" i="41" s="1"/>
  <c r="AC46" i="41"/>
  <c r="AC47" i="41"/>
  <c r="AC48" i="41"/>
  <c r="AC49" i="41"/>
  <c r="AC50" i="41"/>
  <c r="AC51" i="41"/>
  <c r="AC52" i="41"/>
  <c r="AC53" i="4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17" i="42"/>
  <c r="AC18" i="42"/>
  <c r="AC19" i="42"/>
  <c r="AC20" i="42"/>
  <c r="AC21" i="42"/>
  <c r="AC22" i="42"/>
  <c r="AC23" i="42"/>
  <c r="AC24" i="42"/>
  <c r="AC25" i="42"/>
  <c r="AC26" i="42"/>
  <c r="AC27" i="42"/>
  <c r="AC28" i="42"/>
  <c r="AC29" i="42"/>
  <c r="AC30" i="42"/>
  <c r="AC31" i="42"/>
  <c r="AC32" i="42"/>
  <c r="AC33" i="42"/>
  <c r="AC34" i="42"/>
  <c r="AC35" i="42"/>
  <c r="AC36" i="42"/>
  <c r="AC37" i="42"/>
  <c r="AC38" i="42"/>
  <c r="AC39" i="42"/>
  <c r="AC40" i="42"/>
  <c r="AC41" i="42"/>
  <c r="AC42" i="42"/>
  <c r="AC43" i="42"/>
  <c r="AC44" i="42"/>
  <c r="AC45" i="42"/>
  <c r="AC46" i="42"/>
  <c r="AC47" i="42"/>
  <c r="AC48" i="42"/>
  <c r="AC49" i="42"/>
  <c r="AC50" i="42"/>
  <c r="AC51" i="42"/>
  <c r="AC52" i="42"/>
  <c r="AC3" i="42" s="1"/>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14" i="32"/>
  <c r="AC14" i="33"/>
  <c r="AC14" i="34"/>
  <c r="AC14" i="35"/>
  <c r="AC14" i="36"/>
  <c r="AC14" i="37"/>
  <c r="AC14" i="38"/>
  <c r="AC14" i="39"/>
  <c r="AC14" i="40"/>
  <c r="AC14" i="41"/>
  <c r="AC14" i="42"/>
  <c r="AC15" i="15"/>
  <c r="AC15" i="22"/>
  <c r="AC13" i="22" s="1"/>
  <c r="N61" i="14" s="1"/>
  <c r="AC15" i="23"/>
  <c r="AC15" i="24"/>
  <c r="AC15" i="25"/>
  <c r="AC15" i="26"/>
  <c r="AC2" i="26" s="1"/>
  <c r="AC15" i="27"/>
  <c r="AC15" i="28"/>
  <c r="AC15" i="29"/>
  <c r="AC15" i="30"/>
  <c r="AC15" i="31"/>
  <c r="AC15" i="32"/>
  <c r="AC15" i="33"/>
  <c r="AC13" i="33" s="1"/>
  <c r="N50" i="14" s="1"/>
  <c r="AC15" i="34"/>
  <c r="AC15" i="35"/>
  <c r="AC15" i="36"/>
  <c r="AC15" i="37"/>
  <c r="AC15" i="38"/>
  <c r="AC15" i="39"/>
  <c r="AC15" i="40"/>
  <c r="AC15" i="41"/>
  <c r="AC15" i="42"/>
  <c r="AC2" i="42" s="1"/>
  <c r="AC7" i="22"/>
  <c r="AC6" i="23"/>
  <c r="AC6" i="25"/>
  <c r="AC7" i="25"/>
  <c r="AC7" i="26"/>
  <c r="AC7" i="30"/>
  <c r="AC6" i="31"/>
  <c r="AC4" i="32"/>
  <c r="AC7" i="34"/>
  <c r="AC2" i="36"/>
  <c r="AC6" i="39"/>
  <c r="AC7" i="42"/>
  <c r="AC6" i="22"/>
  <c r="AC9" i="22"/>
  <c r="AC3" i="24"/>
  <c r="AC8" i="24"/>
  <c r="AC3" i="25"/>
  <c r="AC6" i="26"/>
  <c r="AC7" i="28"/>
  <c r="AC3" i="30"/>
  <c r="AC6" i="30"/>
  <c r="AC7" i="31"/>
  <c r="AC3" i="32"/>
  <c r="AC7" i="32"/>
  <c r="AC2" i="34"/>
  <c r="AC6" i="34"/>
  <c r="AC7" i="36"/>
  <c r="AC6" i="38"/>
  <c r="AC7" i="39"/>
  <c r="AC3" i="40"/>
  <c r="AC6" i="42"/>
  <c r="G69" i="14"/>
  <c r="H70" i="14" l="1"/>
  <c r="B20" i="17"/>
  <c r="AC9" i="42"/>
  <c r="AC6" i="41"/>
  <c r="AC5" i="40"/>
  <c r="AC9" i="41"/>
  <c r="AC6" i="40"/>
  <c r="AC2" i="41"/>
  <c r="AC7" i="40"/>
  <c r="AC3" i="38"/>
  <c r="AC8" i="38"/>
  <c r="AC5" i="41"/>
  <c r="AC4" i="39"/>
  <c r="AC9" i="39"/>
  <c r="AC5" i="39"/>
  <c r="AC3" i="39"/>
  <c r="AC2" i="38"/>
  <c r="AC9" i="38"/>
  <c r="AC5" i="37"/>
  <c r="AC6" i="37"/>
  <c r="AC8" i="36"/>
  <c r="AC7" i="35"/>
  <c r="AC8" i="35"/>
  <c r="AC4" i="35"/>
  <c r="AC9" i="34"/>
  <c r="AC5" i="34"/>
  <c r="AC6" i="33"/>
  <c r="AC3" i="33"/>
  <c r="AC5" i="33"/>
  <c r="AC2" i="33"/>
  <c r="AC6" i="32"/>
  <c r="AC5" i="32"/>
  <c r="AC13" i="32"/>
  <c r="N51" i="14" s="1"/>
  <c r="AC9" i="31"/>
  <c r="AC5" i="31"/>
  <c r="AC3" i="31"/>
  <c r="AC2" i="30"/>
  <c r="AC9" i="30"/>
  <c r="AC4" i="28"/>
  <c r="AC8" i="28"/>
  <c r="AC3" i="27"/>
  <c r="AC7" i="27"/>
  <c r="AC8" i="27"/>
  <c r="AC4" i="27"/>
  <c r="AC8" i="26"/>
  <c r="AC9" i="26"/>
  <c r="AC5" i="25"/>
  <c r="AC2" i="25"/>
  <c r="AC5" i="24"/>
  <c r="AC9" i="23"/>
  <c r="AC3" i="23"/>
  <c r="AC2" i="22"/>
  <c r="AC8" i="42"/>
  <c r="AC8" i="41"/>
  <c r="AC9" i="40"/>
  <c r="AC5" i="38"/>
  <c r="AC13" i="38"/>
  <c r="N45" i="14" s="1"/>
  <c r="AC9" i="37"/>
  <c r="AC6" i="36"/>
  <c r="AC3" i="36"/>
  <c r="AC5" i="36"/>
  <c r="AC5" i="35"/>
  <c r="AC13" i="35"/>
  <c r="N48" i="14" s="1"/>
  <c r="AC3" i="34"/>
  <c r="AC8" i="33"/>
  <c r="AC4" i="31"/>
  <c r="AC8" i="31"/>
  <c r="AC13" i="31"/>
  <c r="N52" i="14" s="1"/>
  <c r="AC5" i="30"/>
  <c r="AC8" i="30"/>
  <c r="AC8" i="29"/>
  <c r="AC9" i="29"/>
  <c r="AC5" i="29"/>
  <c r="AC6" i="28"/>
  <c r="AC3" i="28"/>
  <c r="AC5" i="28"/>
  <c r="AC5" i="27"/>
  <c r="AC13" i="27"/>
  <c r="N56" i="14" s="1"/>
  <c r="AC3" i="26"/>
  <c r="AC8" i="25"/>
  <c r="AC9" i="25"/>
  <c r="AC9" i="24"/>
  <c r="AC13" i="24"/>
  <c r="N59" i="14" s="1"/>
  <c r="AC4" i="23"/>
  <c r="AC8" i="23"/>
  <c r="AC13" i="23"/>
  <c r="N60" i="14" s="1"/>
  <c r="AC5" i="22"/>
  <c r="AC8" i="22"/>
  <c r="AC4" i="22"/>
  <c r="AC8" i="15"/>
  <c r="AC9" i="15"/>
  <c r="AC5" i="15"/>
  <c r="AC69" i="14"/>
  <c r="AW69" i="14"/>
  <c r="T3" i="44"/>
  <c r="T5" i="44"/>
  <c r="T8" i="44"/>
  <c r="T7" i="44"/>
  <c r="S13" i="44"/>
  <c r="T1" i="44" s="1"/>
  <c r="T4" i="44"/>
  <c r="T2" i="44"/>
  <c r="T9" i="44"/>
  <c r="T6" i="44"/>
  <c r="AC5" i="26"/>
  <c r="AC4" i="24"/>
  <c r="AC5" i="42"/>
  <c r="AC9" i="33"/>
  <c r="AC13" i="30"/>
  <c r="N53" i="14" s="1"/>
  <c r="AC4" i="40"/>
  <c r="AC13" i="41"/>
  <c r="N42" i="14" s="1"/>
  <c r="AC13" i="28"/>
  <c r="N55" i="14" s="1"/>
  <c r="AC2" i="35"/>
  <c r="AC13" i="40"/>
  <c r="N43" i="14" s="1"/>
  <c r="AC13" i="25"/>
  <c r="N58" i="14" s="1"/>
  <c r="AC13" i="36"/>
  <c r="N47" i="14" s="1"/>
  <c r="AC13" i="42"/>
  <c r="N41" i="14" s="1"/>
  <c r="AC13" i="34"/>
  <c r="N49" i="14" s="1"/>
  <c r="AC13" i="26"/>
  <c r="N57" i="14" s="1"/>
  <c r="AC13" i="39"/>
  <c r="N44" i="14" s="1"/>
  <c r="AC13" i="37"/>
  <c r="N46" i="14" s="1"/>
  <c r="AC13" i="29"/>
  <c r="N54" i="14" s="1"/>
  <c r="AC13" i="15"/>
  <c r="N62" i="14" s="1"/>
  <c r="AI62" i="14" s="1"/>
  <c r="AC2" i="37"/>
  <c r="AC2" i="29"/>
  <c r="AC2" i="15"/>
  <c r="AC4" i="42"/>
  <c r="AC4" i="41"/>
  <c r="AC4" i="38"/>
  <c r="AC10" i="38" s="1"/>
  <c r="AC4" i="37"/>
  <c r="AC4" i="34"/>
  <c r="AC10" i="34" s="1"/>
  <c r="AC4" i="33"/>
  <c r="AC10" i="33" s="1"/>
  <c r="AC4" i="30"/>
  <c r="AC4" i="29"/>
  <c r="AC4" i="26"/>
  <c r="AC4" i="25"/>
  <c r="AC4" i="15"/>
  <c r="AC10" i="15" s="1"/>
  <c r="AC2" i="40"/>
  <c r="AC10" i="40" s="1"/>
  <c r="AC2" i="39"/>
  <c r="AC10" i="39" s="1"/>
  <c r="AC2" i="32"/>
  <c r="AC2" i="31"/>
  <c r="AC10" i="31" s="1"/>
  <c r="AC2" i="28"/>
  <c r="AC10" i="28" s="1"/>
  <c r="AC2" i="27"/>
  <c r="AC10" i="27" s="1"/>
  <c r="AC2" i="24"/>
  <c r="AC2" i="23"/>
  <c r="AC10" i="25"/>
  <c r="AC10" i="41"/>
  <c r="AC10" i="22"/>
  <c r="AC10" i="30"/>
  <c r="AC10" i="23"/>
  <c r="AC10" i="36"/>
  <c r="AC10" i="32"/>
  <c r="AC10" i="35"/>
  <c r="O92" i="43"/>
  <c r="U92" i="43"/>
  <c r="O91" i="43"/>
  <c r="U91" i="43"/>
  <c r="O90" i="43"/>
  <c r="U90"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O44" i="43"/>
  <c r="U44" i="43"/>
  <c r="O43" i="43"/>
  <c r="T43" i="43" s="1"/>
  <c r="U43" i="43"/>
  <c r="O42" i="43"/>
  <c r="U42" i="43"/>
  <c r="O41" i="43"/>
  <c r="O40" i="43"/>
  <c r="R40" i="43"/>
  <c r="R39" i="43"/>
  <c r="P39" i="43"/>
  <c r="O39" i="43"/>
  <c r="U39" i="43"/>
  <c r="O38" i="43"/>
  <c r="U38" i="43"/>
  <c r="O37" i="43"/>
  <c r="Q37" i="43"/>
  <c r="O36" i="43"/>
  <c r="U36" i="43"/>
  <c r="O35" i="43"/>
  <c r="P35" i="43"/>
  <c r="U34" i="43"/>
  <c r="O34" i="43"/>
  <c r="Q34" i="43" s="1"/>
  <c r="P34" i="43"/>
  <c r="O33" i="43"/>
  <c r="R33" i="43"/>
  <c r="O32" i="43"/>
  <c r="Q32" i="43" s="1"/>
  <c r="U32" i="43"/>
  <c r="O31" i="43"/>
  <c r="U31" i="43"/>
  <c r="O30" i="43"/>
  <c r="U30" i="43"/>
  <c r="O29" i="43"/>
  <c r="U29" i="43"/>
  <c r="O28" i="43"/>
  <c r="R28" i="43"/>
  <c r="O27" i="43"/>
  <c r="U27" i="43"/>
  <c r="O26" i="43"/>
  <c r="P26" i="43"/>
  <c r="O25" i="43"/>
  <c r="O24" i="43"/>
  <c r="U24" i="43"/>
  <c r="O23" i="43"/>
  <c r="U23" i="43"/>
  <c r="O22" i="43"/>
  <c r="U22" i="43"/>
  <c r="O21" i="43"/>
  <c r="U21" i="43"/>
  <c r="O20" i="43"/>
  <c r="R20" i="43"/>
  <c r="P19" i="43"/>
  <c r="O19" i="43"/>
  <c r="U19" i="43"/>
  <c r="O18" i="43"/>
  <c r="P18" i="43"/>
  <c r="O17" i="43"/>
  <c r="R17" i="43"/>
  <c r="O16" i="43"/>
  <c r="Q16" i="43" s="1"/>
  <c r="R16" i="43"/>
  <c r="O15" i="43"/>
  <c r="U15" i="43"/>
  <c r="O14" i="43"/>
  <c r="P14" i="43"/>
  <c r="L13" i="43"/>
  <c r="O1" i="43" s="1"/>
  <c r="K13" i="43"/>
  <c r="N1" i="43" s="1"/>
  <c r="J13" i="43"/>
  <c r="M1" i="43" s="1"/>
  <c r="I13" i="43"/>
  <c r="L1" i="43" s="1"/>
  <c r="H13" i="43"/>
  <c r="N9" i="43"/>
  <c r="J9" i="43"/>
  <c r="F9" i="43"/>
  <c r="J19" i="17" s="1"/>
  <c r="B9" i="43"/>
  <c r="M9" i="43" s="1"/>
  <c r="J8" i="43"/>
  <c r="B8" i="43"/>
  <c r="M8" i="43" s="1"/>
  <c r="J7" i="43"/>
  <c r="B7" i="43"/>
  <c r="F7" i="43" s="1"/>
  <c r="H19" i="17" s="1"/>
  <c r="J6" i="43"/>
  <c r="B6" i="43"/>
  <c r="P6" i="43" s="1"/>
  <c r="J5" i="43"/>
  <c r="B5" i="43"/>
  <c r="K5" i="43" s="1"/>
  <c r="J4" i="43"/>
  <c r="F4" i="43"/>
  <c r="E19" i="17" s="1"/>
  <c r="B4" i="43"/>
  <c r="P4" i="43" s="1"/>
  <c r="O3" i="43"/>
  <c r="J3" i="43"/>
  <c r="F3" i="43"/>
  <c r="D19" i="17" s="1"/>
  <c r="B3" i="43"/>
  <c r="N3" i="43" s="1"/>
  <c r="J2" i="43"/>
  <c r="B2" i="43"/>
  <c r="BC56" i="14" l="1"/>
  <c r="L4" i="43"/>
  <c r="M5" i="43"/>
  <c r="M4" i="43"/>
  <c r="N5" i="43"/>
  <c r="N7" i="43"/>
  <c r="O4" i="43"/>
  <c r="O7" i="43"/>
  <c r="P3" i="43"/>
  <c r="P7" i="43"/>
  <c r="L6" i="43"/>
  <c r="F5" i="43"/>
  <c r="F19" i="17" s="1"/>
  <c r="L8" i="43"/>
  <c r="O8" i="43"/>
  <c r="AI49" i="14"/>
  <c r="AI52" i="14"/>
  <c r="AI55" i="14"/>
  <c r="BC52" i="14"/>
  <c r="BC46" i="14"/>
  <c r="BC41" i="14"/>
  <c r="AI57" i="14"/>
  <c r="AI60" i="14"/>
  <c r="BC60" i="14"/>
  <c r="BC54" i="14"/>
  <c r="BC49" i="14"/>
  <c r="AI50" i="14"/>
  <c r="AI45" i="14"/>
  <c r="BC43" i="14"/>
  <c r="AI56" i="14"/>
  <c r="BC62" i="14"/>
  <c r="BC57" i="14"/>
  <c r="AI58" i="14"/>
  <c r="AI53" i="14"/>
  <c r="BC51" i="14"/>
  <c r="BC50" i="14"/>
  <c r="AI41" i="14"/>
  <c r="BC58" i="14"/>
  <c r="AI43" i="14"/>
  <c r="AI61" i="14"/>
  <c r="BC59" i="14"/>
  <c r="BC45" i="14"/>
  <c r="BC55" i="14"/>
  <c r="BC42" i="14"/>
  <c r="AI51" i="14"/>
  <c r="AI46" i="14"/>
  <c r="BC53" i="14"/>
  <c r="AI48" i="14"/>
  <c r="AI42" i="14"/>
  <c r="AI59" i="14"/>
  <c r="AI54" i="14"/>
  <c r="BC61" i="14"/>
  <c r="BC48" i="14"/>
  <c r="BC47" i="14"/>
  <c r="AI44" i="14"/>
  <c r="AI47" i="14"/>
  <c r="BC44" i="14"/>
  <c r="AC10" i="24"/>
  <c r="AC10" i="26"/>
  <c r="AC10" i="42"/>
  <c r="AC10" i="37"/>
  <c r="AC10" i="29"/>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G19" i="17" s="1"/>
  <c r="M6" i="43"/>
  <c r="T27" i="43"/>
  <c r="Q27" i="43"/>
  <c r="F2" i="43"/>
  <c r="C19" i="17" s="1"/>
  <c r="U41" i="43"/>
  <c r="T41" i="43"/>
  <c r="Q41" i="43"/>
  <c r="P41" i="43"/>
  <c r="R41" i="43"/>
  <c r="P46" i="43"/>
  <c r="T46" i="43"/>
  <c r="U46" i="43"/>
  <c r="Q46" i="43"/>
  <c r="R46" i="43"/>
  <c r="O2" i="43"/>
  <c r="M2" i="43"/>
  <c r="B10" i="43"/>
  <c r="C6" i="43" s="1"/>
  <c r="P2" i="43"/>
  <c r="N8" i="43"/>
  <c r="F8" i="43"/>
  <c r="I19" i="17" s="1"/>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I41" i="14"/>
  <c r="G41" i="14"/>
  <c r="AC41" i="14" s="1"/>
  <c r="I42" i="14"/>
  <c r="G42" i="14"/>
  <c r="I43" i="14"/>
  <c r="G43" i="14"/>
  <c r="I44" i="14"/>
  <c r="G44" i="14"/>
  <c r="AH92" i="42"/>
  <c r="AG92" i="42"/>
  <c r="AF92" i="42"/>
  <c r="AE92" i="42"/>
  <c r="AD92" i="42"/>
  <c r="AB92" i="42"/>
  <c r="AA92" i="42"/>
  <c r="Z92" i="42"/>
  <c r="U92" i="42"/>
  <c r="AP92" i="42" s="1"/>
  <c r="R92" i="42"/>
  <c r="AM92" i="42" s="1"/>
  <c r="P92" i="42"/>
  <c r="O92" i="42"/>
  <c r="AJ92" i="42" s="1"/>
  <c r="F92" i="42"/>
  <c r="AJ91" i="42"/>
  <c r="AH91" i="42"/>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H3" i="42" s="1"/>
  <c r="AG68" i="42"/>
  <c r="AF68" i="42"/>
  <c r="AE68" i="42"/>
  <c r="AD68" i="42"/>
  <c r="AB68" i="42"/>
  <c r="AA68" i="42"/>
  <c r="Z68" i="42"/>
  <c r="U68" i="42"/>
  <c r="AP68" i="42" s="1"/>
  <c r="R68" i="42"/>
  <c r="AM68" i="42" s="1"/>
  <c r="P68" i="42"/>
  <c r="O68" i="42"/>
  <c r="AJ68" i="42" s="1"/>
  <c r="F68" i="42"/>
  <c r="AJ67" i="42"/>
  <c r="AH67" i="42"/>
  <c r="AG67" i="42"/>
  <c r="AF67" i="42"/>
  <c r="AF7" i="42" s="1"/>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H6" i="42" s="1"/>
  <c r="AG53" i="42"/>
  <c r="AF53" i="42"/>
  <c r="AE53" i="42"/>
  <c r="AD53" i="42"/>
  <c r="AB53" i="42"/>
  <c r="AA53" i="42"/>
  <c r="Z53" i="42"/>
  <c r="U53" i="42"/>
  <c r="AP53" i="42" s="1"/>
  <c r="R53" i="42"/>
  <c r="AM53" i="42" s="1"/>
  <c r="P53" i="42"/>
  <c r="O53" i="42"/>
  <c r="Q53" i="42" s="1"/>
  <c r="AL53" i="42" s="1"/>
  <c r="F53" i="42"/>
  <c r="AH52" i="42"/>
  <c r="AG52" i="42"/>
  <c r="AF52" i="42"/>
  <c r="AE52" i="42"/>
  <c r="AD52" i="42"/>
  <c r="AB52" i="42"/>
  <c r="AA52" i="42"/>
  <c r="Z52" i="42"/>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AP7"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H33" i="42"/>
  <c r="AG33" i="42"/>
  <c r="AG6" i="42" s="1"/>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U30" i="42"/>
  <c r="AP30" i="42" s="1"/>
  <c r="T30" i="42"/>
  <c r="AO30" i="42" s="1"/>
  <c r="R30" i="42"/>
  <c r="AM30" i="42" s="1"/>
  <c r="Q30" i="42"/>
  <c r="AL30" i="42" s="1"/>
  <c r="P30" i="42"/>
  <c r="O30" i="42"/>
  <c r="AJ30" i="42" s="1"/>
  <c r="F30" i="42"/>
  <c r="AH29" i="42"/>
  <c r="AG29" i="42"/>
  <c r="AF29" i="42"/>
  <c r="AE29" i="42"/>
  <c r="AD29" i="42"/>
  <c r="AB29" i="42"/>
  <c r="AA29" i="42"/>
  <c r="Z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E8" i="42" s="1"/>
  <c r="AD27" i="42"/>
  <c r="AB27" i="42"/>
  <c r="AA27" i="42"/>
  <c r="Z27" i="42"/>
  <c r="U27" i="42"/>
  <c r="AP27" i="42" s="1"/>
  <c r="T27" i="42"/>
  <c r="AO27" i="42" s="1"/>
  <c r="R27" i="42"/>
  <c r="P27" i="42"/>
  <c r="O27" i="42"/>
  <c r="AJ27" i="42" s="1"/>
  <c r="F27" i="42"/>
  <c r="AK26" i="42"/>
  <c r="AH26" i="42"/>
  <c r="AG26" i="42"/>
  <c r="AF26" i="42"/>
  <c r="AE26" i="42"/>
  <c r="AD26" i="42"/>
  <c r="AB26" i="42"/>
  <c r="AA26" i="42"/>
  <c r="Z26" i="42"/>
  <c r="U26" i="42"/>
  <c r="AP26" i="42" s="1"/>
  <c r="R26" i="42"/>
  <c r="AM26" i="42" s="1"/>
  <c r="P26" i="42"/>
  <c r="O26" i="42"/>
  <c r="AJ26" i="42" s="1"/>
  <c r="F26" i="42"/>
  <c r="I2" i="42" s="1"/>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D23" i="42"/>
  <c r="AB23" i="42"/>
  <c r="AA23" i="42"/>
  <c r="Z23" i="42"/>
  <c r="U23" i="42"/>
  <c r="AP23" i="42" s="1"/>
  <c r="R23" i="42"/>
  <c r="AM23" i="42" s="1"/>
  <c r="P23" i="42"/>
  <c r="AK23" i="42" s="1"/>
  <c r="O23" i="42"/>
  <c r="AJ23" i="42" s="1"/>
  <c r="F23" i="42"/>
  <c r="AH22" i="42"/>
  <c r="AG22" i="42"/>
  <c r="AF22" i="42"/>
  <c r="AE22" i="42"/>
  <c r="AD22" i="42"/>
  <c r="AB22" i="42"/>
  <c r="AA22" i="42"/>
  <c r="Z22" i="42"/>
  <c r="U22" i="42"/>
  <c r="AP22" i="42" s="1"/>
  <c r="R22" i="42"/>
  <c r="AM22" i="42" s="1"/>
  <c r="P22" i="42"/>
  <c r="O22" i="42"/>
  <c r="AJ22" i="42" s="1"/>
  <c r="F22" i="42"/>
  <c r="AH21" i="42"/>
  <c r="AG21" i="42"/>
  <c r="AF21" i="42"/>
  <c r="AE21" i="42"/>
  <c r="AD21" i="42"/>
  <c r="AB21" i="42"/>
  <c r="AA21" i="42"/>
  <c r="Z21" i="42"/>
  <c r="U21" i="42"/>
  <c r="AP21" i="42" s="1"/>
  <c r="R21" i="42"/>
  <c r="AM21" i="42" s="1"/>
  <c r="Q21" i="42"/>
  <c r="AL21" i="42" s="1"/>
  <c r="P21" i="42"/>
  <c r="AK21" i="42" s="1"/>
  <c r="O21" i="42"/>
  <c r="AJ21" i="42" s="1"/>
  <c r="F21" i="42"/>
  <c r="AH20" i="42"/>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U14" i="42"/>
  <c r="AP14" i="42" s="1"/>
  <c r="R14" i="42"/>
  <c r="P14" i="42"/>
  <c r="O14" i="42"/>
  <c r="AJ14" i="42" s="1"/>
  <c r="F14" i="42"/>
  <c r="L13" i="42"/>
  <c r="K13" i="42"/>
  <c r="N1" i="42" s="1"/>
  <c r="J13" i="42"/>
  <c r="M1" i="42" s="1"/>
  <c r="I13" i="42"/>
  <c r="H13" i="42"/>
  <c r="E13" i="42"/>
  <c r="K9" i="42"/>
  <c r="J9" i="42"/>
  <c r="G9" i="42"/>
  <c r="H9" i="42" s="1"/>
  <c r="B9" i="42"/>
  <c r="M9" i="42" s="1"/>
  <c r="J8" i="42"/>
  <c r="B8" i="42"/>
  <c r="O8" i="42" s="1"/>
  <c r="AG7" i="42"/>
  <c r="J7" i="42"/>
  <c r="F7" i="42"/>
  <c r="B7" i="42"/>
  <c r="V7" i="42" s="1"/>
  <c r="Z6" i="42"/>
  <c r="J6" i="42"/>
  <c r="G6" i="42"/>
  <c r="B6" i="42"/>
  <c r="V6" i="42" s="1"/>
  <c r="M5" i="42"/>
  <c r="J5" i="42"/>
  <c r="B5" i="42"/>
  <c r="K5" i="42" s="1"/>
  <c r="J4" i="42"/>
  <c r="B4" i="42"/>
  <c r="O4" i="42" s="1"/>
  <c r="AF3" i="42"/>
  <c r="J3" i="42"/>
  <c r="B3" i="42"/>
  <c r="O3" i="42" s="1"/>
  <c r="Q2" i="42"/>
  <c r="P2" i="42"/>
  <c r="K2" i="42"/>
  <c r="J2" i="42"/>
  <c r="B2" i="42"/>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G69" i="41"/>
  <c r="AF69" i="41"/>
  <c r="AE69" i="41"/>
  <c r="AD69" i="41"/>
  <c r="AB69" i="41"/>
  <c r="AA69" i="41"/>
  <c r="Z69" i="41"/>
  <c r="U69" i="41"/>
  <c r="AP69" i="41" s="1"/>
  <c r="R69" i="41"/>
  <c r="AM69" i="41" s="1"/>
  <c r="P69" i="41"/>
  <c r="O69" i="41"/>
  <c r="AJ69" i="41" s="1"/>
  <c r="F69" i="41"/>
  <c r="AH68" i="41"/>
  <c r="AG68" i="41"/>
  <c r="AF68" i="4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Z7" i="41" s="1"/>
  <c r="U66" i="41"/>
  <c r="AP66" i="41" s="1"/>
  <c r="R66" i="41"/>
  <c r="AM66" i="41" s="1"/>
  <c r="P66" i="41"/>
  <c r="O66" i="41"/>
  <c r="AJ66" i="41" s="1"/>
  <c r="F66" i="41"/>
  <c r="AP65" i="41"/>
  <c r="AH65" i="41"/>
  <c r="AG65" i="41"/>
  <c r="AF65" i="41"/>
  <c r="AE65" i="41"/>
  <c r="AD65" i="41"/>
  <c r="AB65" i="41"/>
  <c r="AA65" i="41"/>
  <c r="Z65" i="4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R62" i="41"/>
  <c r="AM62" i="41" s="1"/>
  <c r="P62" i="41"/>
  <c r="O62" i="41"/>
  <c r="AJ62" i="41" s="1"/>
  <c r="F62" i="41"/>
  <c r="AP61" i="41"/>
  <c r="AH61" i="4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H6" i="41" s="1"/>
  <c r="AG50" i="41"/>
  <c r="AF50" i="41"/>
  <c r="AE50" i="41"/>
  <c r="AD50" i="41"/>
  <c r="AB50" i="41"/>
  <c r="AA50" i="41"/>
  <c r="Z50" i="4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Z3" i="41" s="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U39" i="41"/>
  <c r="AP39" i="41" s="1"/>
  <c r="R39" i="41"/>
  <c r="AM39" i="41" s="1"/>
  <c r="P39" i="41"/>
  <c r="O39" i="41"/>
  <c r="Q39" i="41" s="1"/>
  <c r="AL39" i="41" s="1"/>
  <c r="F39" i="41"/>
  <c r="AH38" i="41"/>
  <c r="AG38" i="41"/>
  <c r="AF38" i="41"/>
  <c r="AE38" i="41"/>
  <c r="AD38" i="41"/>
  <c r="AB38" i="41"/>
  <c r="AA38" i="41"/>
  <c r="Z38" i="4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E6" i="41" s="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U30" i="41"/>
  <c r="AP30" i="41" s="1"/>
  <c r="R30" i="41"/>
  <c r="AM30" i="41" s="1"/>
  <c r="P30" i="41"/>
  <c r="O30" i="41"/>
  <c r="Q30" i="41" s="1"/>
  <c r="AL30" i="41" s="1"/>
  <c r="F30" i="41"/>
  <c r="AH29" i="41"/>
  <c r="AG29" i="41"/>
  <c r="AF29" i="41"/>
  <c r="AE29" i="41"/>
  <c r="AD29" i="41"/>
  <c r="AB29" i="41"/>
  <c r="AA29" i="41"/>
  <c r="Z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U26" i="41"/>
  <c r="AP26" i="41" s="1"/>
  <c r="R26" i="41"/>
  <c r="AM26" i="41" s="1"/>
  <c r="P26" i="41"/>
  <c r="O26" i="41"/>
  <c r="Q26" i="41" s="1"/>
  <c r="AL26" i="41" s="1"/>
  <c r="F26" i="41"/>
  <c r="AH25" i="41"/>
  <c r="AG25" i="41"/>
  <c r="AF25" i="41"/>
  <c r="AE25" i="41"/>
  <c r="AE2" i="41" s="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O23" i="41"/>
  <c r="Q23" i="41" s="1"/>
  <c r="AL23" i="41" s="1"/>
  <c r="F23" i="41"/>
  <c r="AH22" i="41"/>
  <c r="AG22" i="41"/>
  <c r="AF22" i="41"/>
  <c r="AE22" i="41"/>
  <c r="AD22" i="41"/>
  <c r="AB22" i="41"/>
  <c r="AA22" i="41"/>
  <c r="Z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E15" i="41"/>
  <c r="AD15" i="41"/>
  <c r="AD2" i="41" s="1"/>
  <c r="AB15" i="41"/>
  <c r="AA15" i="41"/>
  <c r="Z15" i="41"/>
  <c r="U15" i="41"/>
  <c r="AP15" i="41" s="1"/>
  <c r="T15" i="41"/>
  <c r="AO15" i="41" s="1"/>
  <c r="R15" i="41"/>
  <c r="AM15" i="41" s="1"/>
  <c r="P15" i="41"/>
  <c r="O15" i="41"/>
  <c r="Q15" i="41" s="1"/>
  <c r="AL15" i="41" s="1"/>
  <c r="F15" i="41"/>
  <c r="AH14" i="41"/>
  <c r="AG14" i="41"/>
  <c r="AF14" i="41"/>
  <c r="AE14" i="41"/>
  <c r="AD14" i="41"/>
  <c r="AB14" i="41"/>
  <c r="AA14" i="41"/>
  <c r="Z14" i="41"/>
  <c r="U14" i="41"/>
  <c r="AP14" i="41" s="1"/>
  <c r="R14" i="41"/>
  <c r="AM14" i="41" s="1"/>
  <c r="P14" i="41"/>
  <c r="AK14" i="41" s="1"/>
  <c r="O14" i="41"/>
  <c r="Q14" i="41" s="1"/>
  <c r="AL14" i="41" s="1"/>
  <c r="F14" i="41"/>
  <c r="L13" i="41"/>
  <c r="O1" i="41" s="1"/>
  <c r="K13" i="41"/>
  <c r="N1" i="41" s="1"/>
  <c r="J13" i="41"/>
  <c r="I13" i="41"/>
  <c r="H13" i="41"/>
  <c r="E13" i="41"/>
  <c r="J9" i="41"/>
  <c r="B9" i="41"/>
  <c r="N9" i="41" s="1"/>
  <c r="V8" i="41"/>
  <c r="O8" i="41"/>
  <c r="M8" i="41"/>
  <c r="J8" i="41"/>
  <c r="F8" i="41"/>
  <c r="B8" i="41"/>
  <c r="N8" i="41" s="1"/>
  <c r="AH7" i="41"/>
  <c r="AF7" i="41"/>
  <c r="J7" i="41"/>
  <c r="B7" i="41"/>
  <c r="V7" i="41" s="1"/>
  <c r="AA6" i="41"/>
  <c r="J6" i="41"/>
  <c r="B6" i="41"/>
  <c r="S6" i="41" s="1"/>
  <c r="N5" i="41"/>
  <c r="K5" i="41"/>
  <c r="J5" i="41"/>
  <c r="F5" i="41"/>
  <c r="B5" i="41"/>
  <c r="M5" i="41" s="1"/>
  <c r="O4" i="41"/>
  <c r="N4" i="41"/>
  <c r="M4" i="41"/>
  <c r="J4" i="41"/>
  <c r="F4" i="41"/>
  <c r="B4" i="41"/>
  <c r="P3" i="41"/>
  <c r="J3" i="41"/>
  <c r="I3" i="41"/>
  <c r="B3" i="41"/>
  <c r="O3" i="41" s="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Z7" i="40" s="1"/>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A50" i="40"/>
  <c r="Z50" i="40"/>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U30" i="40"/>
  <c r="AP30" i="40" s="1"/>
  <c r="R30" i="40"/>
  <c r="AM30" i="40" s="1"/>
  <c r="P30" i="40"/>
  <c r="O30" i="40"/>
  <c r="T30" i="40" s="1"/>
  <c r="AO30" i="40" s="1"/>
  <c r="F30" i="40"/>
  <c r="AH29" i="40"/>
  <c r="AG29" i="40"/>
  <c r="AF29" i="40"/>
  <c r="AE29" i="40"/>
  <c r="AD29" i="40"/>
  <c r="AB29" i="40"/>
  <c r="AA29" i="40"/>
  <c r="Z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U23" i="40"/>
  <c r="AP23" i="40" s="1"/>
  <c r="R23" i="40"/>
  <c r="AM23" i="40" s="1"/>
  <c r="P23" i="40"/>
  <c r="O23" i="40"/>
  <c r="T23" i="40" s="1"/>
  <c r="AO23" i="40" s="1"/>
  <c r="F23" i="40"/>
  <c r="AH22" i="40"/>
  <c r="AG22" i="40"/>
  <c r="AF22" i="40"/>
  <c r="AE22" i="40"/>
  <c r="AD22" i="40"/>
  <c r="AB22" i="40"/>
  <c r="AA22" i="40"/>
  <c r="Z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U19" i="40"/>
  <c r="AP19" i="40" s="1"/>
  <c r="R19" i="40"/>
  <c r="AM19" i="40" s="1"/>
  <c r="P19" i="40"/>
  <c r="O19" i="40"/>
  <c r="T19" i="40" s="1"/>
  <c r="AO19" i="40" s="1"/>
  <c r="F19" i="40"/>
  <c r="AP18" i="40"/>
  <c r="AH18" i="40"/>
  <c r="AG18" i="40"/>
  <c r="AF18" i="40"/>
  <c r="AE18" i="40"/>
  <c r="AD18" i="40"/>
  <c r="AB18" i="40"/>
  <c r="AA18" i="40"/>
  <c r="Z18" i="40"/>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J7" i="40"/>
  <c r="B7" i="40"/>
  <c r="AH6" i="40"/>
  <c r="AG6" i="40"/>
  <c r="V6" i="40"/>
  <c r="N6" i="40"/>
  <c r="J6" i="40"/>
  <c r="F6" i="40"/>
  <c r="B6" i="40"/>
  <c r="J5" i="40"/>
  <c r="B5" i="40"/>
  <c r="O5" i="40" s="1"/>
  <c r="N4" i="40"/>
  <c r="J4" i="40"/>
  <c r="F4" i="40"/>
  <c r="B4" i="40"/>
  <c r="J3" i="40"/>
  <c r="B3" i="40"/>
  <c r="J2" i="40"/>
  <c r="F2" i="40"/>
  <c r="B2" i="40"/>
  <c r="N2" i="40" s="1"/>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F7" i="39" s="1"/>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E33" i="39"/>
  <c r="AD33" i="39"/>
  <c r="AB33" i="39"/>
  <c r="AA33" i="39"/>
  <c r="Z33" i="39"/>
  <c r="U33" i="39"/>
  <c r="AP33" i="39" s="1"/>
  <c r="T33" i="39"/>
  <c r="AO33" i="39" s="1"/>
  <c r="R33" i="39"/>
  <c r="AM33"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U30" i="39"/>
  <c r="AP30" i="39" s="1"/>
  <c r="R30" i="39"/>
  <c r="AM30" i="39" s="1"/>
  <c r="P30" i="39"/>
  <c r="AK30" i="39" s="1"/>
  <c r="O30" i="39"/>
  <c r="AJ30" i="39" s="1"/>
  <c r="F30" i="39"/>
  <c r="AH29" i="39"/>
  <c r="AG29" i="39"/>
  <c r="AF29" i="39"/>
  <c r="AE29" i="39"/>
  <c r="AD29" i="39"/>
  <c r="AB29" i="39"/>
  <c r="AA29" i="39"/>
  <c r="Z29" i="39"/>
  <c r="U29" i="39"/>
  <c r="AP29" i="39" s="1"/>
  <c r="R29" i="39"/>
  <c r="AM29" i="39" s="1"/>
  <c r="P29" i="39"/>
  <c r="AK29" i="39" s="1"/>
  <c r="O29" i="39"/>
  <c r="AJ29" i="39" s="1"/>
  <c r="F29" i="39"/>
  <c r="AH28" i="39"/>
  <c r="AG28" i="39"/>
  <c r="AF28" i="39"/>
  <c r="AE28" i="39"/>
  <c r="AD28" i="39"/>
  <c r="AB28" i="39"/>
  <c r="AA28" i="39"/>
  <c r="Z28" i="39"/>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D26" i="39"/>
  <c r="AB26" i="39"/>
  <c r="AA26" i="39"/>
  <c r="Z26" i="39"/>
  <c r="U26" i="39"/>
  <c r="AP26" i="39" s="1"/>
  <c r="R26" i="39"/>
  <c r="AM26" i="39" s="1"/>
  <c r="P26" i="39"/>
  <c r="AK26" i="39" s="1"/>
  <c r="O26" i="39"/>
  <c r="AJ26" i="39" s="1"/>
  <c r="F26" i="39"/>
  <c r="AH25" i="39"/>
  <c r="AG25" i="39"/>
  <c r="AF25" i="39"/>
  <c r="AE25" i="39"/>
  <c r="AD25" i="39"/>
  <c r="AB25" i="39"/>
  <c r="AA25" i="39"/>
  <c r="Z25" i="39"/>
  <c r="U25" i="39"/>
  <c r="AP25" i="39" s="1"/>
  <c r="R25" i="39"/>
  <c r="AM25" i="39" s="1"/>
  <c r="P25" i="39"/>
  <c r="AK25" i="39" s="1"/>
  <c r="O25" i="39"/>
  <c r="AJ25" i="39" s="1"/>
  <c r="F25" i="39"/>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U23" i="39"/>
  <c r="AP23" i="39" s="1"/>
  <c r="R23" i="39"/>
  <c r="AM23" i="39" s="1"/>
  <c r="P23" i="39"/>
  <c r="AK23" i="39" s="1"/>
  <c r="O23" i="39"/>
  <c r="AJ23" i="39" s="1"/>
  <c r="F23" i="39"/>
  <c r="AH22" i="39"/>
  <c r="AG22" i="39"/>
  <c r="AF22" i="39"/>
  <c r="AE22" i="39"/>
  <c r="AD22" i="39"/>
  <c r="AB22" i="39"/>
  <c r="AA22" i="39"/>
  <c r="Z22" i="39"/>
  <c r="U22" i="39"/>
  <c r="AP22" i="39" s="1"/>
  <c r="R22" i="39"/>
  <c r="AM22" i="39" s="1"/>
  <c r="P22" i="39"/>
  <c r="AK22" i="39" s="1"/>
  <c r="O22" i="39"/>
  <c r="AJ22" i="39" s="1"/>
  <c r="F22" i="39"/>
  <c r="AH21" i="39"/>
  <c r="AG21" i="39"/>
  <c r="AF21" i="39"/>
  <c r="AE21" i="39"/>
  <c r="AD21" i="39"/>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G2" i="39" s="1"/>
  <c r="U15" i="39"/>
  <c r="AP15" i="39" s="1"/>
  <c r="T15" i="39"/>
  <c r="AO15" i="39" s="1"/>
  <c r="R15" i="39"/>
  <c r="AM15" i="39" s="1"/>
  <c r="Q15" i="39"/>
  <c r="AL15" i="39" s="1"/>
  <c r="P15" i="39"/>
  <c r="AK15" i="39" s="1"/>
  <c r="O15" i="39"/>
  <c r="AJ15" i="39" s="1"/>
  <c r="F15" i="39"/>
  <c r="AH14" i="39"/>
  <c r="AG14" i="39"/>
  <c r="AF14" i="39"/>
  <c r="AE14" i="39"/>
  <c r="AD14" i="39"/>
  <c r="AB14" i="39"/>
  <c r="AA14" i="39"/>
  <c r="Z14" i="39"/>
  <c r="U14" i="39"/>
  <c r="AP14" i="39" s="1"/>
  <c r="T14" i="39"/>
  <c r="AO14" i="39" s="1"/>
  <c r="R14" i="39"/>
  <c r="AM14" i="39" s="1"/>
  <c r="Q14" i="39"/>
  <c r="AL14" i="39" s="1"/>
  <c r="P14" i="39"/>
  <c r="AK14" i="39" s="1"/>
  <c r="O14" i="39"/>
  <c r="AJ14" i="39" s="1"/>
  <c r="F14" i="39"/>
  <c r="L13" i="39"/>
  <c r="O1" i="39" s="1"/>
  <c r="K13" i="39"/>
  <c r="J13" i="39"/>
  <c r="M1" i="39" s="1"/>
  <c r="I13" i="39"/>
  <c r="H13" i="39"/>
  <c r="E13" i="39"/>
  <c r="M9" i="39"/>
  <c r="J9" i="39"/>
  <c r="B9" i="39"/>
  <c r="K9" i="39" s="1"/>
  <c r="O8" i="39"/>
  <c r="M8" i="39"/>
  <c r="J8" i="39"/>
  <c r="G8" i="39"/>
  <c r="B8" i="39"/>
  <c r="J7" i="39"/>
  <c r="B7" i="39"/>
  <c r="O7" i="39" s="1"/>
  <c r="AH6" i="39"/>
  <c r="S6" i="39"/>
  <c r="J6" i="39"/>
  <c r="B6" i="39"/>
  <c r="P6" i="39" s="1"/>
  <c r="J5" i="39"/>
  <c r="B5" i="39"/>
  <c r="M5" i="39" s="1"/>
  <c r="O4" i="39"/>
  <c r="M4" i="39"/>
  <c r="J4" i="39"/>
  <c r="F4" i="39"/>
  <c r="B4" i="39"/>
  <c r="AD3" i="39"/>
  <c r="J3" i="39"/>
  <c r="B3" i="39"/>
  <c r="O2" i="39"/>
  <c r="J2" i="39"/>
  <c r="B2" i="39"/>
  <c r="L2" i="39" s="1"/>
  <c r="N1" i="39"/>
  <c r="L1" i="39"/>
  <c r="K1" i="39"/>
  <c r="I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U71" i="38"/>
  <c r="AP71" i="38" s="1"/>
  <c r="R71" i="38"/>
  <c r="AM71" i="38" s="1"/>
  <c r="P71" i="38"/>
  <c r="O71" i="38"/>
  <c r="AJ71" i="38" s="1"/>
  <c r="F71" i="38"/>
  <c r="AH70" i="38"/>
  <c r="AG70" i="38"/>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F3" i="38" s="1"/>
  <c r="AE68" i="38"/>
  <c r="AD68" i="38"/>
  <c r="AB68" i="38"/>
  <c r="AA68" i="38"/>
  <c r="Z68" i="38"/>
  <c r="U68" i="38"/>
  <c r="AP68" i="38" s="1"/>
  <c r="R68" i="38"/>
  <c r="AM68" i="38" s="1"/>
  <c r="P68" i="38"/>
  <c r="O68" i="38"/>
  <c r="F68" i="38"/>
  <c r="AH67" i="38"/>
  <c r="AG67" i="38"/>
  <c r="AF67" i="38"/>
  <c r="AE67" i="38"/>
  <c r="AD67" i="38"/>
  <c r="AB67" i="38"/>
  <c r="AB7" i="38" s="1"/>
  <c r="AA67" i="38"/>
  <c r="Z67" i="38"/>
  <c r="U67" i="38"/>
  <c r="AP67" i="38" s="1"/>
  <c r="R67" i="38"/>
  <c r="AM67" i="38" s="1"/>
  <c r="P67" i="38"/>
  <c r="O67" i="38"/>
  <c r="F67" i="38"/>
  <c r="AH66" i="38"/>
  <c r="AG66" i="38"/>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AH58" i="38"/>
  <c r="AG58" i="38"/>
  <c r="AF58" i="38"/>
  <c r="AE58" i="38"/>
  <c r="AD58" i="38"/>
  <c r="AB58" i="38"/>
  <c r="AA58" i="38"/>
  <c r="Z58" i="38"/>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D51" i="38"/>
  <c r="AB51" i="38"/>
  <c r="AA51" i="38"/>
  <c r="Z51" i="38"/>
  <c r="U51" i="38"/>
  <c r="AP51" i="38" s="1"/>
  <c r="R51" i="38"/>
  <c r="P51" i="38"/>
  <c r="AK51" i="38" s="1"/>
  <c r="O51" i="38"/>
  <c r="AJ51" i="38" s="1"/>
  <c r="F51" i="38"/>
  <c r="AH50" i="38"/>
  <c r="AG50" i="38"/>
  <c r="AF50" i="38"/>
  <c r="AE50" i="38"/>
  <c r="AD50" i="38"/>
  <c r="AB50" i="38"/>
  <c r="AA50" i="38"/>
  <c r="Z50" i="38"/>
  <c r="U50" i="38"/>
  <c r="AP50"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I7" i="38" s="1"/>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U30" i="38"/>
  <c r="AP30" i="38" s="1"/>
  <c r="R30" i="38"/>
  <c r="AM30" i="38" s="1"/>
  <c r="P30" i="38"/>
  <c r="O30" i="38"/>
  <c r="AJ30" i="38" s="1"/>
  <c r="F30" i="38"/>
  <c r="AH29" i="38"/>
  <c r="AG29" i="38"/>
  <c r="AF29" i="38"/>
  <c r="AE29" i="38"/>
  <c r="AD29" i="38"/>
  <c r="AB29" i="38"/>
  <c r="AA29" i="38"/>
  <c r="Z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AH27" i="38"/>
  <c r="AG27" i="38"/>
  <c r="AF27" i="38"/>
  <c r="AE27" i="38"/>
  <c r="AD27" i="38"/>
  <c r="AB27" i="38"/>
  <c r="AA27" i="38"/>
  <c r="Z27" i="38"/>
  <c r="U27" i="38"/>
  <c r="AP27" i="38" s="1"/>
  <c r="R27" i="38"/>
  <c r="AM27" i="38" s="1"/>
  <c r="P27" i="38"/>
  <c r="O27" i="38"/>
  <c r="AJ27" i="38" s="1"/>
  <c r="F27" i="38"/>
  <c r="AH26" i="38"/>
  <c r="AG26" i="38"/>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U14" i="38"/>
  <c r="AP14" i="38" s="1"/>
  <c r="T14" i="38"/>
  <c r="R14" i="38"/>
  <c r="AM14" i="38" s="1"/>
  <c r="Q14" i="38"/>
  <c r="AL14" i="38" s="1"/>
  <c r="P14" i="38"/>
  <c r="O14" i="38"/>
  <c r="AJ14" i="38" s="1"/>
  <c r="F14" i="38"/>
  <c r="L13" i="38"/>
  <c r="K13" i="38"/>
  <c r="J13" i="38"/>
  <c r="M1" i="38" s="1"/>
  <c r="I13" i="38"/>
  <c r="H13" i="38"/>
  <c r="E13" i="38"/>
  <c r="K1" i="38" s="1"/>
  <c r="N9" i="38"/>
  <c r="M9" i="38"/>
  <c r="J9" i="38"/>
  <c r="B9" i="38"/>
  <c r="F9" i="38" s="1"/>
  <c r="J8" i="38"/>
  <c r="B8" i="38"/>
  <c r="Q8" i="38" s="1"/>
  <c r="AE7" i="38"/>
  <c r="AD7" i="38"/>
  <c r="Q7" i="38"/>
  <c r="J7" i="38"/>
  <c r="F7" i="38"/>
  <c r="B7" i="38"/>
  <c r="P7" i="38" s="1"/>
  <c r="AG6" i="38"/>
  <c r="AA6" i="38"/>
  <c r="Z6" i="38"/>
  <c r="J6" i="38"/>
  <c r="G6" i="38"/>
  <c r="B6" i="38"/>
  <c r="O5" i="38"/>
  <c r="N5" i="38"/>
  <c r="J5" i="38"/>
  <c r="B5" i="38"/>
  <c r="M5" i="38" s="1"/>
  <c r="AA4" i="38"/>
  <c r="O4" i="38"/>
  <c r="J4" i="38"/>
  <c r="B4" i="38"/>
  <c r="P3" i="38"/>
  <c r="N3" i="38"/>
  <c r="M3" i="38"/>
  <c r="K3" i="38"/>
  <c r="J3" i="38"/>
  <c r="F3" i="38"/>
  <c r="B3" i="38"/>
  <c r="Q3" i="38" s="1"/>
  <c r="J2" i="38"/>
  <c r="B2" i="38"/>
  <c r="O1" i="38"/>
  <c r="N1" i="38"/>
  <c r="L1" i="38"/>
  <c r="I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H3" i="37" s="1"/>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B50" i="37"/>
  <c r="AB6" i="37" s="1"/>
  <c r="AA50" i="37"/>
  <c r="Z50" i="37"/>
  <c r="U50" i="37"/>
  <c r="AP50" i="37" s="1"/>
  <c r="R50" i="37"/>
  <c r="AM50" i="37" s="1"/>
  <c r="P50" i="37"/>
  <c r="O50" i="37"/>
  <c r="AJ50" i="37" s="1"/>
  <c r="F50" i="37"/>
  <c r="AM49" i="37"/>
  <c r="AH49" i="37"/>
  <c r="AG49" i="37"/>
  <c r="AF49" i="37"/>
  <c r="AE49" i="37"/>
  <c r="AD49" i="37"/>
  <c r="AB49" i="37"/>
  <c r="AA49" i="37"/>
  <c r="Z49" i="37"/>
  <c r="Z9" i="37" s="1"/>
  <c r="U49" i="37"/>
  <c r="AP49" i="37" s="1"/>
  <c r="R49" i="37"/>
  <c r="P49" i="37"/>
  <c r="O49" i="37"/>
  <c r="AJ49" i="37" s="1"/>
  <c r="F49" i="37"/>
  <c r="AH48" i="37"/>
  <c r="AG48" i="37"/>
  <c r="AF48" i="37"/>
  <c r="AE48" i="37"/>
  <c r="AD48" i="37"/>
  <c r="AB48" i="37"/>
  <c r="AA48" i="37"/>
  <c r="Z48" i="37"/>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Z3" i="37" s="1"/>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F42" i="37"/>
  <c r="AE42" i="37"/>
  <c r="AD42" i="37"/>
  <c r="AB42" i="37"/>
  <c r="AA42" i="37"/>
  <c r="Z42" i="37"/>
  <c r="U42" i="37"/>
  <c r="AP42" i="37" s="1"/>
  <c r="T42" i="37"/>
  <c r="AO42" i="37" s="1"/>
  <c r="R42" i="37"/>
  <c r="AM42" i="37" s="1"/>
  <c r="Q42" i="37"/>
  <c r="AL42" i="37" s="1"/>
  <c r="P42" i="37"/>
  <c r="AK42" i="37" s="1"/>
  <c r="O42" i="37"/>
  <c r="AJ42" i="37" s="1"/>
  <c r="F42" i="37"/>
  <c r="AH41" i="37"/>
  <c r="AG41" i="37"/>
  <c r="AF41" i="37"/>
  <c r="AF7" i="37" s="1"/>
  <c r="AE41" i="37"/>
  <c r="AE7" i="37" s="1"/>
  <c r="AD41" i="37"/>
  <c r="AB41" i="37"/>
  <c r="AA41" i="37"/>
  <c r="Z41" i="37"/>
  <c r="U41" i="37"/>
  <c r="AP41" i="37" s="1"/>
  <c r="T41" i="37"/>
  <c r="AO41" i="37" s="1"/>
  <c r="R41" i="37"/>
  <c r="AM41" i="37" s="1"/>
  <c r="Q41" i="37"/>
  <c r="AL41" i="37" s="1"/>
  <c r="P41" i="37"/>
  <c r="AK41" i="37" s="1"/>
  <c r="O41" i="37"/>
  <c r="AJ41" i="37" s="1"/>
  <c r="F41" i="37"/>
  <c r="AH40" i="37"/>
  <c r="AG40" i="37"/>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U39" i="37"/>
  <c r="AP39" i="37" s="1"/>
  <c r="T39" i="37"/>
  <c r="AO39" i="37" s="1"/>
  <c r="R39" i="37"/>
  <c r="AM39" i="37" s="1"/>
  <c r="Q39" i="37"/>
  <c r="AL39" i="37" s="1"/>
  <c r="P39" i="37"/>
  <c r="AK39" i="37" s="1"/>
  <c r="O39" i="37"/>
  <c r="AJ39" i="37" s="1"/>
  <c r="F39" i="37"/>
  <c r="AM38" i="37"/>
  <c r="AH38" i="37"/>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U30" i="37"/>
  <c r="AP30" i="37" s="1"/>
  <c r="R30" i="37"/>
  <c r="Q30" i="37"/>
  <c r="AL30" i="37" s="1"/>
  <c r="P30" i="37"/>
  <c r="AK30" i="37" s="1"/>
  <c r="O30" i="37"/>
  <c r="AJ30" i="37" s="1"/>
  <c r="F30" i="37"/>
  <c r="AH29" i="37"/>
  <c r="AG29" i="37"/>
  <c r="AF29" i="37"/>
  <c r="AE29" i="37"/>
  <c r="AD29" i="37"/>
  <c r="AB29" i="37"/>
  <c r="AA29" i="37"/>
  <c r="Z29" i="37"/>
  <c r="U29" i="37"/>
  <c r="AP29" i="37" s="1"/>
  <c r="R29" i="37"/>
  <c r="AM29" i="37" s="1"/>
  <c r="Q29" i="37"/>
  <c r="AL29" i="37" s="1"/>
  <c r="P29" i="37"/>
  <c r="AK29" i="37" s="1"/>
  <c r="O29" i="37"/>
  <c r="AJ29" i="37" s="1"/>
  <c r="F29" i="37"/>
  <c r="AH28" i="37"/>
  <c r="AG28" i="37"/>
  <c r="AF28" i="37"/>
  <c r="AE28" i="37"/>
  <c r="AD28" i="37"/>
  <c r="AD8" i="37" s="1"/>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AH26" i="37"/>
  <c r="AG26" i="37"/>
  <c r="AF26" i="37"/>
  <c r="AE26" i="37"/>
  <c r="AD26" i="37"/>
  <c r="AB26" i="37"/>
  <c r="AA26" i="37"/>
  <c r="Z26" i="37"/>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U20" i="37"/>
  <c r="R20" i="37"/>
  <c r="AM20" i="37" s="1"/>
  <c r="P20" i="37"/>
  <c r="AK20" i="37" s="1"/>
  <c r="O20" i="37"/>
  <c r="AJ20"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G17" i="37"/>
  <c r="AF17" i="37"/>
  <c r="AE17" i="37"/>
  <c r="AD17" i="37"/>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U14" i="37"/>
  <c r="AP14" i="37" s="1"/>
  <c r="R14" i="37"/>
  <c r="AM14" i="37" s="1"/>
  <c r="P14" i="37"/>
  <c r="O14" i="37"/>
  <c r="AJ14" i="37" s="1"/>
  <c r="F14" i="37"/>
  <c r="L13" i="37"/>
  <c r="O1" i="37" s="1"/>
  <c r="K13" i="37"/>
  <c r="N1" i="37" s="1"/>
  <c r="J13" i="37"/>
  <c r="I13" i="37"/>
  <c r="L1" i="37" s="1"/>
  <c r="H13" i="37"/>
  <c r="E13" i="37"/>
  <c r="O9" i="37"/>
  <c r="N9" i="37"/>
  <c r="M9" i="37"/>
  <c r="J9" i="37"/>
  <c r="F9" i="37"/>
  <c r="B9" i="37"/>
  <c r="AE8" i="37"/>
  <c r="O8" i="37"/>
  <c r="J8" i="37"/>
  <c r="B8" i="37"/>
  <c r="P8" i="37" s="1"/>
  <c r="AD7" i="37"/>
  <c r="Z7" i="37"/>
  <c r="J7" i="37"/>
  <c r="G7" i="37"/>
  <c r="H7" i="37" s="1"/>
  <c r="B7" i="37"/>
  <c r="AH6" i="37"/>
  <c r="AE6" i="37"/>
  <c r="N6" i="37"/>
  <c r="J6" i="37"/>
  <c r="F6" i="37"/>
  <c r="B6" i="37"/>
  <c r="N5" i="37"/>
  <c r="M5" i="37"/>
  <c r="J5" i="37"/>
  <c r="B5" i="37"/>
  <c r="F5" i="37" s="1"/>
  <c r="J4" i="37"/>
  <c r="B4" i="37"/>
  <c r="O4" i="37" s="1"/>
  <c r="J3" i="37"/>
  <c r="B3" i="37"/>
  <c r="S3" i="37" s="1"/>
  <c r="J2" i="37"/>
  <c r="B2" i="37"/>
  <c r="N2" i="37" s="1"/>
  <c r="M1" i="37"/>
  <c r="K1" i="37"/>
  <c r="I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E61" i="36"/>
  <c r="AD61" i="36"/>
  <c r="AD3" i="36" s="1"/>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AH51" i="36"/>
  <c r="AG51" i="36"/>
  <c r="AF51" i="36"/>
  <c r="AE51" i="36"/>
  <c r="AD51" i="36"/>
  <c r="AB51" i="36"/>
  <c r="AA51" i="36"/>
  <c r="Z51" i="36"/>
  <c r="U51" i="36"/>
  <c r="AP51" i="36" s="1"/>
  <c r="R51" i="36"/>
  <c r="AM51" i="36" s="1"/>
  <c r="P51" i="36"/>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U36" i="36"/>
  <c r="T36" i="36"/>
  <c r="AO36" i="36" s="1"/>
  <c r="R36" i="36"/>
  <c r="AM36" i="36" s="1"/>
  <c r="Q36" i="36"/>
  <c r="AL36" i="36" s="1"/>
  <c r="P36" i="36"/>
  <c r="S36" i="36" s="1"/>
  <c r="AN36" i="36" s="1"/>
  <c r="O36" i="36"/>
  <c r="AJ36" i="36" s="1"/>
  <c r="F36" i="36"/>
  <c r="AH35" i="36"/>
  <c r="AG35" i="36"/>
  <c r="AF35" i="36"/>
  <c r="AE35" i="36"/>
  <c r="AD35" i="36"/>
  <c r="AB35" i="36"/>
  <c r="AA35" i="36"/>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F6" i="36" s="1"/>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U30" i="36"/>
  <c r="AP30" i="36" s="1"/>
  <c r="T30" i="36"/>
  <c r="AO30" i="36" s="1"/>
  <c r="R30" i="36"/>
  <c r="AM30" i="36" s="1"/>
  <c r="Q30" i="36"/>
  <c r="AL30" i="36" s="1"/>
  <c r="P30" i="36"/>
  <c r="O30" i="36"/>
  <c r="AJ30" i="36" s="1"/>
  <c r="F30" i="36"/>
  <c r="AH29" i="36"/>
  <c r="AG29" i="36"/>
  <c r="AF29" i="36"/>
  <c r="AE29" i="36"/>
  <c r="AD29" i="36"/>
  <c r="AB29" i="36"/>
  <c r="AA29" i="36"/>
  <c r="Z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U18" i="36"/>
  <c r="AP18" i="36" s="1"/>
  <c r="R18" i="36"/>
  <c r="AM18" i="36" s="1"/>
  <c r="P18" i="36"/>
  <c r="O18" i="36"/>
  <c r="AJ18" i="36" s="1"/>
  <c r="F18" i="36"/>
  <c r="AH17" i="36"/>
  <c r="AG17" i="36"/>
  <c r="AF17" i="36"/>
  <c r="AE17" i="36"/>
  <c r="AD17" i="36"/>
  <c r="AB17" i="36"/>
  <c r="AA17" i="36"/>
  <c r="Z17" i="36"/>
  <c r="U17" i="36"/>
  <c r="AP17" i="36" s="1"/>
  <c r="R17" i="36"/>
  <c r="AM17" i="36" s="1"/>
  <c r="P17" i="36"/>
  <c r="O17" i="36"/>
  <c r="AJ17" i="36" s="1"/>
  <c r="F17" i="36"/>
  <c r="AH16" i="36"/>
  <c r="AG16" i="36"/>
  <c r="AF16" i="36"/>
  <c r="AE16" i="36"/>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U14" i="36"/>
  <c r="AP14" i="36" s="1"/>
  <c r="R14" i="36"/>
  <c r="P14" i="36"/>
  <c r="O14" i="36"/>
  <c r="AJ14" i="36" s="1"/>
  <c r="F14" i="36"/>
  <c r="L13" i="36"/>
  <c r="O1" i="36" s="1"/>
  <c r="K13" i="36"/>
  <c r="J13" i="36"/>
  <c r="M1" i="36" s="1"/>
  <c r="I13" i="36"/>
  <c r="L1" i="36" s="1"/>
  <c r="H13" i="36"/>
  <c r="E13" i="36"/>
  <c r="N9" i="36"/>
  <c r="M9" i="36"/>
  <c r="J9" i="36"/>
  <c r="F9" i="36"/>
  <c r="B9" i="36"/>
  <c r="AH8" i="36"/>
  <c r="J8" i="36"/>
  <c r="B8" i="36"/>
  <c r="V8" i="36" s="1"/>
  <c r="AH7" i="36"/>
  <c r="J7" i="36"/>
  <c r="B7" i="36"/>
  <c r="Q7" i="36" s="1"/>
  <c r="AE6" i="36"/>
  <c r="Z6" i="36"/>
  <c r="J6" i="36"/>
  <c r="G6" i="36"/>
  <c r="B6" i="36"/>
  <c r="K6" i="36" s="1"/>
  <c r="M5" i="36"/>
  <c r="J5" i="36"/>
  <c r="F5" i="36"/>
  <c r="B5" i="36"/>
  <c r="N5" i="36" s="1"/>
  <c r="O4" i="36"/>
  <c r="J4" i="36"/>
  <c r="B4" i="36"/>
  <c r="J3" i="36"/>
  <c r="F3" i="36"/>
  <c r="B3" i="36"/>
  <c r="N3" i="36" s="1"/>
  <c r="J2" i="36"/>
  <c r="B2" i="36"/>
  <c r="K2" i="36" s="1"/>
  <c r="N1" i="36"/>
  <c r="K1" i="36"/>
  <c r="AW41" i="14"/>
  <c r="I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U90" i="35"/>
  <c r="T90" i="35"/>
  <c r="AO90" i="35" s="1"/>
  <c r="R90" i="35"/>
  <c r="AM90" i="35" s="1"/>
  <c r="Q90" i="35"/>
  <c r="AL90" i="35" s="1"/>
  <c r="P90" i="35"/>
  <c r="O90" i="35"/>
  <c r="AJ90" i="35" s="1"/>
  <c r="F90" i="35"/>
  <c r="AH89" i="35"/>
  <c r="AG89" i="35"/>
  <c r="AF89" i="35"/>
  <c r="AE89" i="35"/>
  <c r="AD89" i="35"/>
  <c r="AB89" i="35"/>
  <c r="AA89" i="35"/>
  <c r="Z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E4" i="35" s="1"/>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B66" i="35"/>
  <c r="AA66" i="35"/>
  <c r="Z66" i="35"/>
  <c r="U66" i="35"/>
  <c r="AP66" i="35" s="1"/>
  <c r="R66" i="35"/>
  <c r="AM66" i="35" s="1"/>
  <c r="P66" i="35"/>
  <c r="O66" i="35"/>
  <c r="AJ66"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Z9" i="35" s="1"/>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G50" i="35"/>
  <c r="AG6" i="35" s="1"/>
  <c r="AF50" i="35"/>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U30" i="35"/>
  <c r="AP30" i="35" s="1"/>
  <c r="T30" i="35"/>
  <c r="AO30" i="35" s="1"/>
  <c r="R30" i="35"/>
  <c r="AM30" i="35" s="1"/>
  <c r="Q30" i="35"/>
  <c r="AL30" i="35" s="1"/>
  <c r="P30" i="35"/>
  <c r="AK30" i="35" s="1"/>
  <c r="O30" i="35"/>
  <c r="AJ30" i="35" s="1"/>
  <c r="F30" i="35"/>
  <c r="AH29" i="35"/>
  <c r="AG29" i="35"/>
  <c r="AF29" i="35"/>
  <c r="AE29" i="35"/>
  <c r="AD29" i="35"/>
  <c r="AB29" i="35"/>
  <c r="AA29" i="35"/>
  <c r="Z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U23" i="35"/>
  <c r="AP23" i="35" s="1"/>
  <c r="R23" i="35"/>
  <c r="P23" i="35"/>
  <c r="O23" i="35"/>
  <c r="AJ23" i="35" s="1"/>
  <c r="F23" i="35"/>
  <c r="AH22" i="35"/>
  <c r="AG22" i="35"/>
  <c r="AF22" i="35"/>
  <c r="AE22" i="35"/>
  <c r="AD22" i="35"/>
  <c r="AB22" i="35"/>
  <c r="AA22" i="35"/>
  <c r="Z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U19" i="35"/>
  <c r="AP19" i="35" s="1"/>
  <c r="R19" i="35"/>
  <c r="AM19" i="35" s="1"/>
  <c r="P19" i="35"/>
  <c r="O19" i="35"/>
  <c r="AJ19" i="35" s="1"/>
  <c r="F19" i="35"/>
  <c r="AH18" i="35"/>
  <c r="AH2" i="35" s="1"/>
  <c r="AG18" i="35"/>
  <c r="AF18" i="35"/>
  <c r="AE18" i="35"/>
  <c r="AD18" i="35"/>
  <c r="AB18" i="35"/>
  <c r="AA18" i="35"/>
  <c r="Z18" i="35"/>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D16" i="35"/>
  <c r="AB16" i="35"/>
  <c r="AA16" i="35"/>
  <c r="Z16" i="35"/>
  <c r="U16" i="35"/>
  <c r="AP16" i="35" s="1"/>
  <c r="R16" i="35"/>
  <c r="AM16" i="35" s="1"/>
  <c r="P16" i="35"/>
  <c r="O16" i="35"/>
  <c r="AJ16" i="35" s="1"/>
  <c r="F16" i="35"/>
  <c r="AM15" i="35"/>
  <c r="AH15" i="35"/>
  <c r="AG15" i="35"/>
  <c r="AF15" i="35"/>
  <c r="AE15" i="35"/>
  <c r="AD15" i="35"/>
  <c r="AB15" i="35"/>
  <c r="AA15" i="35"/>
  <c r="Z15" i="35"/>
  <c r="U15" i="35"/>
  <c r="AP15" i="35" s="1"/>
  <c r="R15" i="35"/>
  <c r="P15" i="35"/>
  <c r="AK15" i="35" s="1"/>
  <c r="O15" i="35"/>
  <c r="AJ15" i="35" s="1"/>
  <c r="AJ2" i="35" s="1"/>
  <c r="F15" i="35"/>
  <c r="AH14" i="35"/>
  <c r="AG14" i="35"/>
  <c r="AF14" i="35"/>
  <c r="AE14" i="35"/>
  <c r="AD14" i="35"/>
  <c r="AB14" i="35"/>
  <c r="AA14" i="35"/>
  <c r="Z14" i="35"/>
  <c r="U14" i="35"/>
  <c r="AP14" i="35" s="1"/>
  <c r="R14" i="35"/>
  <c r="P14" i="35"/>
  <c r="AK14" i="35" s="1"/>
  <c r="O14" i="35"/>
  <c r="AJ14" i="35" s="1"/>
  <c r="F14" i="35"/>
  <c r="L13" i="35"/>
  <c r="K13" i="35"/>
  <c r="N1" i="35" s="1"/>
  <c r="J13" i="35"/>
  <c r="I13" i="35"/>
  <c r="H13" i="35"/>
  <c r="E13" i="35"/>
  <c r="N9" i="35"/>
  <c r="J9" i="35"/>
  <c r="F9" i="35"/>
  <c r="B9" i="35"/>
  <c r="O9" i="35" s="1"/>
  <c r="AB8" i="35"/>
  <c r="N8" i="35"/>
  <c r="M8" i="35"/>
  <c r="K8" i="35"/>
  <c r="J8" i="35"/>
  <c r="F8" i="35"/>
  <c r="B8" i="35"/>
  <c r="O8" i="35" s="1"/>
  <c r="AA7" i="35"/>
  <c r="Z7" i="35"/>
  <c r="P7" i="35"/>
  <c r="O7" i="35"/>
  <c r="J7" i="35"/>
  <c r="G7" i="35"/>
  <c r="B7" i="35"/>
  <c r="AE6" i="35"/>
  <c r="Z6" i="35"/>
  <c r="J6" i="35"/>
  <c r="G6" i="35"/>
  <c r="B6" i="35"/>
  <c r="N6" i="35" s="1"/>
  <c r="J5" i="35"/>
  <c r="B5" i="35"/>
  <c r="J4" i="35"/>
  <c r="F4" i="35"/>
  <c r="B4" i="35"/>
  <c r="S4" i="35" s="1"/>
  <c r="AJ3" i="35"/>
  <c r="AF3" i="35"/>
  <c r="AD3" i="35"/>
  <c r="J3" i="35"/>
  <c r="B3" i="35"/>
  <c r="P3" i="35" s="1"/>
  <c r="J2" i="35"/>
  <c r="F2" i="35"/>
  <c r="B2" i="35"/>
  <c r="V2" i="35" s="1"/>
  <c r="O1" i="35"/>
  <c r="M1" i="35"/>
  <c r="L1" i="35"/>
  <c r="K1" i="35"/>
  <c r="I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Z7" i="34" s="1"/>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AH54" i="34"/>
  <c r="AG54" i="34"/>
  <c r="AF54" i="34"/>
  <c r="AE54" i="34"/>
  <c r="AD54" i="34"/>
  <c r="AB54" i="34"/>
  <c r="AA54" i="34"/>
  <c r="Z54" i="34"/>
  <c r="U54" i="34"/>
  <c r="AP54" i="34" s="1"/>
  <c r="R54" i="34"/>
  <c r="AM54" i="34" s="1"/>
  <c r="P54" i="34"/>
  <c r="O54" i="34"/>
  <c r="AJ54" i="34" s="1"/>
  <c r="F54" i="34"/>
  <c r="AH53" i="34"/>
  <c r="AG53" i="34"/>
  <c r="AF53" i="34"/>
  <c r="AE53" i="34"/>
  <c r="AD53" i="34"/>
  <c r="AB53" i="34"/>
  <c r="AA53" i="34"/>
  <c r="Z53" i="34"/>
  <c r="U53" i="34"/>
  <c r="AP53" i="34" s="1"/>
  <c r="R53" i="34"/>
  <c r="AM53" i="34" s="1"/>
  <c r="P53" i="34"/>
  <c r="O53" i="34"/>
  <c r="T53" i="34" s="1"/>
  <c r="AO53" i="34" s="1"/>
  <c r="F53" i="34"/>
  <c r="AH52" i="34"/>
  <c r="AG52" i="34"/>
  <c r="AF52" i="34"/>
  <c r="AE52" i="34"/>
  <c r="AD52" i="34"/>
  <c r="AB52" i="34"/>
  <c r="AA52" i="34"/>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E50" i="34"/>
  <c r="AD50" i="34"/>
  <c r="AB50" i="34"/>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G43" i="34"/>
  <c r="AF43" i="34"/>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U39" i="34"/>
  <c r="AP39" i="34" s="1"/>
  <c r="R39" i="34"/>
  <c r="AM39" i="34" s="1"/>
  <c r="P39" i="34"/>
  <c r="O39" i="34"/>
  <c r="AJ39" i="34" s="1"/>
  <c r="F39" i="34"/>
  <c r="AH38" i="34"/>
  <c r="AG38" i="34"/>
  <c r="AF38" i="34"/>
  <c r="AE38" i="34"/>
  <c r="AD38" i="34"/>
  <c r="AB38" i="34"/>
  <c r="AA38" i="34"/>
  <c r="Z38" i="34"/>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E6" i="34" s="1"/>
  <c r="AD33" i="34"/>
  <c r="AB33" i="34"/>
  <c r="AA33" i="34"/>
  <c r="AA6" i="34" s="1"/>
  <c r="Z33" i="34"/>
  <c r="G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U30" i="34"/>
  <c r="AP30" i="34" s="1"/>
  <c r="R30" i="34"/>
  <c r="AM30" i="34" s="1"/>
  <c r="Q30" i="34"/>
  <c r="AL30" i="34" s="1"/>
  <c r="P30" i="34"/>
  <c r="O30" i="34"/>
  <c r="T30" i="34" s="1"/>
  <c r="AO30" i="34" s="1"/>
  <c r="F30" i="34"/>
  <c r="AH29" i="34"/>
  <c r="AG29" i="34"/>
  <c r="AF29" i="34"/>
  <c r="AE29" i="34"/>
  <c r="AD29" i="34"/>
  <c r="AB29" i="34"/>
  <c r="AA29" i="34"/>
  <c r="Z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G23" i="34"/>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U14" i="34"/>
  <c r="AP14" i="34" s="1"/>
  <c r="R14" i="34"/>
  <c r="AM14" i="34" s="1"/>
  <c r="Q14" i="34"/>
  <c r="P14" i="34"/>
  <c r="AK14" i="34" s="1"/>
  <c r="O14" i="34"/>
  <c r="F14" i="34"/>
  <c r="L13" i="34"/>
  <c r="K13" i="34"/>
  <c r="N1" i="34" s="1"/>
  <c r="J13" i="34"/>
  <c r="M1" i="34" s="1"/>
  <c r="I13" i="34"/>
  <c r="H13" i="34"/>
  <c r="E13" i="34"/>
  <c r="O9" i="34"/>
  <c r="N9" i="34"/>
  <c r="M9" i="34"/>
  <c r="K9" i="34"/>
  <c r="J9" i="34"/>
  <c r="F9" i="34"/>
  <c r="B9" i="34"/>
  <c r="J8" i="34"/>
  <c r="B8" i="34"/>
  <c r="M8" i="34" s="1"/>
  <c r="O7" i="34"/>
  <c r="J7" i="34"/>
  <c r="B7" i="34"/>
  <c r="J6" i="34"/>
  <c r="I6" i="34"/>
  <c r="F6" i="34"/>
  <c r="B6" i="34"/>
  <c r="P6" i="34" s="1"/>
  <c r="J5" i="34"/>
  <c r="F5" i="34"/>
  <c r="B5" i="34"/>
  <c r="Q5" i="34" s="1"/>
  <c r="M4" i="34"/>
  <c r="J4" i="34"/>
  <c r="B4" i="34"/>
  <c r="O4" i="34" s="1"/>
  <c r="O3" i="34"/>
  <c r="J3" i="34"/>
  <c r="G3" i="34"/>
  <c r="H3" i="34" s="1"/>
  <c r="B3" i="34"/>
  <c r="J2" i="34"/>
  <c r="B2" i="34"/>
  <c r="O1" i="34"/>
  <c r="L1" i="34"/>
  <c r="K1" i="34"/>
  <c r="I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AH45" i="33"/>
  <c r="AG45" i="33"/>
  <c r="AF45" i="33"/>
  <c r="AE45" i="33"/>
  <c r="AD45" i="33"/>
  <c r="AB45" i="33"/>
  <c r="AA45" i="33"/>
  <c r="Z45" i="33"/>
  <c r="Z3" i="33" s="1"/>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U41" i="33"/>
  <c r="AP41" i="33" s="1"/>
  <c r="R41" i="33"/>
  <c r="AM41" i="33" s="1"/>
  <c r="P41" i="33"/>
  <c r="AK41" i="33" s="1"/>
  <c r="O41" i="33"/>
  <c r="AJ41"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H6" i="33" s="1"/>
  <c r="AG33" i="33"/>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U30" i="33"/>
  <c r="AP30" i="33" s="1"/>
  <c r="R30" i="33"/>
  <c r="AM30" i="33" s="1"/>
  <c r="P30" i="33"/>
  <c r="O30" i="33"/>
  <c r="AJ30" i="33" s="1"/>
  <c r="F30" i="33"/>
  <c r="AH29" i="33"/>
  <c r="AG29" i="33"/>
  <c r="AF29" i="33"/>
  <c r="AE29" i="33"/>
  <c r="AD29" i="33"/>
  <c r="AB29" i="33"/>
  <c r="AA29" i="33"/>
  <c r="Z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G9" i="33" s="1"/>
  <c r="AF20" i="33"/>
  <c r="AE20" i="33"/>
  <c r="AD20" i="33"/>
  <c r="AB20" i="33"/>
  <c r="AA20" i="33"/>
  <c r="Z20" i="33"/>
  <c r="G9" i="33" s="1"/>
  <c r="U20" i="33"/>
  <c r="AP20" i="33" s="1"/>
  <c r="R20" i="33"/>
  <c r="AM20" i="33" s="1"/>
  <c r="P20" i="33"/>
  <c r="O20" i="33"/>
  <c r="AJ20" i="33" s="1"/>
  <c r="F20" i="33"/>
  <c r="I9" i="33" s="1"/>
  <c r="AH19" i="33"/>
  <c r="AG19" i="33"/>
  <c r="AF19" i="33"/>
  <c r="AE19" i="33"/>
  <c r="AD19" i="33"/>
  <c r="AB19" i="33"/>
  <c r="AA19" i="33"/>
  <c r="Z19" i="33"/>
  <c r="U19" i="33"/>
  <c r="AP19" i="33" s="1"/>
  <c r="R19" i="33"/>
  <c r="AM19" i="33" s="1"/>
  <c r="Q19" i="33"/>
  <c r="AL19" i="33" s="1"/>
  <c r="P19" i="33"/>
  <c r="AK19" i="33" s="1"/>
  <c r="O19" i="33"/>
  <c r="AJ19" i="33" s="1"/>
  <c r="F19" i="33"/>
  <c r="AH18" i="33"/>
  <c r="AG18" i="33"/>
  <c r="AF18" i="33"/>
  <c r="AE18" i="33"/>
  <c r="AD18" i="33"/>
  <c r="AB18" i="33"/>
  <c r="AA18" i="33"/>
  <c r="Z18" i="33"/>
  <c r="U18" i="33"/>
  <c r="AP18" i="33" s="1"/>
  <c r="R18" i="33"/>
  <c r="AM18" i="33" s="1"/>
  <c r="P18" i="33"/>
  <c r="AK18" i="33" s="1"/>
  <c r="O18" i="33"/>
  <c r="AJ18" i="33" s="1"/>
  <c r="F18" i="33"/>
  <c r="AH17" i="33"/>
  <c r="AG17" i="33"/>
  <c r="AF17" i="33"/>
  <c r="AE17" i="33"/>
  <c r="AD17" i="33"/>
  <c r="AB17" i="33"/>
  <c r="AA17" i="33"/>
  <c r="Z17" i="33"/>
  <c r="U17" i="33"/>
  <c r="AP17" i="33" s="1"/>
  <c r="R17" i="33"/>
  <c r="AM17" i="33" s="1"/>
  <c r="P17" i="33"/>
  <c r="O17" i="33"/>
  <c r="AJ17" i="33" s="1"/>
  <c r="F17" i="33"/>
  <c r="AH16" i="33"/>
  <c r="AG16" i="33"/>
  <c r="AF16" i="33"/>
  <c r="AE16" i="33"/>
  <c r="AD16" i="33"/>
  <c r="AB16" i="33"/>
  <c r="AA16" i="33"/>
  <c r="Z16" i="33"/>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U14" i="33"/>
  <c r="R14" i="33"/>
  <c r="AM14" i="33" s="1"/>
  <c r="Q14" i="33"/>
  <c r="P14" i="33"/>
  <c r="AK14" i="33" s="1"/>
  <c r="O14" i="33"/>
  <c r="AJ14" i="33" s="1"/>
  <c r="F14" i="33"/>
  <c r="L13" i="33"/>
  <c r="O1" i="33" s="1"/>
  <c r="K13" i="33"/>
  <c r="J13" i="33"/>
  <c r="M1" i="33" s="1"/>
  <c r="I13" i="33"/>
  <c r="L1" i="33" s="1"/>
  <c r="H13" i="33"/>
  <c r="E13" i="33"/>
  <c r="J9" i="33"/>
  <c r="B9" i="33"/>
  <c r="O9" i="33" s="1"/>
  <c r="AF8" i="33"/>
  <c r="J8" i="33"/>
  <c r="B8" i="33"/>
  <c r="S8" i="33" s="1"/>
  <c r="AE7" i="33"/>
  <c r="J7" i="33"/>
  <c r="B7" i="33"/>
  <c r="N6" i="33"/>
  <c r="M6" i="33"/>
  <c r="K6" i="33"/>
  <c r="J6" i="33"/>
  <c r="I6" i="33"/>
  <c r="B6" i="33"/>
  <c r="V6" i="33" s="1"/>
  <c r="O5" i="33"/>
  <c r="M5" i="33"/>
  <c r="K5" i="33"/>
  <c r="J5" i="33"/>
  <c r="B5" i="33"/>
  <c r="J4" i="33"/>
  <c r="I4" i="33"/>
  <c r="B4" i="33"/>
  <c r="O4" i="33" s="1"/>
  <c r="J3" i="33"/>
  <c r="B3" i="33"/>
  <c r="J2" i="33"/>
  <c r="F2" i="33"/>
  <c r="B2" i="33"/>
  <c r="O2" i="33" s="1"/>
  <c r="N1" i="33"/>
  <c r="K1" i="33"/>
  <c r="I51" i="14"/>
  <c r="G51" i="14"/>
  <c r="AH92" i="32"/>
  <c r="AG92" i="32"/>
  <c r="AF92" i="32"/>
  <c r="AE92" i="32"/>
  <c r="AD92" i="32"/>
  <c r="AB92" i="32"/>
  <c r="AA92" i="32"/>
  <c r="Z92" i="32"/>
  <c r="U92" i="32"/>
  <c r="AP92" i="32" s="1"/>
  <c r="R92" i="32"/>
  <c r="AM92" i="32" s="1"/>
  <c r="P92" i="32"/>
  <c r="AK92" i="32" s="1"/>
  <c r="O92" i="32"/>
  <c r="AJ92" i="32" s="1"/>
  <c r="F92" i="32"/>
  <c r="AJ91" i="32"/>
  <c r="AH91" i="32"/>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F7" i="32" s="1"/>
  <c r="AE66" i="32"/>
  <c r="AD66" i="32"/>
  <c r="AB66" i="32"/>
  <c r="AB7" i="32" s="1"/>
  <c r="AA66" i="32"/>
  <c r="Z66" i="32"/>
  <c r="U66" i="32"/>
  <c r="AP66" i="32" s="1"/>
  <c r="R66" i="32"/>
  <c r="AM66" i="32" s="1"/>
  <c r="P66" i="32"/>
  <c r="AK66" i="32" s="1"/>
  <c r="O66" i="32"/>
  <c r="AJ66" i="32" s="1"/>
  <c r="F66" i="32"/>
  <c r="AH65" i="32"/>
  <c r="AH9" i="32" s="1"/>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A51" i="32"/>
  <c r="Z51" i="32"/>
  <c r="U51" i="32"/>
  <c r="AP51" i="32" s="1"/>
  <c r="R51" i="32"/>
  <c r="AM51" i="32" s="1"/>
  <c r="Q51" i="32"/>
  <c r="AL51" i="32" s="1"/>
  <c r="P51" i="32"/>
  <c r="AK51" i="32" s="1"/>
  <c r="O51" i="32"/>
  <c r="AJ51" i="32" s="1"/>
  <c r="F51" i="32"/>
  <c r="AH50" i="32"/>
  <c r="AG50" i="32"/>
  <c r="AF50" i="32"/>
  <c r="AE50" i="32"/>
  <c r="AD50" i="32"/>
  <c r="AB50" i="32"/>
  <c r="AB6" i="32" s="1"/>
  <c r="AA50" i="32"/>
  <c r="Z50" i="32"/>
  <c r="U50" i="32"/>
  <c r="AP50" i="32" s="1"/>
  <c r="R50" i="32"/>
  <c r="AM50" i="32" s="1"/>
  <c r="Q50" i="32"/>
  <c r="AL50" i="32" s="1"/>
  <c r="P50" i="32"/>
  <c r="AK50"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U46" i="32"/>
  <c r="T46" i="32"/>
  <c r="AO46" i="32" s="1"/>
  <c r="R46" i="32"/>
  <c r="AM46" i="32" s="1"/>
  <c r="Q46" i="32"/>
  <c r="AL46" i="32" s="1"/>
  <c r="P46" i="32"/>
  <c r="AK46" i="32" s="1"/>
  <c r="O46" i="32"/>
  <c r="AJ46" i="32" s="1"/>
  <c r="F46" i="32"/>
  <c r="AH45" i="32"/>
  <c r="AG45" i="32"/>
  <c r="AF45" i="32"/>
  <c r="AE45" i="32"/>
  <c r="AD45" i="32"/>
  <c r="AB45" i="32"/>
  <c r="AA45" i="32"/>
  <c r="Z45" i="32"/>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U41" i="32"/>
  <c r="AP41" i="32" s="1"/>
  <c r="R41" i="32"/>
  <c r="AM41" i="32" s="1"/>
  <c r="AM7"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G33" i="32"/>
  <c r="AF33" i="32"/>
  <c r="AF6" i="32" s="1"/>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U30" i="32"/>
  <c r="T30" i="32"/>
  <c r="AO30" i="32" s="1"/>
  <c r="R30" i="32"/>
  <c r="AM30" i="32" s="1"/>
  <c r="Q30" i="32"/>
  <c r="AL30" i="32" s="1"/>
  <c r="P30" i="32"/>
  <c r="AK30" i="32" s="1"/>
  <c r="O30" i="32"/>
  <c r="AJ30" i="32" s="1"/>
  <c r="F30" i="32"/>
  <c r="AH29" i="32"/>
  <c r="AG29" i="32"/>
  <c r="AF29" i="32"/>
  <c r="AE29" i="32"/>
  <c r="AD29" i="32"/>
  <c r="AB29" i="32"/>
  <c r="AA29" i="32"/>
  <c r="Z29" i="32"/>
  <c r="U29" i="32"/>
  <c r="AP29" i="32" s="1"/>
  <c r="T29" i="32"/>
  <c r="AO29" i="32" s="1"/>
  <c r="R29" i="32"/>
  <c r="AM29" i="32" s="1"/>
  <c r="Q29" i="32"/>
  <c r="AL29" i="32" s="1"/>
  <c r="P29" i="32"/>
  <c r="AK29" i="32" s="1"/>
  <c r="O29" i="32"/>
  <c r="AJ29" i="32" s="1"/>
  <c r="F29" i="32"/>
  <c r="AH28" i="32"/>
  <c r="AG28" i="32"/>
  <c r="AF28" i="32"/>
  <c r="AE28" i="32"/>
  <c r="AE8" i="32" s="1"/>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H3" i="32" s="1"/>
  <c r="AG23" i="32"/>
  <c r="AF23" i="32"/>
  <c r="AE23" i="32"/>
  <c r="AD23" i="32"/>
  <c r="AB23" i="32"/>
  <c r="AA23" i="32"/>
  <c r="Z23" i="32"/>
  <c r="Z3" i="32" s="1"/>
  <c r="U23" i="32"/>
  <c r="AP23" i="32" s="1"/>
  <c r="T23" i="32"/>
  <c r="AO23" i="32" s="1"/>
  <c r="R23" i="32"/>
  <c r="AM23" i="32" s="1"/>
  <c r="Q23" i="32"/>
  <c r="AL23" i="32" s="1"/>
  <c r="P23" i="32"/>
  <c r="AK23" i="32" s="1"/>
  <c r="O23" i="32"/>
  <c r="AJ23" i="32" s="1"/>
  <c r="F23" i="32"/>
  <c r="AH22" i="32"/>
  <c r="AG22" i="32"/>
  <c r="AF22" i="32"/>
  <c r="AE22" i="32"/>
  <c r="AD22" i="32"/>
  <c r="AB22" i="32"/>
  <c r="AA22" i="32"/>
  <c r="Z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D18" i="32"/>
  <c r="AB18" i="32"/>
  <c r="AA18" i="32"/>
  <c r="Z18" i="32"/>
  <c r="U18" i="32"/>
  <c r="AP18" i="32" s="1"/>
  <c r="R18" i="32"/>
  <c r="AM18" i="32" s="1"/>
  <c r="P18" i="32"/>
  <c r="AK18" i="32" s="1"/>
  <c r="O18" i="32"/>
  <c r="AJ18" i="32" s="1"/>
  <c r="F18" i="32"/>
  <c r="AH17" i="32"/>
  <c r="AG17" i="32"/>
  <c r="AF17" i="32"/>
  <c r="AE17" i="32"/>
  <c r="AD17" i="32"/>
  <c r="AB17" i="32"/>
  <c r="AA17" i="32"/>
  <c r="Z17" i="32"/>
  <c r="U17" i="32"/>
  <c r="AP17" i="32" s="1"/>
  <c r="R17" i="32"/>
  <c r="AM17" i="32" s="1"/>
  <c r="P17" i="32"/>
  <c r="AK17" i="32" s="1"/>
  <c r="O17" i="32"/>
  <c r="AJ17" i="32" s="1"/>
  <c r="F17" i="32"/>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U14" i="32"/>
  <c r="R14" i="32"/>
  <c r="AM14" i="32" s="1"/>
  <c r="P14" i="32"/>
  <c r="AK14" i="32" s="1"/>
  <c r="O14" i="32"/>
  <c r="AJ14" i="32" s="1"/>
  <c r="F14" i="32"/>
  <c r="L13" i="32"/>
  <c r="K13" i="32"/>
  <c r="J13" i="32"/>
  <c r="M1" i="32" s="1"/>
  <c r="I13" i="32"/>
  <c r="H13" i="32"/>
  <c r="E13" i="32"/>
  <c r="J9" i="32"/>
  <c r="B9" i="32"/>
  <c r="O9" i="32" s="1"/>
  <c r="O8" i="32"/>
  <c r="N8" i="32"/>
  <c r="J8" i="32"/>
  <c r="F8" i="32"/>
  <c r="B8" i="32"/>
  <c r="J7" i="32"/>
  <c r="G7" i="32"/>
  <c r="H7" i="32" s="1"/>
  <c r="B7" i="32"/>
  <c r="O7" i="32" s="1"/>
  <c r="AE6" i="32"/>
  <c r="Z6" i="32"/>
  <c r="J6" i="32"/>
  <c r="G6" i="32"/>
  <c r="H6" i="32" s="1"/>
  <c r="B6" i="32"/>
  <c r="M6" i="32" s="1"/>
  <c r="O5" i="32"/>
  <c r="J5" i="32"/>
  <c r="B5" i="32"/>
  <c r="M5" i="32" s="1"/>
  <c r="V4" i="32"/>
  <c r="N4" i="32"/>
  <c r="J4" i="32"/>
  <c r="F4" i="32"/>
  <c r="B4" i="32"/>
  <c r="O4" i="32" s="1"/>
  <c r="AD3" i="32"/>
  <c r="J3" i="32"/>
  <c r="F3" i="32"/>
  <c r="B3" i="32"/>
  <c r="O3" i="32" s="1"/>
  <c r="M2" i="32"/>
  <c r="J2" i="32"/>
  <c r="B2" i="32"/>
  <c r="K2" i="32" s="1"/>
  <c r="O1" i="32"/>
  <c r="N1" i="32"/>
  <c r="L1" i="32"/>
  <c r="K1" i="32"/>
  <c r="I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U54" i="31"/>
  <c r="AP54" i="31" s="1"/>
  <c r="R54" i="31"/>
  <c r="AM54" i="31" s="1"/>
  <c r="P54" i="31"/>
  <c r="AK54" i="31" s="1"/>
  <c r="O54" i="31"/>
  <c r="T54" i="31" s="1"/>
  <c r="AO54" i="31" s="1"/>
  <c r="F54" i="31"/>
  <c r="AH53" i="31"/>
  <c r="AG53" i="31"/>
  <c r="AF53" i="3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E6" i="31" s="1"/>
  <c r="AD50" i="31"/>
  <c r="AB50" i="31"/>
  <c r="AA50" i="31"/>
  <c r="Z50" i="3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F3" i="31" s="1"/>
  <c r="AE45" i="3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U30" i="31"/>
  <c r="AP30" i="31" s="1"/>
  <c r="R30" i="31"/>
  <c r="AM30" i="31" s="1"/>
  <c r="P30" i="31"/>
  <c r="AK30" i="31" s="1"/>
  <c r="O30" i="31"/>
  <c r="Q30" i="31" s="1"/>
  <c r="AL30" i="31" s="1"/>
  <c r="F30" i="31"/>
  <c r="AH29" i="31"/>
  <c r="AG29" i="31"/>
  <c r="AF29" i="31"/>
  <c r="AE29" i="31"/>
  <c r="AD29" i="31"/>
  <c r="AB29" i="31"/>
  <c r="AA29" i="31"/>
  <c r="Z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U19" i="31"/>
  <c r="AP19" i="31" s="1"/>
  <c r="R19" i="31"/>
  <c r="AM19" i="31" s="1"/>
  <c r="P19" i="31"/>
  <c r="AK19" i="31" s="1"/>
  <c r="O19" i="31"/>
  <c r="Q19" i="31" s="1"/>
  <c r="AL19" i="31" s="1"/>
  <c r="F19" i="31"/>
  <c r="AH18" i="31"/>
  <c r="AG18" i="31"/>
  <c r="AF18" i="31"/>
  <c r="AE18" i="31"/>
  <c r="AD18" i="31"/>
  <c r="AB18" i="31"/>
  <c r="AA18" i="31"/>
  <c r="Z18" i="31"/>
  <c r="U18" i="31"/>
  <c r="AP18" i="31" s="1"/>
  <c r="R18" i="31"/>
  <c r="AM18" i="31" s="1"/>
  <c r="P18" i="31"/>
  <c r="AK18" i="31" s="1"/>
  <c r="O18" i="31"/>
  <c r="Q18" i="31" s="1"/>
  <c r="AL18" i="31" s="1"/>
  <c r="F18" i="31"/>
  <c r="AH17" i="31"/>
  <c r="AG17" i="31"/>
  <c r="AF17" i="31"/>
  <c r="AE17" i="31"/>
  <c r="AD17" i="3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U14" i="31"/>
  <c r="AP14" i="31" s="1"/>
  <c r="R14" i="31"/>
  <c r="AM14" i="31" s="1"/>
  <c r="P14" i="31"/>
  <c r="O14" i="31"/>
  <c r="Q14" i="31" s="1"/>
  <c r="AL14" i="31" s="1"/>
  <c r="F14" i="31"/>
  <c r="L13" i="31"/>
  <c r="O1" i="31" s="1"/>
  <c r="K13" i="31"/>
  <c r="N1" i="31" s="1"/>
  <c r="J13" i="31"/>
  <c r="I13" i="31"/>
  <c r="H13" i="31"/>
  <c r="E13" i="31"/>
  <c r="O9" i="31"/>
  <c r="N9" i="31"/>
  <c r="J9" i="31"/>
  <c r="B9" i="31"/>
  <c r="F9" i="31" s="1"/>
  <c r="J8" i="31"/>
  <c r="B8" i="31"/>
  <c r="L8" i="31" s="1"/>
  <c r="N7" i="31"/>
  <c r="K7" i="31"/>
  <c r="J7" i="31"/>
  <c r="B7" i="31"/>
  <c r="F7" i="31" s="1"/>
  <c r="J6" i="31"/>
  <c r="B6" i="31"/>
  <c r="M6" i="31" s="1"/>
  <c r="V5" i="31"/>
  <c r="O5" i="31"/>
  <c r="N5" i="31"/>
  <c r="L5" i="31"/>
  <c r="J5" i="31"/>
  <c r="F5" i="31"/>
  <c r="B5" i="31"/>
  <c r="O4" i="31"/>
  <c r="N4" i="31"/>
  <c r="L4" i="31"/>
  <c r="J4" i="31"/>
  <c r="F4" i="31"/>
  <c r="B4" i="31"/>
  <c r="Q4" i="31" s="1"/>
  <c r="J3" i="31"/>
  <c r="B3" i="31"/>
  <c r="V3" i="31" s="1"/>
  <c r="AH2" i="31"/>
  <c r="J2" i="31"/>
  <c r="F2" i="31"/>
  <c r="B2" i="31"/>
  <c r="P2" i="31" s="1"/>
  <c r="M1" i="31"/>
  <c r="L1" i="31"/>
  <c r="K1" i="31"/>
  <c r="I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E74" i="30"/>
  <c r="AD74" i="30"/>
  <c r="AB74" i="30"/>
  <c r="AA74" i="30"/>
  <c r="Z74" i="30"/>
  <c r="U74" i="30"/>
  <c r="AP74" i="30" s="1"/>
  <c r="R74" i="30"/>
  <c r="AM74" i="30" s="1"/>
  <c r="P74" i="30"/>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G3" i="30" s="1"/>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AH42" i="30"/>
  <c r="AG42" i="30"/>
  <c r="AF42" i="30"/>
  <c r="AE42" i="30"/>
  <c r="AD42" i="30"/>
  <c r="AB42" i="30"/>
  <c r="AA42" i="30"/>
  <c r="Z42" i="30"/>
  <c r="U42" i="30"/>
  <c r="AP42" i="30" s="1"/>
  <c r="R42" i="30"/>
  <c r="P42" i="30"/>
  <c r="AK42" i="30" s="1"/>
  <c r="O42" i="30"/>
  <c r="Q42" i="30" s="1"/>
  <c r="AL42" i="30" s="1"/>
  <c r="F42" i="30"/>
  <c r="AH41" i="30"/>
  <c r="AG41" i="30"/>
  <c r="AG7" i="30" s="1"/>
  <c r="AF41" i="30"/>
  <c r="AE41" i="30"/>
  <c r="AD41" i="30"/>
  <c r="AB41" i="30"/>
  <c r="AA41" i="30"/>
  <c r="Z41" i="30"/>
  <c r="U41" i="30"/>
  <c r="AP41" i="30" s="1"/>
  <c r="R41" i="30"/>
  <c r="P41" i="30"/>
  <c r="AK41" i="30" s="1"/>
  <c r="O41" i="30"/>
  <c r="Q41" i="30" s="1"/>
  <c r="AL41" i="30" s="1"/>
  <c r="F41" i="30"/>
  <c r="AH40" i="30"/>
  <c r="AG40" i="30"/>
  <c r="AF40" i="30"/>
  <c r="AE40" i="30"/>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U30" i="30"/>
  <c r="AP30" i="30" s="1"/>
  <c r="R30" i="30"/>
  <c r="AM30" i="30" s="1"/>
  <c r="P30" i="30"/>
  <c r="O30" i="30"/>
  <c r="Q30" i="30" s="1"/>
  <c r="AL30" i="30" s="1"/>
  <c r="F30" i="30"/>
  <c r="AH29" i="30"/>
  <c r="AG29" i="30"/>
  <c r="AF29" i="30"/>
  <c r="AE29" i="30"/>
  <c r="AD29" i="30"/>
  <c r="AB29" i="30"/>
  <c r="AA29" i="30"/>
  <c r="Z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U20" i="30"/>
  <c r="AP20" i="30" s="1"/>
  <c r="T20" i="30"/>
  <c r="AO20" i="30" s="1"/>
  <c r="R20" i="30"/>
  <c r="AM20" i="30" s="1"/>
  <c r="P20" i="30"/>
  <c r="O20" i="30"/>
  <c r="Q20" i="30" s="1"/>
  <c r="AL20" i="30" s="1"/>
  <c r="F20" i="30"/>
  <c r="AH19" i="30"/>
  <c r="AG19" i="30"/>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B16" i="30"/>
  <c r="AA16" i="30"/>
  <c r="Z16" i="30"/>
  <c r="U16" i="30"/>
  <c r="AP16" i="30" s="1"/>
  <c r="R16" i="30"/>
  <c r="AM16" i="30" s="1"/>
  <c r="P16" i="30"/>
  <c r="O16" i="30"/>
  <c r="Q16" i="30" s="1"/>
  <c r="AL16" i="30" s="1"/>
  <c r="F16" i="30"/>
  <c r="AH15" i="30"/>
  <c r="AG15" i="30"/>
  <c r="AF15" i="30"/>
  <c r="AE15" i="30"/>
  <c r="AD15" i="30"/>
  <c r="AB15" i="30"/>
  <c r="AA15" i="30"/>
  <c r="Z15" i="30"/>
  <c r="U15" i="30"/>
  <c r="AP15" i="30" s="1"/>
  <c r="T15" i="30"/>
  <c r="AO15" i="30" s="1"/>
  <c r="R15" i="30"/>
  <c r="AM15" i="30" s="1"/>
  <c r="P15" i="30"/>
  <c r="AK15" i="30" s="1"/>
  <c r="O15" i="30"/>
  <c r="Q15" i="30" s="1"/>
  <c r="AL15" i="30" s="1"/>
  <c r="F15" i="30"/>
  <c r="AH14" i="30"/>
  <c r="AG14" i="30"/>
  <c r="AF14" i="30"/>
  <c r="AE14" i="30"/>
  <c r="AD14" i="30"/>
  <c r="AB14" i="30"/>
  <c r="AA14" i="30"/>
  <c r="Z14" i="30"/>
  <c r="U14" i="30"/>
  <c r="AP14" i="30" s="1"/>
  <c r="R14" i="30"/>
  <c r="AM14" i="30" s="1"/>
  <c r="P14" i="30"/>
  <c r="AK14" i="30" s="1"/>
  <c r="O14" i="30"/>
  <c r="Q14" i="30" s="1"/>
  <c r="AL14" i="30" s="1"/>
  <c r="F14" i="30"/>
  <c r="L13" i="30"/>
  <c r="O1" i="30" s="1"/>
  <c r="K13" i="30"/>
  <c r="J13" i="30"/>
  <c r="I13" i="30"/>
  <c r="H13" i="30"/>
  <c r="E13" i="30"/>
  <c r="J9" i="30"/>
  <c r="B9" i="30"/>
  <c r="S9" i="30" s="1"/>
  <c r="O8" i="30"/>
  <c r="M8" i="30"/>
  <c r="J8" i="30"/>
  <c r="B8" i="30"/>
  <c r="Z7" i="30"/>
  <c r="N7" i="30"/>
  <c r="M7" i="30"/>
  <c r="K7" i="30"/>
  <c r="J7" i="30"/>
  <c r="G7" i="30"/>
  <c r="H7" i="30" s="1"/>
  <c r="B7" i="30"/>
  <c r="P7" i="30" s="1"/>
  <c r="Z6" i="30"/>
  <c r="Q6" i="30"/>
  <c r="K6" i="30"/>
  <c r="J6" i="30"/>
  <c r="G6" i="30"/>
  <c r="B6" i="30"/>
  <c r="N5" i="30"/>
  <c r="K5" i="30"/>
  <c r="J5" i="30"/>
  <c r="F5" i="30"/>
  <c r="B5" i="30"/>
  <c r="O5" i="30" s="1"/>
  <c r="J4" i="30"/>
  <c r="B4" i="30"/>
  <c r="P4" i="30" s="1"/>
  <c r="J3" i="30"/>
  <c r="B3" i="30"/>
  <c r="O3" i="30" s="1"/>
  <c r="K2" i="30"/>
  <c r="J2" i="30"/>
  <c r="B2" i="30"/>
  <c r="I2" i="30" s="1"/>
  <c r="N1" i="30"/>
  <c r="M1" i="30"/>
  <c r="L1" i="30"/>
  <c r="K1" i="30"/>
  <c r="I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U31" i="29"/>
  <c r="AP31" i="29" s="1"/>
  <c r="R31" i="29"/>
  <c r="AM31" i="29" s="1"/>
  <c r="P31" i="29"/>
  <c r="AK31" i="29" s="1"/>
  <c r="O31" i="29"/>
  <c r="AJ31" i="29" s="1"/>
  <c r="F31" i="29"/>
  <c r="AH30" i="29"/>
  <c r="AG30" i="29"/>
  <c r="AF30" i="29"/>
  <c r="AE30" i="29"/>
  <c r="AD30" i="29"/>
  <c r="AB30" i="29"/>
  <c r="AA30" i="29"/>
  <c r="Z30" i="29"/>
  <c r="U30" i="29"/>
  <c r="AP30" i="29" s="1"/>
  <c r="R30" i="29"/>
  <c r="AM30" i="29" s="1"/>
  <c r="Q30" i="29"/>
  <c r="AL30" i="29" s="1"/>
  <c r="P30" i="29"/>
  <c r="AK30" i="29" s="1"/>
  <c r="O30" i="29"/>
  <c r="AJ30" i="29" s="1"/>
  <c r="F30" i="29"/>
  <c r="AH29" i="29"/>
  <c r="AG29" i="29"/>
  <c r="AF29" i="29"/>
  <c r="AE29" i="29"/>
  <c r="AD29" i="29"/>
  <c r="AB29" i="29"/>
  <c r="AA29" i="29"/>
  <c r="Z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U14" i="29"/>
  <c r="AP14" i="29" s="1"/>
  <c r="R14" i="29"/>
  <c r="AM14" i="29" s="1"/>
  <c r="P14" i="29"/>
  <c r="O14" i="29"/>
  <c r="AJ14" i="29" s="1"/>
  <c r="F14" i="29"/>
  <c r="L13" i="29"/>
  <c r="O1" i="29" s="1"/>
  <c r="K13" i="29"/>
  <c r="N1" i="29" s="1"/>
  <c r="J13" i="29"/>
  <c r="M1" i="29" s="1"/>
  <c r="I13" i="29"/>
  <c r="L1" i="29" s="1"/>
  <c r="H13" i="29"/>
  <c r="E13" i="29"/>
  <c r="N9" i="29"/>
  <c r="K9" i="29"/>
  <c r="J9" i="29"/>
  <c r="F9" i="29"/>
  <c r="B9" i="29"/>
  <c r="L9" i="29" s="1"/>
  <c r="J8" i="29"/>
  <c r="B8" i="29"/>
  <c r="N8" i="29" s="1"/>
  <c r="O7" i="29"/>
  <c r="N7" i="29"/>
  <c r="J7" i="29"/>
  <c r="F7" i="29"/>
  <c r="B7" i="29"/>
  <c r="K7" i="29" s="1"/>
  <c r="N6" i="29"/>
  <c r="K6" i="29"/>
  <c r="J6" i="29"/>
  <c r="G6" i="29"/>
  <c r="F6" i="29"/>
  <c r="B6" i="29"/>
  <c r="J5" i="29"/>
  <c r="B5" i="29"/>
  <c r="M5" i="29" s="1"/>
  <c r="O4" i="29"/>
  <c r="J4" i="29"/>
  <c r="B4" i="29"/>
  <c r="J3" i="29"/>
  <c r="B3" i="29"/>
  <c r="N2" i="29"/>
  <c r="K2" i="29"/>
  <c r="J2" i="29"/>
  <c r="F2" i="29"/>
  <c r="B2" i="29"/>
  <c r="M2" i="29" s="1"/>
  <c r="K1" i="29"/>
  <c r="I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H6" i="28" s="1"/>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Z7" i="28" s="1"/>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U30" i="28"/>
  <c r="AP30" i="28" s="1"/>
  <c r="R30" i="28"/>
  <c r="AM30" i="28" s="1"/>
  <c r="P30" i="28"/>
  <c r="O30" i="28"/>
  <c r="AJ30" i="28" s="1"/>
  <c r="F30" i="28"/>
  <c r="AH29" i="28"/>
  <c r="AG29" i="28"/>
  <c r="AF29" i="28"/>
  <c r="AE29" i="28"/>
  <c r="AD29" i="28"/>
  <c r="AB29" i="28"/>
  <c r="AA29" i="28"/>
  <c r="Z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U14" i="28"/>
  <c r="AP14" i="28" s="1"/>
  <c r="R14" i="28"/>
  <c r="P14" i="28"/>
  <c r="AK14" i="28" s="1"/>
  <c r="O14" i="28"/>
  <c r="AJ14" i="28" s="1"/>
  <c r="F14" i="28"/>
  <c r="L13" i="28"/>
  <c r="O1" i="28" s="1"/>
  <c r="K13" i="28"/>
  <c r="N1" i="28" s="1"/>
  <c r="J13" i="28"/>
  <c r="M1" i="28" s="1"/>
  <c r="I13" i="28"/>
  <c r="L1" i="28" s="1"/>
  <c r="H13" i="28"/>
  <c r="E13" i="28"/>
  <c r="J9" i="28"/>
  <c r="B9" i="28"/>
  <c r="O9" i="28" s="1"/>
  <c r="N8" i="28"/>
  <c r="J8" i="28"/>
  <c r="F8" i="28"/>
  <c r="B8" i="28"/>
  <c r="O8" i="28" s="1"/>
  <c r="P7" i="28"/>
  <c r="N7" i="28"/>
  <c r="J7" i="28"/>
  <c r="G7" i="28"/>
  <c r="H7" i="28" s="1"/>
  <c r="F7" i="28"/>
  <c r="B7" i="28"/>
  <c r="O7" i="28" s="1"/>
  <c r="J6" i="28"/>
  <c r="B6" i="28"/>
  <c r="J5" i="28"/>
  <c r="B5" i="28"/>
  <c r="O4" i="28"/>
  <c r="N4" i="28"/>
  <c r="J4" i="28"/>
  <c r="B4" i="28"/>
  <c r="F4" i="28" s="1"/>
  <c r="J3" i="28"/>
  <c r="F3" i="28"/>
  <c r="B3" i="28"/>
  <c r="O3" i="28" s="1"/>
  <c r="J2" i="28"/>
  <c r="B2" i="28"/>
  <c r="K1" i="28"/>
  <c r="I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G6" i="27" s="1"/>
  <c r="H6" i="27" s="1"/>
  <c r="U33" i="27"/>
  <c r="AP33"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U30" i="27"/>
  <c r="AP30" i="27" s="1"/>
  <c r="R30" i="27"/>
  <c r="AM30" i="27" s="1"/>
  <c r="P30" i="27"/>
  <c r="O30" i="27"/>
  <c r="Q30" i="27" s="1"/>
  <c r="AL30" i="27" s="1"/>
  <c r="F30" i="27"/>
  <c r="AH29" i="27"/>
  <c r="AG29" i="27"/>
  <c r="AF29" i="27"/>
  <c r="AE29" i="27"/>
  <c r="AD29" i="27"/>
  <c r="AB29" i="27"/>
  <c r="AA29" i="27"/>
  <c r="Z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U20" i="27"/>
  <c r="AP20" i="27" s="1"/>
  <c r="R20" i="27"/>
  <c r="AM20" i="27" s="1"/>
  <c r="P20" i="27"/>
  <c r="O20" i="27"/>
  <c r="T20" i="27" s="1"/>
  <c r="F20" i="27"/>
  <c r="AH19" i="27"/>
  <c r="AG19" i="27"/>
  <c r="AF19" i="27"/>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F17" i="27"/>
  <c r="AH16" i="27"/>
  <c r="AG16" i="27"/>
  <c r="AF16" i="27"/>
  <c r="AE16" i="27"/>
  <c r="AD16" i="27"/>
  <c r="AB16" i="27"/>
  <c r="AA16" i="27"/>
  <c r="Z16" i="27"/>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J7" i="27"/>
  <c r="B7" i="27"/>
  <c r="K7" i="27" s="1"/>
  <c r="Z6" i="27"/>
  <c r="N6" i="27"/>
  <c r="J6" i="27"/>
  <c r="B6" i="27"/>
  <c r="M6" i="27" s="1"/>
  <c r="N5" i="27"/>
  <c r="J5" i="27"/>
  <c r="F5" i="27"/>
  <c r="B5" i="27"/>
  <c r="O5" i="27" s="1"/>
  <c r="V4" i="27"/>
  <c r="N4" i="27"/>
  <c r="K4" i="27"/>
  <c r="J4" i="27"/>
  <c r="F4" i="27"/>
  <c r="B4" i="27"/>
  <c r="O4" i="27" s="1"/>
  <c r="K3" i="27"/>
  <c r="J3" i="27"/>
  <c r="B3" i="27"/>
  <c r="M2" i="27"/>
  <c r="J2" i="27"/>
  <c r="F2" i="27"/>
  <c r="B2" i="27"/>
  <c r="N2" i="27" s="1"/>
  <c r="K1" i="27"/>
  <c r="I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Z7" i="26" s="1"/>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F3" i="26" s="1"/>
  <c r="AE45" i="26"/>
  <c r="AD45" i="26"/>
  <c r="AB45" i="26"/>
  <c r="AA45" i="26"/>
  <c r="Z45" i="26"/>
  <c r="Z3" i="26" s="1"/>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F40" i="26"/>
  <c r="AE40" i="26"/>
  <c r="AD40" i="26"/>
  <c r="AB40" i="26"/>
  <c r="AA40" i="26"/>
  <c r="Z40" i="26"/>
  <c r="U40" i="26"/>
  <c r="AP40" i="26" s="1"/>
  <c r="R40" i="26"/>
  <c r="P40" i="26"/>
  <c r="AK40" i="26" s="1"/>
  <c r="O40" i="26"/>
  <c r="AJ40" i="26" s="1"/>
  <c r="F40" i="26"/>
  <c r="AH39" i="26"/>
  <c r="AG39" i="26"/>
  <c r="AF39" i="26"/>
  <c r="AE39" i="26"/>
  <c r="AD39" i="26"/>
  <c r="AB39" i="26"/>
  <c r="AA39" i="26"/>
  <c r="Z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E6" i="26" s="1"/>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U30" i="26"/>
  <c r="AP30" i="26" s="1"/>
  <c r="T30" i="26"/>
  <c r="AO30" i="26" s="1"/>
  <c r="R30" i="26"/>
  <c r="AM30" i="26" s="1"/>
  <c r="P30" i="26"/>
  <c r="AK30" i="26" s="1"/>
  <c r="O30" i="26"/>
  <c r="AJ30" i="26" s="1"/>
  <c r="F30" i="26"/>
  <c r="AH29" i="26"/>
  <c r="AG29" i="26"/>
  <c r="AF29" i="26"/>
  <c r="AE29" i="26"/>
  <c r="AD29" i="26"/>
  <c r="AB29" i="26"/>
  <c r="AA29" i="26"/>
  <c r="Z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G8" i="26" s="1"/>
  <c r="U27" i="26"/>
  <c r="AP27" i="26" s="1"/>
  <c r="T27" i="26"/>
  <c r="AO27" i="26" s="1"/>
  <c r="R27" i="26"/>
  <c r="AM27" i="26" s="1"/>
  <c r="P27" i="26"/>
  <c r="AK27" i="26" s="1"/>
  <c r="O27" i="26"/>
  <c r="AJ27" i="26" s="1"/>
  <c r="F27" i="26"/>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AH22" i="26"/>
  <c r="AG22" i="26"/>
  <c r="AF22" i="26"/>
  <c r="AE22" i="26"/>
  <c r="AD22" i="26"/>
  <c r="AB22" i="26"/>
  <c r="AA22" i="26"/>
  <c r="Z22" i="26"/>
  <c r="U22" i="26"/>
  <c r="AP22" i="26" s="1"/>
  <c r="T22" i="26"/>
  <c r="AO22" i="26" s="1"/>
  <c r="R22" i="26"/>
  <c r="AM22" i="26" s="1"/>
  <c r="P22" i="26"/>
  <c r="AK22" i="26" s="1"/>
  <c r="O22" i="26"/>
  <c r="AJ22" i="26" s="1"/>
  <c r="F22" i="26"/>
  <c r="AH21" i="26"/>
  <c r="AG21" i="26"/>
  <c r="AF21" i="26"/>
  <c r="AE21" i="26"/>
  <c r="AD21" i="26"/>
  <c r="AB21" i="26"/>
  <c r="AA21" i="26"/>
  <c r="Z21" i="26"/>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B17" i="26"/>
  <c r="AA17" i="26"/>
  <c r="Z17" i="26"/>
  <c r="G4" i="26" s="1"/>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B15" i="26"/>
  <c r="AA15" i="26"/>
  <c r="Z15" i="26"/>
  <c r="U15" i="26"/>
  <c r="AP15" i="26" s="1"/>
  <c r="R15" i="26"/>
  <c r="AM15" i="26" s="1"/>
  <c r="P15" i="26"/>
  <c r="AK15" i="26" s="1"/>
  <c r="O15" i="26"/>
  <c r="AJ15" i="26" s="1"/>
  <c r="F15" i="26"/>
  <c r="AH14" i="26"/>
  <c r="AG14" i="26"/>
  <c r="AF14" i="26"/>
  <c r="AE14" i="26"/>
  <c r="AD14" i="26"/>
  <c r="AB14" i="26"/>
  <c r="AA14" i="26"/>
  <c r="Z14" i="26"/>
  <c r="U14" i="26"/>
  <c r="AP14" i="26" s="1"/>
  <c r="R14" i="26"/>
  <c r="P14" i="26"/>
  <c r="AK14" i="26" s="1"/>
  <c r="O14" i="26"/>
  <c r="AJ14" i="26" s="1"/>
  <c r="F14" i="26"/>
  <c r="O13" i="26"/>
  <c r="P1" i="26" s="1"/>
  <c r="L13" i="26"/>
  <c r="K13" i="26"/>
  <c r="J13" i="26"/>
  <c r="I13" i="26"/>
  <c r="H13" i="26"/>
  <c r="E13" i="26"/>
  <c r="K1" i="26" s="1"/>
  <c r="Z9" i="26"/>
  <c r="J9" i="26"/>
  <c r="G9" i="26"/>
  <c r="H9" i="26" s="1"/>
  <c r="B9" i="26"/>
  <c r="F9" i="26" s="1"/>
  <c r="J8" i="26"/>
  <c r="B8" i="26"/>
  <c r="N8" i="26" s="1"/>
  <c r="K7" i="26"/>
  <c r="J7" i="26"/>
  <c r="B7" i="26"/>
  <c r="O7" i="26" s="1"/>
  <c r="AG6" i="26"/>
  <c r="AF6" i="26"/>
  <c r="Z6" i="26"/>
  <c r="J6" i="26"/>
  <c r="G6" i="26"/>
  <c r="B6" i="26"/>
  <c r="Q6" i="26" s="1"/>
  <c r="J5" i="26"/>
  <c r="B5" i="26"/>
  <c r="Z4" i="26"/>
  <c r="P4" i="26"/>
  <c r="N4" i="26"/>
  <c r="M4" i="26"/>
  <c r="K4" i="26"/>
  <c r="J4" i="26"/>
  <c r="F4" i="26"/>
  <c r="B4" i="26"/>
  <c r="O4" i="26" s="1"/>
  <c r="AE3" i="26"/>
  <c r="AB3" i="26"/>
  <c r="K3" i="26"/>
  <c r="J3" i="26"/>
  <c r="B3" i="26"/>
  <c r="O3" i="26" s="1"/>
  <c r="J2" i="26"/>
  <c r="B2" i="26"/>
  <c r="O1" i="26"/>
  <c r="N1" i="26"/>
  <c r="M1" i="26"/>
  <c r="L1" i="26"/>
  <c r="I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G6" i="25" s="1"/>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A41" i="25"/>
  <c r="Z41" i="25"/>
  <c r="Z7" i="25" s="1"/>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U30" i="25"/>
  <c r="AP30" i="25" s="1"/>
  <c r="R30" i="25"/>
  <c r="AM30" i="25" s="1"/>
  <c r="P30" i="25"/>
  <c r="AK30" i="25" s="1"/>
  <c r="O30" i="25"/>
  <c r="Q30" i="25" s="1"/>
  <c r="AL30" i="25" s="1"/>
  <c r="F30" i="25"/>
  <c r="AH29" i="25"/>
  <c r="AG29" i="25"/>
  <c r="AF29" i="25"/>
  <c r="AE29" i="25"/>
  <c r="AD29" i="25"/>
  <c r="AB29" i="25"/>
  <c r="AA29" i="25"/>
  <c r="Z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U27" i="25"/>
  <c r="AP27" i="25" s="1"/>
  <c r="R27" i="25"/>
  <c r="AM27" i="25" s="1"/>
  <c r="P27" i="25"/>
  <c r="AK27" i="25" s="1"/>
  <c r="O27" i="25"/>
  <c r="Q27" i="25" s="1"/>
  <c r="F27" i="25"/>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A23" i="25"/>
  <c r="Z23" i="25"/>
  <c r="U23" i="25"/>
  <c r="AP23" i="25" s="1"/>
  <c r="R23" i="25"/>
  <c r="AM23" i="25" s="1"/>
  <c r="P23" i="25"/>
  <c r="AK23" i="25" s="1"/>
  <c r="O23" i="25"/>
  <c r="Q23" i="25" s="1"/>
  <c r="AL23" i="25" s="1"/>
  <c r="F23" i="25"/>
  <c r="AH22" i="25"/>
  <c r="AG22" i="25"/>
  <c r="AF22" i="25"/>
  <c r="AE22" i="25"/>
  <c r="AD22" i="25"/>
  <c r="AB22" i="25"/>
  <c r="AA22" i="25"/>
  <c r="Z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AH16" i="25"/>
  <c r="AG16" i="25"/>
  <c r="AF16" i="25"/>
  <c r="AE16" i="25"/>
  <c r="AD16" i="25"/>
  <c r="AB16" i="25"/>
  <c r="AA16" i="25"/>
  <c r="Z16" i="25"/>
  <c r="U16" i="25"/>
  <c r="AP16" i="25" s="1"/>
  <c r="R16" i="25"/>
  <c r="AM16" i="25" s="1"/>
  <c r="P16" i="25"/>
  <c r="AK16" i="25" s="1"/>
  <c r="O16" i="25"/>
  <c r="Q16" i="25" s="1"/>
  <c r="AL16" i="25" s="1"/>
  <c r="F16" i="25"/>
  <c r="AH15" i="25"/>
  <c r="AG15" i="25"/>
  <c r="AF15" i="25"/>
  <c r="AE15" i="25"/>
  <c r="AD15" i="25"/>
  <c r="AB15" i="25"/>
  <c r="AA15" i="25"/>
  <c r="Z15" i="25"/>
  <c r="Z13" i="25" s="1"/>
  <c r="K58" i="14" s="1"/>
  <c r="U15" i="25"/>
  <c r="AP15" i="25" s="1"/>
  <c r="R15" i="25"/>
  <c r="AM15" i="25" s="1"/>
  <c r="P15" i="25"/>
  <c r="AK15" i="25" s="1"/>
  <c r="O15" i="25"/>
  <c r="Q15" i="25" s="1"/>
  <c r="AL15" i="25" s="1"/>
  <c r="F15" i="25"/>
  <c r="AH14" i="25"/>
  <c r="AG14" i="25"/>
  <c r="AF14" i="25"/>
  <c r="AE14" i="25"/>
  <c r="AD14" i="25"/>
  <c r="AB14" i="25"/>
  <c r="AA14" i="25"/>
  <c r="Z14" i="25"/>
  <c r="U14" i="25"/>
  <c r="AP14" i="25" s="1"/>
  <c r="R14" i="25"/>
  <c r="AM14" i="25" s="1"/>
  <c r="P14" i="25"/>
  <c r="O14" i="25"/>
  <c r="Q14" i="25" s="1"/>
  <c r="F14" i="25"/>
  <c r="L13" i="25"/>
  <c r="O1" i="25" s="1"/>
  <c r="K13" i="25"/>
  <c r="J13" i="25"/>
  <c r="I13" i="25"/>
  <c r="H13" i="25"/>
  <c r="E13" i="25"/>
  <c r="J9" i="25"/>
  <c r="B9" i="25"/>
  <c r="J8" i="25"/>
  <c r="B8" i="25"/>
  <c r="F8" i="25" s="1"/>
  <c r="P7" i="25"/>
  <c r="O7" i="25"/>
  <c r="J7" i="25"/>
  <c r="B7" i="25"/>
  <c r="V7" i="25" s="1"/>
  <c r="L6" i="25"/>
  <c r="J6" i="25"/>
  <c r="B6" i="25"/>
  <c r="J5" i="25"/>
  <c r="F5" i="25"/>
  <c r="B5" i="25"/>
  <c r="O5" i="25" s="1"/>
  <c r="J4" i="25"/>
  <c r="B4" i="25"/>
  <c r="Q4" i="25" s="1"/>
  <c r="S3" i="25"/>
  <c r="Q3" i="25"/>
  <c r="K3" i="25"/>
  <c r="J3" i="25"/>
  <c r="B3" i="25"/>
  <c r="O3" i="25" s="1"/>
  <c r="S2" i="25"/>
  <c r="N2" i="25"/>
  <c r="L2" i="25"/>
  <c r="K2" i="25"/>
  <c r="J2" i="25"/>
  <c r="F2" i="25"/>
  <c r="B2" i="25"/>
  <c r="N1" i="25"/>
  <c r="M1" i="25"/>
  <c r="L1" i="25"/>
  <c r="K1" i="25"/>
  <c r="I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D7" i="24" s="1"/>
  <c r="AB67" i="24"/>
  <c r="AA67" i="24"/>
  <c r="Z67" i="24"/>
  <c r="U67" i="24"/>
  <c r="AP67" i="24" s="1"/>
  <c r="T67" i="24"/>
  <c r="AO67" i="24" s="1"/>
  <c r="R67" i="24"/>
  <c r="AM67" i="24" s="1"/>
  <c r="P67" i="24"/>
  <c r="AK67" i="24" s="1"/>
  <c r="O67" i="24"/>
  <c r="AJ67" i="24" s="1"/>
  <c r="F67" i="24"/>
  <c r="AH66" i="24"/>
  <c r="AG66" i="24"/>
  <c r="AG7" i="24" s="1"/>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U53" i="24"/>
  <c r="AP53" i="24" s="1"/>
  <c r="T53" i="24"/>
  <c r="R53" i="24"/>
  <c r="AM53" i="24" s="1"/>
  <c r="AM6"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U39" i="24"/>
  <c r="AP39" i="24" s="1"/>
  <c r="T39" i="24"/>
  <c r="AO39" i="24" s="1"/>
  <c r="R39" i="24"/>
  <c r="AM39" i="24" s="1"/>
  <c r="P39" i="24"/>
  <c r="AK39" i="24" s="1"/>
  <c r="O39" i="24"/>
  <c r="AJ39" i="24" s="1"/>
  <c r="F39" i="24"/>
  <c r="AH38" i="24"/>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U36" i="24"/>
  <c r="AP36" i="24" s="1"/>
  <c r="T36" i="24"/>
  <c r="R36" i="24"/>
  <c r="AM36" i="24" s="1"/>
  <c r="Q36" i="24"/>
  <c r="AL36" i="24" s="1"/>
  <c r="P36" i="24"/>
  <c r="AK36" i="24" s="1"/>
  <c r="O36" i="24"/>
  <c r="AJ36" i="24" s="1"/>
  <c r="F36" i="24"/>
  <c r="AH35" i="24"/>
  <c r="AG35" i="24"/>
  <c r="AF35" i="24"/>
  <c r="AE35" i="24"/>
  <c r="AD35" i="24"/>
  <c r="AB35" i="24"/>
  <c r="AA35" i="24"/>
  <c r="Z35" i="24"/>
  <c r="G5" i="24" s="1"/>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U30" i="24"/>
  <c r="AP30" i="24" s="1"/>
  <c r="T30" i="24"/>
  <c r="AO30" i="24" s="1"/>
  <c r="R30" i="24"/>
  <c r="AM30" i="24" s="1"/>
  <c r="Q30" i="24"/>
  <c r="AL30" i="24" s="1"/>
  <c r="P30" i="24"/>
  <c r="AK30" i="24" s="1"/>
  <c r="O30" i="24"/>
  <c r="AJ30" i="24" s="1"/>
  <c r="F30" i="24"/>
  <c r="AH29" i="24"/>
  <c r="AG29" i="24"/>
  <c r="AF29" i="24"/>
  <c r="AE29" i="24"/>
  <c r="AD29" i="24"/>
  <c r="AB29" i="24"/>
  <c r="AA29" i="24"/>
  <c r="Z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F8" i="24" s="1"/>
  <c r="AE27" i="24"/>
  <c r="AD27" i="24"/>
  <c r="AB27" i="24"/>
  <c r="AA27" i="24"/>
  <c r="Z27" i="24"/>
  <c r="Z8" i="24" s="1"/>
  <c r="U27" i="24"/>
  <c r="AP27" i="24" s="1"/>
  <c r="T27" i="24"/>
  <c r="AO27" i="24" s="1"/>
  <c r="R27" i="24"/>
  <c r="AM27" i="24" s="1"/>
  <c r="Q27" i="24"/>
  <c r="AL27" i="24" s="1"/>
  <c r="P27" i="24"/>
  <c r="AK27" i="24" s="1"/>
  <c r="O27" i="24"/>
  <c r="AJ27"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D23" i="24"/>
  <c r="AB23" i="24"/>
  <c r="AA23" i="24"/>
  <c r="Z23" i="24"/>
  <c r="U23" i="24"/>
  <c r="AP23" i="24" s="1"/>
  <c r="T23" i="24"/>
  <c r="R23" i="24"/>
  <c r="AM23" i="24" s="1"/>
  <c r="Q23" i="24"/>
  <c r="P23" i="24"/>
  <c r="AK23" i="24" s="1"/>
  <c r="O23" i="24"/>
  <c r="AJ23" i="24" s="1"/>
  <c r="AJ3" i="24" s="1"/>
  <c r="F23" i="24"/>
  <c r="AH22" i="24"/>
  <c r="AG22" i="24"/>
  <c r="AF22" i="24"/>
  <c r="AE22" i="24"/>
  <c r="AD22" i="24"/>
  <c r="AB22" i="24"/>
  <c r="AA22" i="24"/>
  <c r="Z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G20" i="24"/>
  <c r="AF20" i="24"/>
  <c r="AE20" i="24"/>
  <c r="AD20" i="24"/>
  <c r="AB20" i="24"/>
  <c r="AA20" i="24"/>
  <c r="Z20" i="24"/>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AH17" i="24"/>
  <c r="AG17" i="24"/>
  <c r="AF17" i="24"/>
  <c r="AE17" i="24"/>
  <c r="AD17" i="24"/>
  <c r="AB17" i="24"/>
  <c r="AA17" i="24"/>
  <c r="Z17" i="24"/>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R15" i="24"/>
  <c r="AM15" i="24" s="1"/>
  <c r="P15" i="24"/>
  <c r="AK15" i="24" s="1"/>
  <c r="O15" i="24"/>
  <c r="AJ15" i="24" s="1"/>
  <c r="F15" i="24"/>
  <c r="AH14" i="24"/>
  <c r="AG14" i="24"/>
  <c r="AF14" i="24"/>
  <c r="AE14" i="24"/>
  <c r="AD14" i="24"/>
  <c r="AB14" i="24"/>
  <c r="AA14" i="24"/>
  <c r="Z14" i="24"/>
  <c r="U14" i="24"/>
  <c r="AP14" i="24" s="1"/>
  <c r="R14" i="24"/>
  <c r="AM14" i="24" s="1"/>
  <c r="P14" i="24"/>
  <c r="AK14" i="24" s="1"/>
  <c r="O14" i="24"/>
  <c r="AJ14" i="24" s="1"/>
  <c r="F14" i="24"/>
  <c r="L13" i="24"/>
  <c r="O1" i="24" s="1"/>
  <c r="K13" i="24"/>
  <c r="N1" i="24" s="1"/>
  <c r="J13" i="24"/>
  <c r="M1" i="24" s="1"/>
  <c r="I13" i="24"/>
  <c r="H13" i="24"/>
  <c r="E13" i="24"/>
  <c r="K1" i="24" s="1"/>
  <c r="J9" i="24"/>
  <c r="B9" i="24"/>
  <c r="J8" i="24"/>
  <c r="B8" i="24"/>
  <c r="V7" i="24"/>
  <c r="J7" i="24"/>
  <c r="B7" i="24"/>
  <c r="N7" i="24" s="1"/>
  <c r="AD6" i="24"/>
  <c r="S6" i="24"/>
  <c r="P6" i="24"/>
  <c r="J6" i="24"/>
  <c r="F6" i="24"/>
  <c r="B6" i="24"/>
  <c r="Q6" i="24" s="1"/>
  <c r="J5" i="24"/>
  <c r="B5" i="24"/>
  <c r="J4" i="24"/>
  <c r="B4" i="24"/>
  <c r="Z3" i="24"/>
  <c r="N3" i="24"/>
  <c r="J3" i="24"/>
  <c r="F3" i="24"/>
  <c r="B3" i="24"/>
  <c r="P3" i="24" s="1"/>
  <c r="AH2" i="24"/>
  <c r="K2" i="24"/>
  <c r="J2" i="24"/>
  <c r="F2" i="24"/>
  <c r="B2" i="24"/>
  <c r="O2" i="24" s="1"/>
  <c r="L1" i="24"/>
  <c r="I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I3" i="23" s="1"/>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G6" i="23" s="1"/>
  <c r="AF53" i="23"/>
  <c r="AE53" i="23"/>
  <c r="AD53" i="23"/>
  <c r="AB53" i="23"/>
  <c r="AA53" i="23"/>
  <c r="Z53" i="23"/>
  <c r="U53" i="23"/>
  <c r="AP53" i="23" s="1"/>
  <c r="T53" i="23"/>
  <c r="AO53" i="23" s="1"/>
  <c r="R53" i="23"/>
  <c r="AM53" i="23" s="1"/>
  <c r="Q53" i="23"/>
  <c r="AL53" i="23" s="1"/>
  <c r="P53" i="23"/>
  <c r="AK53" i="23" s="1"/>
  <c r="O53" i="23"/>
  <c r="AJ53" i="23" s="1"/>
  <c r="F53" i="23"/>
  <c r="I6" i="23" s="1"/>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F3" i="23" s="1"/>
  <c r="AE45" i="23"/>
  <c r="AD45" i="23"/>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G7" i="23" s="1"/>
  <c r="AF43" i="23"/>
  <c r="AE43" i="23"/>
  <c r="AD43" i="23"/>
  <c r="AD7" i="23" s="1"/>
  <c r="AB43" i="23"/>
  <c r="AA43" i="23"/>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E41" i="23"/>
  <c r="AD41" i="23"/>
  <c r="AB41" i="23"/>
  <c r="AA41" i="23"/>
  <c r="Z41" i="23"/>
  <c r="U41" i="23"/>
  <c r="AP41" i="23" s="1"/>
  <c r="T41" i="23"/>
  <c r="AO41" i="23" s="1"/>
  <c r="R41" i="23"/>
  <c r="AM41" i="23" s="1"/>
  <c r="P41" i="23"/>
  <c r="AK41"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AH26" i="23"/>
  <c r="AG26" i="23"/>
  <c r="AF26" i="23"/>
  <c r="AE26" i="23"/>
  <c r="AD26" i="23"/>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I2" i="23" s="1"/>
  <c r="AH24" i="23"/>
  <c r="AG24" i="23"/>
  <c r="AF24" i="23"/>
  <c r="AE24" i="23"/>
  <c r="AD24" i="23"/>
  <c r="AB24" i="23"/>
  <c r="AA24" i="23"/>
  <c r="Z24" i="23"/>
  <c r="G9" i="23" s="1"/>
  <c r="U24" i="23"/>
  <c r="AP24" i="23" s="1"/>
  <c r="R24" i="23"/>
  <c r="AM24" i="23" s="1"/>
  <c r="Q24" i="23"/>
  <c r="AL24" i="23" s="1"/>
  <c r="P24" i="23"/>
  <c r="O24" i="23"/>
  <c r="AJ24" i="23" s="1"/>
  <c r="F24" i="23"/>
  <c r="AH23" i="23"/>
  <c r="AG23" i="23"/>
  <c r="AF23" i="23"/>
  <c r="AE23" i="23"/>
  <c r="AD23" i="23"/>
  <c r="AB23" i="23"/>
  <c r="AA23" i="23"/>
  <c r="Z23" i="23"/>
  <c r="U23" i="23"/>
  <c r="AP23" i="23" s="1"/>
  <c r="R23" i="23"/>
  <c r="AM23" i="23" s="1"/>
  <c r="Q23" i="23"/>
  <c r="AL23" i="23" s="1"/>
  <c r="P23" i="23"/>
  <c r="AK23" i="23" s="1"/>
  <c r="O23" i="23"/>
  <c r="AJ23" i="23" s="1"/>
  <c r="F23" i="23"/>
  <c r="AL22" i="23"/>
  <c r="AH22" i="23"/>
  <c r="AG22" i="23"/>
  <c r="AF22" i="23"/>
  <c r="AE22" i="23"/>
  <c r="AD22" i="23"/>
  <c r="AB22" i="23"/>
  <c r="AA22" i="23"/>
  <c r="Z22" i="23"/>
  <c r="U22" i="23"/>
  <c r="AP22" i="23" s="1"/>
  <c r="T22" i="23"/>
  <c r="AO22" i="23" s="1"/>
  <c r="R22" i="23"/>
  <c r="AM22" i="23" s="1"/>
  <c r="Q22" i="23"/>
  <c r="P22" i="23"/>
  <c r="AK22" i="23" s="1"/>
  <c r="O22" i="23"/>
  <c r="AJ22" i="23" s="1"/>
  <c r="F22" i="23"/>
  <c r="AH21" i="23"/>
  <c r="AG21" i="23"/>
  <c r="AF21" i="23"/>
  <c r="AE21" i="23"/>
  <c r="AD21" i="23"/>
  <c r="AB21" i="23"/>
  <c r="AA21" i="23"/>
  <c r="Z21" i="23"/>
  <c r="U21" i="23"/>
  <c r="AP21" i="23" s="1"/>
  <c r="R21" i="23"/>
  <c r="AM21" i="23" s="1"/>
  <c r="P21" i="23"/>
  <c r="AK21" i="23" s="1"/>
  <c r="O21" i="23"/>
  <c r="AJ21" i="23" s="1"/>
  <c r="F21" i="23"/>
  <c r="AH20" i="23"/>
  <c r="AG20" i="23"/>
  <c r="AF20" i="23"/>
  <c r="AE20" i="23"/>
  <c r="AD20" i="23"/>
  <c r="AB20" i="23"/>
  <c r="AA20" i="23"/>
  <c r="Z20" i="23"/>
  <c r="U20" i="23"/>
  <c r="AP20" i="23" s="1"/>
  <c r="T20" i="23"/>
  <c r="AO20" i="23" s="1"/>
  <c r="R20" i="23"/>
  <c r="AM20" i="23" s="1"/>
  <c r="Q20" i="23"/>
  <c r="AL20" i="23" s="1"/>
  <c r="P20" i="23"/>
  <c r="AK20" i="23" s="1"/>
  <c r="O20" i="23"/>
  <c r="AJ20" i="23" s="1"/>
  <c r="F20" i="23"/>
  <c r="AH19" i="23"/>
  <c r="AG19" i="23"/>
  <c r="AF19" i="23"/>
  <c r="AE19" i="23"/>
  <c r="AD19" i="23"/>
  <c r="AB19" i="23"/>
  <c r="AA19" i="23"/>
  <c r="Z19" i="23"/>
  <c r="G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U16" i="23"/>
  <c r="R16" i="23"/>
  <c r="AM16" i="23" s="1"/>
  <c r="P16" i="23"/>
  <c r="AK16" i="23" s="1"/>
  <c r="O16" i="23"/>
  <c r="AJ16" i="23" s="1"/>
  <c r="F16" i="23"/>
  <c r="AM15" i="23"/>
  <c r="AH15" i="23"/>
  <c r="AG15" i="23"/>
  <c r="AF15" i="23"/>
  <c r="AE15" i="23"/>
  <c r="AD15" i="23"/>
  <c r="AB15" i="23"/>
  <c r="AA15" i="23"/>
  <c r="Z15" i="23"/>
  <c r="U15" i="23"/>
  <c r="R15" i="23"/>
  <c r="Q15" i="23"/>
  <c r="AL15" i="23" s="1"/>
  <c r="P15" i="23"/>
  <c r="AK15" i="23" s="1"/>
  <c r="O15" i="23"/>
  <c r="AJ15" i="23" s="1"/>
  <c r="F15" i="23"/>
  <c r="AH14" i="23"/>
  <c r="AG14" i="23"/>
  <c r="AF14" i="23"/>
  <c r="AE14" i="23"/>
  <c r="AD14" i="23"/>
  <c r="AB14" i="23"/>
  <c r="AA14" i="23"/>
  <c r="Z14" i="23"/>
  <c r="U14" i="23"/>
  <c r="AP14" i="23" s="1"/>
  <c r="T14" i="23"/>
  <c r="AO14" i="23" s="1"/>
  <c r="R14" i="23"/>
  <c r="P14" i="23"/>
  <c r="AK14" i="23" s="1"/>
  <c r="O14" i="23"/>
  <c r="AJ14" i="23" s="1"/>
  <c r="F14" i="23"/>
  <c r="L13" i="23"/>
  <c r="O1" i="23" s="1"/>
  <c r="K13" i="23"/>
  <c r="N1" i="23" s="1"/>
  <c r="J13" i="23"/>
  <c r="M1" i="23" s="1"/>
  <c r="I13" i="23"/>
  <c r="H13" i="23"/>
  <c r="E13" i="23"/>
  <c r="J9" i="23"/>
  <c r="B9" i="23"/>
  <c r="J8" i="23"/>
  <c r="B8" i="23"/>
  <c r="F8" i="23" s="1"/>
  <c r="J7" i="23"/>
  <c r="F7" i="23"/>
  <c r="B7" i="23"/>
  <c r="S7" i="23" s="1"/>
  <c r="Z6" i="23"/>
  <c r="J6" i="23"/>
  <c r="G6" i="23"/>
  <c r="B6" i="23"/>
  <c r="O6" i="23" s="1"/>
  <c r="K5" i="23"/>
  <c r="J5" i="23"/>
  <c r="B5" i="23"/>
  <c r="J4" i="23"/>
  <c r="B4" i="23"/>
  <c r="F4" i="23" s="1"/>
  <c r="AH3" i="23"/>
  <c r="J3" i="23"/>
  <c r="B3" i="23"/>
  <c r="F3" i="23" s="1"/>
  <c r="M2" i="23"/>
  <c r="K2" i="23"/>
  <c r="J2" i="23"/>
  <c r="B2" i="23"/>
  <c r="O2" i="23" s="1"/>
  <c r="L1" i="23"/>
  <c r="K1" i="23"/>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AA6" i="22" s="1"/>
  <c r="Z33" i="22"/>
  <c r="U33" i="22"/>
  <c r="AP33" i="22" s="1"/>
  <c r="R33" i="22"/>
  <c r="AM33" i="22" s="1"/>
  <c r="P33" i="22"/>
  <c r="O33" i="22"/>
  <c r="AJ33" i="22" s="1"/>
  <c r="F33" i="22"/>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U30" i="22"/>
  <c r="AP30" i="22" s="1"/>
  <c r="R30" i="22"/>
  <c r="AM30" i="22" s="1"/>
  <c r="P30" i="22"/>
  <c r="O30" i="22"/>
  <c r="F30" i="22"/>
  <c r="AJ29" i="22"/>
  <c r="AH29" i="22"/>
  <c r="AG29" i="22"/>
  <c r="AF29" i="22"/>
  <c r="AE29" i="22"/>
  <c r="AD29" i="22"/>
  <c r="AB29" i="22"/>
  <c r="AA29" i="22"/>
  <c r="Z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E20" i="22"/>
  <c r="AD20" i="22"/>
  <c r="AB20" i="22"/>
  <c r="AA20" i="22"/>
  <c r="Z20" i="22"/>
  <c r="U20" i="22"/>
  <c r="AP20" i="22" s="1"/>
  <c r="R20" i="22"/>
  <c r="AM20"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U14" i="22"/>
  <c r="AP14" i="22" s="1"/>
  <c r="R14" i="22"/>
  <c r="AM14" i="22" s="1"/>
  <c r="P14" i="22"/>
  <c r="AK14" i="22" s="1"/>
  <c r="O14" i="22"/>
  <c r="AJ14" i="22" s="1"/>
  <c r="F14" i="22"/>
  <c r="L13" i="22"/>
  <c r="O1" i="22" s="1"/>
  <c r="K13" i="22"/>
  <c r="J13" i="22"/>
  <c r="I13" i="22"/>
  <c r="L1" i="22" s="1"/>
  <c r="H13" i="22"/>
  <c r="E13" i="22"/>
  <c r="K1" i="22" s="1"/>
  <c r="J9" i="22"/>
  <c r="B9" i="22"/>
  <c r="M9" i="22" s="1"/>
  <c r="O8" i="22"/>
  <c r="M8" i="22"/>
  <c r="J8" i="22"/>
  <c r="B8" i="22"/>
  <c r="J7" i="22"/>
  <c r="B7" i="22"/>
  <c r="O7" i="22" s="1"/>
  <c r="S6" i="22"/>
  <c r="K6" i="22"/>
  <c r="J6" i="22"/>
  <c r="B6" i="22"/>
  <c r="J5" i="22"/>
  <c r="B5" i="22"/>
  <c r="F5" i="22" s="1"/>
  <c r="O4" i="22"/>
  <c r="M4" i="22"/>
  <c r="J4" i="22"/>
  <c r="B4" i="22"/>
  <c r="J3" i="22"/>
  <c r="B3" i="22"/>
  <c r="O3" i="22" s="1"/>
  <c r="Q2" i="22"/>
  <c r="K2" i="22"/>
  <c r="J2" i="22"/>
  <c r="B2" i="22"/>
  <c r="P2" i="22" s="1"/>
  <c r="N1" i="22"/>
  <c r="M1" i="22"/>
  <c r="S8" i="42" l="1"/>
  <c r="K5" i="22"/>
  <c r="K9" i="22"/>
  <c r="K3" i="23"/>
  <c r="M4" i="23"/>
  <c r="K6" i="23"/>
  <c r="M8" i="23"/>
  <c r="M2" i="24"/>
  <c r="I2" i="24"/>
  <c r="F4" i="25"/>
  <c r="M8" i="25"/>
  <c r="M3" i="26"/>
  <c r="H6" i="26"/>
  <c r="M7" i="26"/>
  <c r="H4" i="26"/>
  <c r="H8" i="26"/>
  <c r="M4" i="27"/>
  <c r="K3" i="28"/>
  <c r="K7" i="28"/>
  <c r="F8" i="29"/>
  <c r="F3" i="30"/>
  <c r="M5" i="30"/>
  <c r="O7" i="30"/>
  <c r="K7" i="32"/>
  <c r="I3" i="32"/>
  <c r="K2" i="33"/>
  <c r="O6" i="33"/>
  <c r="K8" i="33"/>
  <c r="I2" i="33"/>
  <c r="K5" i="34"/>
  <c r="K8" i="34"/>
  <c r="Q6" i="34"/>
  <c r="I9" i="34"/>
  <c r="O3" i="35"/>
  <c r="K4" i="35"/>
  <c r="F6" i="35"/>
  <c r="V6" i="35"/>
  <c r="F7" i="36"/>
  <c r="O8" i="36"/>
  <c r="I4" i="37"/>
  <c r="O5" i="37"/>
  <c r="K7" i="38"/>
  <c r="O8" i="38"/>
  <c r="O9" i="38"/>
  <c r="H2" i="39"/>
  <c r="I2" i="39"/>
  <c r="F9" i="41"/>
  <c r="F3" i="42"/>
  <c r="K4" i="42"/>
  <c r="H6" i="42"/>
  <c r="M5" i="22"/>
  <c r="N3" i="23"/>
  <c r="N4" i="23"/>
  <c r="M6" i="23"/>
  <c r="K7" i="23"/>
  <c r="N8" i="23"/>
  <c r="N2" i="24"/>
  <c r="K6" i="24"/>
  <c r="V2" i="24"/>
  <c r="K5" i="25"/>
  <c r="N8" i="25"/>
  <c r="N9" i="26"/>
  <c r="N3" i="28"/>
  <c r="I3" i="30"/>
  <c r="M4" i="30"/>
  <c r="V7" i="30"/>
  <c r="K9" i="30"/>
  <c r="K2" i="31"/>
  <c r="O3" i="31"/>
  <c r="L6" i="31"/>
  <c r="K3" i="32"/>
  <c r="K6" i="32"/>
  <c r="S7" i="32"/>
  <c r="M9" i="32"/>
  <c r="M2" i="33"/>
  <c r="K4" i="33"/>
  <c r="P6" i="33"/>
  <c r="M5" i="34"/>
  <c r="N6" i="34"/>
  <c r="K2" i="35"/>
  <c r="M4" i="35"/>
  <c r="H6" i="35"/>
  <c r="I7" i="36"/>
  <c r="P5" i="37"/>
  <c r="M7" i="38"/>
  <c r="P8" i="38"/>
  <c r="K5" i="39"/>
  <c r="B10" i="42"/>
  <c r="M4" i="42"/>
  <c r="M7" i="42"/>
  <c r="K8" i="42"/>
  <c r="O6" i="35"/>
  <c r="N5" i="22"/>
  <c r="I6" i="22"/>
  <c r="O3" i="23"/>
  <c r="P6" i="23"/>
  <c r="N7" i="23"/>
  <c r="Q8" i="23"/>
  <c r="M6" i="24"/>
  <c r="F7" i="24"/>
  <c r="M4" i="25"/>
  <c r="L5" i="25"/>
  <c r="K7" i="25"/>
  <c r="F8" i="26"/>
  <c r="F6" i="27"/>
  <c r="F9" i="28"/>
  <c r="I7" i="29"/>
  <c r="M8" i="29"/>
  <c r="O4" i="30"/>
  <c r="F7" i="30"/>
  <c r="M9" i="30"/>
  <c r="I7" i="30"/>
  <c r="H3" i="30"/>
  <c r="Q7" i="30"/>
  <c r="M2" i="31"/>
  <c r="N3" i="32"/>
  <c r="N2" i="33"/>
  <c r="M4" i="33"/>
  <c r="F6" i="33"/>
  <c r="H9" i="33"/>
  <c r="K4" i="34"/>
  <c r="N5" i="34"/>
  <c r="V6" i="34"/>
  <c r="M2" i="35"/>
  <c r="N4" i="35"/>
  <c r="I6" i="35"/>
  <c r="Q3" i="36"/>
  <c r="F2" i="37"/>
  <c r="O3" i="38"/>
  <c r="F5" i="38"/>
  <c r="N7" i="38"/>
  <c r="F2" i="39"/>
  <c r="K9" i="41"/>
  <c r="M3" i="42"/>
  <c r="K6" i="42"/>
  <c r="N7" i="42"/>
  <c r="M8" i="42"/>
  <c r="P3" i="23"/>
  <c r="Q6" i="23"/>
  <c r="O7" i="23"/>
  <c r="N6" i="24"/>
  <c r="N4" i="25"/>
  <c r="N5" i="25"/>
  <c r="B10" i="28"/>
  <c r="K3" i="30"/>
  <c r="N2" i="31"/>
  <c r="O5" i="34"/>
  <c r="N2" i="35"/>
  <c r="O4" i="35"/>
  <c r="N7" i="36"/>
  <c r="O7" i="41"/>
  <c r="M9" i="41"/>
  <c r="V5" i="41"/>
  <c r="N3" i="42"/>
  <c r="O6" i="42"/>
  <c r="O7" i="42"/>
  <c r="S6" i="23"/>
  <c r="H4" i="23"/>
  <c r="H9" i="23"/>
  <c r="B10" i="24"/>
  <c r="O6" i="24"/>
  <c r="O4" i="25"/>
  <c r="I6" i="25"/>
  <c r="B10" i="27"/>
  <c r="P4" i="27"/>
  <c r="N9" i="28"/>
  <c r="M3" i="30"/>
  <c r="I6" i="30"/>
  <c r="O2" i="31"/>
  <c r="H6" i="34"/>
  <c r="O2" i="35"/>
  <c r="K6" i="35"/>
  <c r="H7" i="35"/>
  <c r="K2" i="39"/>
  <c r="H8" i="39"/>
  <c r="H7" i="39"/>
  <c r="P7" i="41"/>
  <c r="O2" i="42"/>
  <c r="S6" i="42"/>
  <c r="P7" i="42"/>
  <c r="I3" i="26"/>
  <c r="N3" i="30"/>
  <c r="B10" i="33"/>
  <c r="M6" i="35"/>
  <c r="H8" i="37"/>
  <c r="K6" i="39"/>
  <c r="Q7" i="41"/>
  <c r="Q3" i="41"/>
  <c r="H6" i="23"/>
  <c r="B10" i="35"/>
  <c r="I3" i="42"/>
  <c r="I7" i="42"/>
  <c r="I9" i="42"/>
  <c r="AF8" i="31"/>
  <c r="Z4" i="36"/>
  <c r="AA2" i="23"/>
  <c r="Z2" i="23"/>
  <c r="I8" i="23"/>
  <c r="AK3" i="24"/>
  <c r="AD3" i="24"/>
  <c r="AK6" i="24"/>
  <c r="G7" i="25"/>
  <c r="H7" i="25" s="1"/>
  <c r="AA7" i="25"/>
  <c r="AF13" i="26"/>
  <c r="Q57" i="14" s="1"/>
  <c r="AB2" i="26"/>
  <c r="AD7" i="26"/>
  <c r="AF4" i="27"/>
  <c r="Z9" i="27"/>
  <c r="AH8" i="27"/>
  <c r="Z5" i="29"/>
  <c r="AF6" i="30"/>
  <c r="AE9" i="30"/>
  <c r="AF2" i="31"/>
  <c r="G4" i="31"/>
  <c r="H4" i="31" s="1"/>
  <c r="G6" i="31"/>
  <c r="H6" i="31" s="1"/>
  <c r="I2" i="31"/>
  <c r="Z7" i="31"/>
  <c r="AE2" i="32"/>
  <c r="AD6" i="32"/>
  <c r="AD7" i="32"/>
  <c r="I8" i="32"/>
  <c r="G3" i="33"/>
  <c r="H3" i="33" s="1"/>
  <c r="G7" i="34"/>
  <c r="H7" i="34" s="1"/>
  <c r="AG2" i="34"/>
  <c r="AF6" i="34"/>
  <c r="AE5" i="35"/>
  <c r="Z2" i="35"/>
  <c r="AH6" i="35"/>
  <c r="Z13" i="36"/>
  <c r="K47" i="14" s="1"/>
  <c r="G2" i="37"/>
  <c r="H2" i="37" s="1"/>
  <c r="I8" i="37"/>
  <c r="AG5" i="37"/>
  <c r="AD6" i="37"/>
  <c r="AH7" i="37"/>
  <c r="AD5" i="38"/>
  <c r="AD8" i="38"/>
  <c r="AE5" i="38"/>
  <c r="Z2" i="40"/>
  <c r="G3" i="41"/>
  <c r="H3" i="41" s="1"/>
  <c r="G7" i="41"/>
  <c r="H7" i="41" s="1"/>
  <c r="Z2" i="41"/>
  <c r="I7" i="41"/>
  <c r="Z6" i="41"/>
  <c r="AE3" i="42"/>
  <c r="AF9" i="22"/>
  <c r="AG9" i="23"/>
  <c r="AK6" i="23"/>
  <c r="AM2" i="24"/>
  <c r="Z4" i="24"/>
  <c r="AE3" i="24"/>
  <c r="AJ8" i="24"/>
  <c r="AJ9" i="24"/>
  <c r="I8" i="25"/>
  <c r="AB7" i="25"/>
  <c r="I8" i="26"/>
  <c r="AH6" i="26"/>
  <c r="G3" i="27"/>
  <c r="AG4" i="27"/>
  <c r="AE9" i="27"/>
  <c r="AE4" i="27"/>
  <c r="AE8" i="30"/>
  <c r="AH7" i="30"/>
  <c r="Z4" i="30"/>
  <c r="AD4" i="31"/>
  <c r="AB4" i="32"/>
  <c r="AH6" i="32"/>
  <c r="Z7" i="32"/>
  <c r="AK6" i="32"/>
  <c r="AD2" i="35"/>
  <c r="Z3" i="35"/>
  <c r="AA5" i="36"/>
  <c r="AE3" i="36"/>
  <c r="AF3" i="36"/>
  <c r="G3" i="37"/>
  <c r="H3" i="37" s="1"/>
  <c r="AD4" i="37"/>
  <c r="AG7" i="37"/>
  <c r="I5" i="38"/>
  <c r="AA7" i="38"/>
  <c r="Z4" i="38"/>
  <c r="Z3" i="39"/>
  <c r="AH5" i="41"/>
  <c r="Z9" i="41"/>
  <c r="AM6" i="42"/>
  <c r="AM9" i="22"/>
  <c r="AA7" i="23"/>
  <c r="AD3" i="23"/>
  <c r="AH9" i="24"/>
  <c r="G3" i="24"/>
  <c r="H3" i="24" s="1"/>
  <c r="Z6" i="24"/>
  <c r="AD8" i="24"/>
  <c r="Z3" i="25"/>
  <c r="G7" i="26"/>
  <c r="H7" i="26" s="1"/>
  <c r="AD4" i="26"/>
  <c r="AF6" i="27"/>
  <c r="AF7" i="27"/>
  <c r="Z6" i="29"/>
  <c r="Z2" i="30"/>
  <c r="I5" i="30"/>
  <c r="AD5" i="30"/>
  <c r="AH4" i="30"/>
  <c r="AE7" i="31"/>
  <c r="AF7" i="31"/>
  <c r="AG4" i="31"/>
  <c r="I4" i="32"/>
  <c r="AA8" i="32"/>
  <c r="AJ7" i="33"/>
  <c r="Z6" i="33"/>
  <c r="AG3" i="34"/>
  <c r="AF7" i="34"/>
  <c r="G9" i="35"/>
  <c r="H9" i="35" s="1"/>
  <c r="AF8" i="36"/>
  <c r="G8" i="36"/>
  <c r="H8" i="36" s="1"/>
  <c r="G9" i="37"/>
  <c r="H9" i="37" s="1"/>
  <c r="AH5" i="37"/>
  <c r="AG8" i="37"/>
  <c r="Z4" i="37"/>
  <c r="AG4" i="38"/>
  <c r="AD2" i="39"/>
  <c r="Z3" i="40"/>
  <c r="Z9" i="40"/>
  <c r="G2" i="42"/>
  <c r="H2" i="42" s="1"/>
  <c r="Z8" i="22"/>
  <c r="Z9" i="23"/>
  <c r="AD2" i="23"/>
  <c r="AK7" i="23"/>
  <c r="Z9" i="24"/>
  <c r="AG8" i="26"/>
  <c r="AE4" i="26"/>
  <c r="Z7" i="27"/>
  <c r="I4" i="28"/>
  <c r="I8" i="28"/>
  <c r="Z3" i="30"/>
  <c r="AG8" i="30"/>
  <c r="I4" i="31"/>
  <c r="AG4" i="32"/>
  <c r="AD5" i="32"/>
  <c r="AH3" i="34"/>
  <c r="I4" i="34"/>
  <c r="AD4" i="35"/>
  <c r="G7" i="36"/>
  <c r="Z3" i="36"/>
  <c r="I3" i="36"/>
  <c r="AH3" i="38"/>
  <c r="AP6" i="38"/>
  <c r="AH2" i="39"/>
  <c r="AF2" i="41"/>
  <c r="AG8" i="41"/>
  <c r="AH9" i="42"/>
  <c r="G3" i="42"/>
  <c r="H3" i="42" s="1"/>
  <c r="I6" i="42"/>
  <c r="AD3" i="42"/>
  <c r="AF7" i="23"/>
  <c r="AH8" i="24"/>
  <c r="AA7" i="24"/>
  <c r="G9" i="25"/>
  <c r="Z5" i="25"/>
  <c r="I4" i="25"/>
  <c r="AB3" i="25"/>
  <c r="AH5" i="26"/>
  <c r="G5" i="27"/>
  <c r="H5" i="27" s="1"/>
  <c r="I4" i="27"/>
  <c r="AD7" i="28"/>
  <c r="G2" i="29"/>
  <c r="AD8" i="30"/>
  <c r="Z2" i="32"/>
  <c r="Z5" i="33"/>
  <c r="G4" i="33"/>
  <c r="H4" i="33" s="1"/>
  <c r="AE8" i="33"/>
  <c r="G8" i="34"/>
  <c r="H8" i="34" s="1"/>
  <c r="AH7" i="34"/>
  <c r="AD5" i="35"/>
  <c r="Z2" i="36"/>
  <c r="AD7" i="36"/>
  <c r="AH8" i="37"/>
  <c r="AG2" i="37"/>
  <c r="AF9" i="38"/>
  <c r="Z8" i="39"/>
  <c r="G6" i="40"/>
  <c r="AD9" i="41"/>
  <c r="G8" i="41"/>
  <c r="H8" i="41" s="1"/>
  <c r="G4" i="42"/>
  <c r="H4" i="42" s="1"/>
  <c r="AH8" i="42"/>
  <c r="AF7" i="30"/>
  <c r="Z4" i="23"/>
  <c r="Z5" i="23"/>
  <c r="AD6" i="23"/>
  <c r="Z5" i="28"/>
  <c r="AD2" i="30"/>
  <c r="AF6" i="31"/>
  <c r="G9" i="31"/>
  <c r="H9" i="31" s="1"/>
  <c r="G3" i="32"/>
  <c r="H3" i="32" s="1"/>
  <c r="AB3" i="32"/>
  <c r="AF3" i="32"/>
  <c r="AD4" i="32"/>
  <c r="G4" i="32"/>
  <c r="H4" i="32" s="1"/>
  <c r="AH2" i="33"/>
  <c r="AB6" i="34"/>
  <c r="AD6" i="34"/>
  <c r="AD3" i="34"/>
  <c r="Z4" i="35"/>
  <c r="AH8" i="35"/>
  <c r="AG4" i="36"/>
  <c r="AH4" i="37"/>
  <c r="G8" i="38"/>
  <c r="H8" i="38" s="1"/>
  <c r="I8" i="38"/>
  <c r="AE3" i="38"/>
  <c r="G7" i="38"/>
  <c r="H7" i="38" s="1"/>
  <c r="AE2" i="39"/>
  <c r="AD6" i="41"/>
  <c r="AH3" i="41"/>
  <c r="AH4" i="41"/>
  <c r="AG4" i="42"/>
  <c r="AH8" i="32"/>
  <c r="AJ7" i="35"/>
  <c r="G3" i="23"/>
  <c r="H3" i="23" s="1"/>
  <c r="Z13" i="24"/>
  <c r="K59" i="14" s="1"/>
  <c r="AF4" i="24"/>
  <c r="Z8" i="25"/>
  <c r="AD2" i="26"/>
  <c r="Z2" i="26"/>
  <c r="I8" i="27"/>
  <c r="AP6" i="27"/>
  <c r="AG4" i="30"/>
  <c r="G9" i="30"/>
  <c r="H9" i="30" s="1"/>
  <c r="AE3" i="31"/>
  <c r="AG6" i="31"/>
  <c r="Z8" i="32"/>
  <c r="AF4" i="33"/>
  <c r="AG6" i="33"/>
  <c r="Z7" i="33"/>
  <c r="AF8" i="34"/>
  <c r="AA3" i="34"/>
  <c r="AB13" i="35"/>
  <c r="M48" i="14" s="1"/>
  <c r="AG2" i="35"/>
  <c r="AF6" i="35"/>
  <c r="AD7" i="35"/>
  <c r="G5" i="35"/>
  <c r="AE5" i="36"/>
  <c r="G9" i="36"/>
  <c r="H9" i="36" s="1"/>
  <c r="AJ9" i="37"/>
  <c r="AD3" i="37"/>
  <c r="AG2" i="38"/>
  <c r="AD6" i="38"/>
  <c r="G2" i="38"/>
  <c r="I4" i="38"/>
  <c r="AG7" i="38"/>
  <c r="AM6" i="39"/>
  <c r="AF6" i="39"/>
  <c r="Z5" i="40"/>
  <c r="G4" i="40"/>
  <c r="H4" i="40" s="1"/>
  <c r="Z8" i="40"/>
  <c r="AB6" i="40"/>
  <c r="AF3" i="41"/>
  <c r="AF8" i="41"/>
  <c r="AE5" i="42"/>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B10" i="36" s="1"/>
  <c r="AA9" i="37"/>
  <c r="AA2" i="38"/>
  <c r="AA6" i="39"/>
  <c r="AA3" i="39"/>
  <c r="AB6" i="23"/>
  <c r="AA4" i="35"/>
  <c r="AB7" i="26"/>
  <c r="AA7" i="27"/>
  <c r="AB7" i="27"/>
  <c r="AB2" i="31"/>
  <c r="AB3" i="33"/>
  <c r="AB6" i="41"/>
  <c r="AA4" i="41"/>
  <c r="S81" i="43"/>
  <c r="AB7" i="23"/>
  <c r="AB6" i="35"/>
  <c r="AB10" i="35" s="1"/>
  <c r="AA4" i="37"/>
  <c r="AA3" i="37"/>
  <c r="AB6" i="39"/>
  <c r="S6" i="43"/>
  <c r="S91" i="43"/>
  <c r="S88" i="43"/>
  <c r="S24" i="43"/>
  <c r="S32" i="43"/>
  <c r="S65" i="43"/>
  <c r="S86" i="43"/>
  <c r="S17" i="43"/>
  <c r="S33" i="43"/>
  <c r="AW52" i="14"/>
  <c r="AC52" i="14"/>
  <c r="AW44" i="14"/>
  <c r="AC44" i="14"/>
  <c r="AW60" i="14"/>
  <c r="AC60" i="14"/>
  <c r="AW55" i="14"/>
  <c r="AC55"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A10" i="41" s="1"/>
  <c r="AB6" i="42"/>
  <c r="AB8" i="25"/>
  <c r="AA4" i="27"/>
  <c r="AB9" i="27"/>
  <c r="AB7" i="30"/>
  <c r="AB2" i="30"/>
  <c r="AA9" i="31"/>
  <c r="AA6" i="31"/>
  <c r="AA2" i="39"/>
  <c r="AB5" i="39"/>
  <c r="AA2" i="41"/>
  <c r="AA7" i="41"/>
  <c r="AB7" i="24"/>
  <c r="AA4" i="25"/>
  <c r="AB6" i="26"/>
  <c r="AB13" i="27"/>
  <c r="M56" i="14" s="1"/>
  <c r="AA8" i="3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C10" i="43"/>
  <c r="C9" i="43"/>
  <c r="C4" i="43"/>
  <c r="C8" i="43"/>
  <c r="C5" i="43"/>
  <c r="R7" i="43"/>
  <c r="U3" i="43"/>
  <c r="S4" i="43"/>
  <c r="S20" i="43"/>
  <c r="S55" i="43"/>
  <c r="V4" i="43"/>
  <c r="S68" i="43"/>
  <c r="S74" i="43"/>
  <c r="S69" i="43"/>
  <c r="Q5" i="43"/>
  <c r="C2" i="43"/>
  <c r="U6" i="43"/>
  <c r="V2" i="43"/>
  <c r="Q13" i="43"/>
  <c r="R1" i="43" s="1"/>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H41" i="14" s="1"/>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H3" i="40" s="1"/>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AD9" i="40"/>
  <c r="AH2" i="40"/>
  <c r="AH5" i="40"/>
  <c r="AH8" i="40"/>
  <c r="AD8" i="40"/>
  <c r="AM7" i="40"/>
  <c r="AF7" i="40"/>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6" i="40" s="1"/>
  <c r="M2" i="40"/>
  <c r="K3" i="40"/>
  <c r="I4"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X44" i="14" s="1"/>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M4" i="38"/>
  <c r="K5" i="38"/>
  <c r="S5" i="38"/>
  <c r="I6" i="38"/>
  <c r="Q6" i="38"/>
  <c r="O7"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G6" i="37"/>
  <c r="G5" i="37"/>
  <c r="H5" i="37" s="1"/>
  <c r="Z2" i="37"/>
  <c r="G4" i="37"/>
  <c r="H4" i="37" s="1"/>
  <c r="Z13" i="37"/>
  <c r="K46" i="14" s="1"/>
  <c r="AB9" i="37"/>
  <c r="Z5" i="37"/>
  <c r="Z8" i="37"/>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X46" i="14" s="1"/>
  <c r="AM4" i="37"/>
  <c r="AM9" i="37"/>
  <c r="AM2" i="37"/>
  <c r="AP13" i="37"/>
  <c r="AA46" i="14" s="1"/>
  <c r="O2" i="37"/>
  <c r="M3" i="37"/>
  <c r="K4" i="37"/>
  <c r="S4" i="37"/>
  <c r="I5" i="37"/>
  <c r="Q5" i="37"/>
  <c r="O6" i="37"/>
  <c r="M7" i="37"/>
  <c r="U7" i="37"/>
  <c r="K8" i="37"/>
  <c r="S8" i="37"/>
  <c r="I9" i="37"/>
  <c r="Q9" i="37"/>
  <c r="S18" i="37"/>
  <c r="AN18" i="37" s="1"/>
  <c r="P2" i="37"/>
  <c r="F3" i="37"/>
  <c r="N3" i="37"/>
  <c r="V3" i="37"/>
  <c r="L4" i="37"/>
  <c r="AD5"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U46" i="14" s="1"/>
  <c r="S17" i="37"/>
  <c r="AN17" i="37" s="1"/>
  <c r="S22" i="37"/>
  <c r="AN22" i="37" s="1"/>
  <c r="S24" i="37"/>
  <c r="AN24" i="37" s="1"/>
  <c r="K2" i="37"/>
  <c r="S2" i="37"/>
  <c r="I3" i="37"/>
  <c r="Q3" i="37"/>
  <c r="K6" i="37"/>
  <c r="S6" i="37"/>
  <c r="I7" i="37"/>
  <c r="Q7" i="37"/>
  <c r="AH13" i="37"/>
  <c r="S46" i="14" s="1"/>
  <c r="L2" i="37"/>
  <c r="R3" i="37"/>
  <c r="L6" i="37"/>
  <c r="R7" i="37"/>
  <c r="B10" i="37"/>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Z8" i="36"/>
  <c r="Z10" i="36" s="1"/>
  <c r="Z7" i="36"/>
  <c r="G3" i="36"/>
  <c r="H3" i="36" s="1"/>
  <c r="G5" i="36"/>
  <c r="H5" i="36" s="1"/>
  <c r="AE8" i="36"/>
  <c r="Z9" i="36"/>
  <c r="G2" i="36"/>
  <c r="H2" i="36" s="1"/>
  <c r="G4" i="36"/>
  <c r="H4" i="36" s="1"/>
  <c r="AD13" i="36"/>
  <c r="O47" i="14" s="1"/>
  <c r="AA4"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S34" i="36"/>
  <c r="AN34" i="36" s="1"/>
  <c r="V7" i="36"/>
  <c r="S56" i="36"/>
  <c r="AN56" i="36" s="1"/>
  <c r="S70" i="36"/>
  <c r="AN70" i="36" s="1"/>
  <c r="S85" i="36"/>
  <c r="AN85" i="36" s="1"/>
  <c r="S86" i="36"/>
  <c r="AN86" i="36" s="1"/>
  <c r="AN14" i="36"/>
  <c r="AJ2" i="36"/>
  <c r="AP16" i="36"/>
  <c r="AP5" i="36" s="1"/>
  <c r="AM9" i="36"/>
  <c r="AL50" i="36"/>
  <c r="V4" i="36"/>
  <c r="AJ5" i="36"/>
  <c r="AG8" i="36"/>
  <c r="V9" i="36"/>
  <c r="AM2" i="36"/>
  <c r="AG13" i="36"/>
  <c r="R47" i="14" s="1"/>
  <c r="U13" i="36"/>
  <c r="V1" i="36" s="1"/>
  <c r="AM5" i="36"/>
  <c r="L2" i="36"/>
  <c r="AF2" i="36"/>
  <c r="L6" i="36"/>
  <c r="T6" i="36"/>
  <c r="B10" i="36"/>
  <c r="C2" i="36" s="1"/>
  <c r="AH13" i="36"/>
  <c r="S47" i="14" s="1"/>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P2" i="36"/>
  <c r="L4" i="36"/>
  <c r="H6" i="36"/>
  <c r="P6" i="36"/>
  <c r="L8" i="36"/>
  <c r="AM14" i="36"/>
  <c r="AM13" i="36" s="1"/>
  <c r="X47" i="14" s="1"/>
  <c r="I2" i="36"/>
  <c r="Q2" i="36"/>
  <c r="O3" i="36"/>
  <c r="C4" i="36"/>
  <c r="M4" i="36"/>
  <c r="K5" i="36"/>
  <c r="S5" i="36"/>
  <c r="I6" i="36"/>
  <c r="Q6" i="36"/>
  <c r="O7" i="36"/>
  <c r="C8" i="36"/>
  <c r="M8" i="36"/>
  <c r="K9" i="36"/>
  <c r="S9" i="36"/>
  <c r="AK52" i="36"/>
  <c r="S54" i="36"/>
  <c r="AN54" i="36" s="1"/>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10" i="35" s="1"/>
  <c r="Z5" i="35"/>
  <c r="AH7" i="35"/>
  <c r="AG7" i="35"/>
  <c r="G8" i="35"/>
  <c r="H8" i="35" s="1"/>
  <c r="Z13" i="35"/>
  <c r="K48" i="14" s="1"/>
  <c r="G3" i="35"/>
  <c r="H3" i="35" s="1"/>
  <c r="G2" i="35"/>
  <c r="G4" i="35"/>
  <c r="H4" i="35" s="1"/>
  <c r="AH4" i="35"/>
  <c r="AA9"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H48" i="14" s="1"/>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C3" i="35"/>
  <c r="M3" i="35"/>
  <c r="I5" i="35"/>
  <c r="Q5" i="35"/>
  <c r="C7" i="35"/>
  <c r="M7" i="35"/>
  <c r="U7" i="35"/>
  <c r="S8" i="35"/>
  <c r="V9" i="35"/>
  <c r="AK50" i="35"/>
  <c r="H2" i="35"/>
  <c r="P2" i="35"/>
  <c r="AA2" i="35"/>
  <c r="F3" i="35"/>
  <c r="N3" i="35"/>
  <c r="L4" i="35"/>
  <c r="F7" i="35"/>
  <c r="N7" i="35"/>
  <c r="L8" i="35"/>
  <c r="AM14" i="35"/>
  <c r="AM13" i="35" s="1"/>
  <c r="X48" i="14"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B13" i="34"/>
  <c r="M49" i="14" s="1"/>
  <c r="Z13" i="34"/>
  <c r="K49" i="14" s="1"/>
  <c r="Z6" i="34"/>
  <c r="AA13" i="34"/>
  <c r="L49" i="14" s="1"/>
  <c r="I5" i="34"/>
  <c r="G5" i="34"/>
  <c r="H5" i="34" s="1"/>
  <c r="AE13" i="34"/>
  <c r="P49" i="14" s="1"/>
  <c r="AA9" i="34"/>
  <c r="G4" i="34"/>
  <c r="H4" i="34" s="1"/>
  <c r="AH5" i="34"/>
  <c r="AD4" i="34"/>
  <c r="AE4" i="34"/>
  <c r="AP9" i="34"/>
  <c r="Z2" i="34"/>
  <c r="AM4" i="34"/>
  <c r="AM13" i="34"/>
  <c r="X49" i="14" s="1"/>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3"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M3" i="34"/>
  <c r="O6" i="34"/>
  <c r="M7" i="34"/>
  <c r="AL14" i="34"/>
  <c r="S30" i="34"/>
  <c r="AN30" i="34" s="1"/>
  <c r="S34" i="34"/>
  <c r="AN34" i="34" s="1"/>
  <c r="T40" i="34"/>
  <c r="AO40" i="34" s="1"/>
  <c r="Q40" i="34"/>
  <c r="AL40" i="34" s="1"/>
  <c r="S41" i="34"/>
  <c r="AN41" i="34" s="1"/>
  <c r="T48" i="34"/>
  <c r="AO48" i="34" s="1"/>
  <c r="Q48" i="34"/>
  <c r="AL48" i="34" s="1"/>
  <c r="S49" i="34"/>
  <c r="AN49" i="34" s="1"/>
  <c r="F3" i="34"/>
  <c r="N3" i="34"/>
  <c r="L4" i="34"/>
  <c r="AD5" i="34"/>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X50" i="14" s="1"/>
  <c r="AP2" i="33"/>
  <c r="AG94" i="33"/>
  <c r="AF94" i="33"/>
  <c r="AE94" i="33"/>
  <c r="AM94" i="33"/>
  <c r="AD94" i="33"/>
  <c r="AB94" i="33"/>
  <c r="Z94" i="33"/>
  <c r="AH94" i="33"/>
  <c r="AA94" i="33"/>
  <c r="C10" i="33"/>
  <c r="C6" i="33"/>
  <c r="C2" i="33"/>
  <c r="F10" i="33"/>
  <c r="H50" i="14" s="1"/>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V51" i="14" s="1"/>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L2" i="31"/>
  <c r="R3" i="31"/>
  <c r="Q5" i="31"/>
  <c r="I5" i="31"/>
  <c r="M5" i="31"/>
  <c r="S5" i="31"/>
  <c r="K5" i="31"/>
  <c r="P5" i="31"/>
  <c r="AD8" i="31"/>
  <c r="K3" i="31"/>
  <c r="S3" i="31"/>
  <c r="AP37" i="31"/>
  <c r="AP13" i="31" s="1"/>
  <c r="AA52" i="14" s="1"/>
  <c r="U13" i="31"/>
  <c r="V1" i="31" s="1"/>
  <c r="AG13" i="31"/>
  <c r="R52" i="14" s="1"/>
  <c r="AG5" i="31"/>
  <c r="AB13" i="31"/>
  <c r="M52" i="14" s="1"/>
  <c r="L3"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G6" i="30"/>
  <c r="G2" i="30"/>
  <c r="H2" i="30" s="1"/>
  <c r="Z8" i="30"/>
  <c r="Z9" i="30"/>
  <c r="AB9" i="30"/>
  <c r="AF8" i="30"/>
  <c r="AF3" i="30"/>
  <c r="Z13" i="30"/>
  <c r="K53" i="14" s="1"/>
  <c r="Z5" i="30"/>
  <c r="AA5" i="30"/>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AD10" i="29" s="1"/>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O2" i="29"/>
  <c r="M3" i="29"/>
  <c r="K4" i="29"/>
  <c r="S4" i="29"/>
  <c r="I5" i="29"/>
  <c r="Q5" i="29"/>
  <c r="O6" i="29"/>
  <c r="Q7" i="29"/>
  <c r="Q9" i="29"/>
  <c r="I9" i="29"/>
  <c r="P9" i="29"/>
  <c r="O9" i="29"/>
  <c r="M9" i="29"/>
  <c r="V9" i="29"/>
  <c r="B10" i="29"/>
  <c r="C7" i="29" s="1"/>
  <c r="AM8" i="29"/>
  <c r="AK59" i="29"/>
  <c r="T69" i="29"/>
  <c r="AO69" i="29" s="1"/>
  <c r="Q69" i="29"/>
  <c r="AL69" i="29" s="1"/>
  <c r="AJ69" i="29"/>
  <c r="AJ4" i="29" s="1"/>
  <c r="H2" i="29"/>
  <c r="P2" i="29"/>
  <c r="F3" i="29"/>
  <c r="N3" i="29"/>
  <c r="V3" i="29"/>
  <c r="L4" i="29"/>
  <c r="H6" i="29"/>
  <c r="P6" i="29"/>
  <c r="AM13" i="29"/>
  <c r="X54" i="14" s="1"/>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H55" i="14" s="1"/>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AL6" i="27" s="1"/>
  <c r="T62" i="27"/>
  <c r="AO62" i="27" s="1"/>
  <c r="T63" i="27"/>
  <c r="AO63" i="27" s="1"/>
  <c r="T64" i="27"/>
  <c r="AO64" i="27" s="1"/>
  <c r="T91" i="27"/>
  <c r="AO91" i="27" s="1"/>
  <c r="Q92" i="27"/>
  <c r="AL92" i="27" s="1"/>
  <c r="AH2" i="27"/>
  <c r="AJ28" i="27"/>
  <c r="AJ29"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X56" i="14" s="1"/>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M4" i="27"/>
  <c r="U9" i="27"/>
  <c r="AO20" i="27"/>
  <c r="AM5" i="27"/>
  <c r="AM9" i="27"/>
  <c r="AP94" i="27"/>
  <c r="AG94" i="27"/>
  <c r="AF94" i="27"/>
  <c r="AM94" i="27"/>
  <c r="AD94" i="27"/>
  <c r="AB94" i="27"/>
  <c r="AA94" i="27"/>
  <c r="Z94" i="27"/>
  <c r="AH94" i="27"/>
  <c r="AE94" i="27"/>
  <c r="C6" i="27"/>
  <c r="C9" i="27"/>
  <c r="C2" i="27"/>
  <c r="C10" i="27"/>
  <c r="I10" i="27"/>
  <c r="C8" i="27"/>
  <c r="C4" i="27"/>
  <c r="F10" i="27"/>
  <c r="H56" i="14" s="1"/>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AL5"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AL9" i="25" s="1"/>
  <c r="P4" i="25"/>
  <c r="T14" i="25"/>
  <c r="AO14" i="25" s="1"/>
  <c r="T22" i="25"/>
  <c r="AO22" i="25" s="1"/>
  <c r="T23" i="25"/>
  <c r="AO23" i="25" s="1"/>
  <c r="T24" i="25"/>
  <c r="AO24"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U59" i="14" s="1"/>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H59" i="14" s="1"/>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X59" i="14" s="1"/>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X60" i="14" s="1"/>
  <c r="S16" i="23"/>
  <c r="AN16" i="23" s="1"/>
  <c r="S20" i="23"/>
  <c r="AN20" i="23" s="1"/>
  <c r="AK24" i="23"/>
  <c r="S28" i="23"/>
  <c r="AN28" i="23" s="1"/>
  <c r="L2" i="23"/>
  <c r="P4" i="23"/>
  <c r="F5" i="23"/>
  <c r="N5" i="23"/>
  <c r="V5" i="23"/>
  <c r="L6" i="23"/>
  <c r="P8" i="23"/>
  <c r="F9" i="23"/>
  <c r="N9" i="23"/>
  <c r="V9" i="23"/>
  <c r="AH9" i="23"/>
  <c r="B10" i="23"/>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U60" i="14" s="1"/>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C7" i="22" s="1"/>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M3" i="22"/>
  <c r="K4" i="22"/>
  <c r="S4" i="22"/>
  <c r="I5" i="22"/>
  <c r="Q5" i="22"/>
  <c r="O6"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C2" i="41" l="1"/>
  <c r="AI94" i="41"/>
  <c r="AI12" i="41" s="1"/>
  <c r="AI1" i="41" s="1"/>
  <c r="AC94" i="41"/>
  <c r="AC12" i="41" s="1"/>
  <c r="AC1" i="41" s="1"/>
  <c r="C6" i="41"/>
  <c r="Z10" i="42"/>
  <c r="AA10" i="31"/>
  <c r="AI94" i="38"/>
  <c r="AI12" i="38" s="1"/>
  <c r="AI1" i="38" s="1"/>
  <c r="AC94" i="38"/>
  <c r="AC12" i="38" s="1"/>
  <c r="AC1" i="38" s="1"/>
  <c r="AI94" i="27"/>
  <c r="AI12" i="27" s="1"/>
  <c r="AI1" i="27" s="1"/>
  <c r="AC94" i="27"/>
  <c r="AC12" i="27" s="1"/>
  <c r="AC1" i="27" s="1"/>
  <c r="C9" i="23"/>
  <c r="AI94" i="23"/>
  <c r="AI12" i="23" s="1"/>
  <c r="AI1" i="23" s="1"/>
  <c r="AC94" i="23"/>
  <c r="AC12" i="23" s="1"/>
  <c r="AC1" i="23" s="1"/>
  <c r="G10" i="31"/>
  <c r="C6" i="34"/>
  <c r="AI94" i="34"/>
  <c r="AI12" i="34" s="1"/>
  <c r="AI1" i="34" s="1"/>
  <c r="AC94" i="34"/>
  <c r="AC12" i="34" s="1"/>
  <c r="AC1" i="34" s="1"/>
  <c r="AD10" i="35"/>
  <c r="AI94" i="36"/>
  <c r="AI12" i="36" s="1"/>
  <c r="AI1" i="36" s="1"/>
  <c r="AC94" i="36"/>
  <c r="AC12" i="36" s="1"/>
  <c r="AC1" i="36" s="1"/>
  <c r="AF10" i="34"/>
  <c r="H69" i="14"/>
  <c r="B19" i="17"/>
  <c r="C9" i="31"/>
  <c r="AI94" i="31"/>
  <c r="AI12" i="31" s="1"/>
  <c r="AI1" i="31" s="1"/>
  <c r="AC94" i="31"/>
  <c r="AC12" i="31" s="1"/>
  <c r="AC1" i="31" s="1"/>
  <c r="C3" i="37"/>
  <c r="AI94" i="37"/>
  <c r="AI12" i="37" s="1"/>
  <c r="AI1" i="37" s="1"/>
  <c r="AC94" i="37"/>
  <c r="AC12" i="37" s="1"/>
  <c r="AC1" i="37" s="1"/>
  <c r="C5" i="40"/>
  <c r="AI94" i="40"/>
  <c r="AI12" i="40" s="1"/>
  <c r="AI1" i="40" s="1"/>
  <c r="AC94" i="40"/>
  <c r="AC12" i="40" s="1"/>
  <c r="AC1" i="40" s="1"/>
  <c r="AI94" i="22"/>
  <c r="AI12" i="22" s="1"/>
  <c r="AI1" i="22" s="1"/>
  <c r="AC94" i="22"/>
  <c r="AC12" i="22" s="1"/>
  <c r="AC1" i="22" s="1"/>
  <c r="AB10" i="23"/>
  <c r="C6" i="26"/>
  <c r="AI94" i="26"/>
  <c r="AI12" i="26" s="1"/>
  <c r="AI1" i="26" s="1"/>
  <c r="AC94" i="26"/>
  <c r="AC12" i="26" s="1"/>
  <c r="AC1" i="26" s="1"/>
  <c r="G10" i="29"/>
  <c r="H10" i="29" s="1"/>
  <c r="J54" i="14" s="1"/>
  <c r="C7" i="34"/>
  <c r="G10" i="37"/>
  <c r="AI94" i="24"/>
  <c r="AI12" i="24" s="1"/>
  <c r="AI1" i="24" s="1"/>
  <c r="AC94" i="24"/>
  <c r="AC12" i="24" s="1"/>
  <c r="AC1" i="24" s="1"/>
  <c r="AI94" i="28"/>
  <c r="AI12" i="28" s="1"/>
  <c r="AI1" i="28" s="1"/>
  <c r="AC94" i="28"/>
  <c r="AC12" i="28" s="1"/>
  <c r="AC1" i="28" s="1"/>
  <c r="AA10" i="27"/>
  <c r="AI94" i="29"/>
  <c r="AI12" i="29" s="1"/>
  <c r="AI1" i="29" s="1"/>
  <c r="AC94" i="29"/>
  <c r="AC12" i="29" s="1"/>
  <c r="AC1" i="29" s="1"/>
  <c r="AI94" i="32"/>
  <c r="AI12" i="32" s="1"/>
  <c r="AI1" i="32" s="1"/>
  <c r="AC94" i="32"/>
  <c r="AC12" i="32" s="1"/>
  <c r="AC1" i="32" s="1"/>
  <c r="Z10" i="37"/>
  <c r="C4" i="38"/>
  <c r="C6" i="38"/>
  <c r="AI94" i="39"/>
  <c r="AI12" i="39" s="1"/>
  <c r="AI1" i="39" s="1"/>
  <c r="AC94" i="39"/>
  <c r="AC12" i="39" s="1"/>
  <c r="AC1" i="39" s="1"/>
  <c r="AI94" i="35"/>
  <c r="AI12" i="35" s="1"/>
  <c r="AI1" i="35" s="1"/>
  <c r="AC94" i="35"/>
  <c r="AC12" i="35" s="1"/>
  <c r="AC1" i="35" s="1"/>
  <c r="AI94" i="33"/>
  <c r="AI12" i="33" s="1"/>
  <c r="AI1" i="33" s="1"/>
  <c r="AC94" i="33"/>
  <c r="AC12" i="33" s="1"/>
  <c r="AC1" i="33" s="1"/>
  <c r="C3" i="22"/>
  <c r="AI94" i="25"/>
  <c r="AI12" i="25" s="1"/>
  <c r="AI1" i="25" s="1"/>
  <c r="AC94" i="25"/>
  <c r="AC12" i="25" s="1"/>
  <c r="AC1" i="25" s="1"/>
  <c r="AI94" i="30"/>
  <c r="AI12" i="30" s="1"/>
  <c r="AI1" i="30" s="1"/>
  <c r="AC94" i="30"/>
  <c r="AC12" i="30" s="1"/>
  <c r="AC1" i="30" s="1"/>
  <c r="AD10" i="34"/>
  <c r="C8" i="38"/>
  <c r="AI94" i="42"/>
  <c r="AI12" i="42" s="1"/>
  <c r="AI1" i="42" s="1"/>
  <c r="AC94" i="42"/>
  <c r="AC12" i="42" s="1"/>
  <c r="AC1" i="42" s="1"/>
  <c r="AO3" i="24"/>
  <c r="AB10" i="30"/>
  <c r="AL4" i="31"/>
  <c r="H6" i="37"/>
  <c r="AO3" i="25"/>
  <c r="AA10" i="34"/>
  <c r="AL3" i="27"/>
  <c r="AN6" i="36"/>
  <c r="AL7" i="27"/>
  <c r="AO7" i="25"/>
  <c r="AL7" i="35"/>
  <c r="AL7" i="37"/>
  <c r="G10" i="40"/>
  <c r="H10" i="40" s="1"/>
  <c r="J43" i="14" s="1"/>
  <c r="AA10" i="30"/>
  <c r="AO4" i="37"/>
  <c r="AF10" i="40"/>
  <c r="AO9" i="25"/>
  <c r="AE10" i="30"/>
  <c r="AF10" i="33"/>
  <c r="AF12" i="33" s="1"/>
  <c r="AF1" i="33" s="1"/>
  <c r="AM10" i="39"/>
  <c r="AG10" i="38"/>
  <c r="AA10" i="23"/>
  <c r="AF10" i="27"/>
  <c r="AG10" i="36"/>
  <c r="AG45" i="14"/>
  <c r="AA10" i="33"/>
  <c r="AB10" i="37"/>
  <c r="AD10" i="30"/>
  <c r="Z10" i="27"/>
  <c r="AD10" i="40"/>
  <c r="T8" i="43"/>
  <c r="BB41" i="14"/>
  <c r="T5" i="43"/>
  <c r="AN46" i="14"/>
  <c r="BF44" i="14"/>
  <c r="AV44" i="14"/>
  <c r="AJ44" i="14"/>
  <c r="AG46" i="14"/>
  <c r="BD48" i="14"/>
  <c r="BA44" i="14"/>
  <c r="BP46" i="14"/>
  <c r="BE45" i="14"/>
  <c r="BA48" i="14"/>
  <c r="AN49" i="14"/>
  <c r="AL46" i="14"/>
  <c r="BH42" i="14"/>
  <c r="AM49" i="14"/>
  <c r="AH52" i="14"/>
  <c r="BH47" i="14"/>
  <c r="AL43" i="14"/>
  <c r="AG42" i="14"/>
  <c r="AJ51" i="14"/>
  <c r="BA45" i="14"/>
  <c r="BA46" i="14"/>
  <c r="AM46" i="14"/>
  <c r="BD51" i="14"/>
  <c r="BD44" i="14"/>
  <c r="AP10" i="25"/>
  <c r="AG10" i="25"/>
  <c r="AG54" i="14"/>
  <c r="BH51" i="14"/>
  <c r="BA54" i="14"/>
  <c r="BF41" i="14"/>
  <c r="AL41" i="14"/>
  <c r="AN43" i="14"/>
  <c r="AJ47" i="14"/>
  <c r="BG51" i="14"/>
  <c r="AV45" i="14"/>
  <c r="BG46" i="14"/>
  <c r="BG53" i="14"/>
  <c r="AL50" i="14"/>
  <c r="BF43" i="14"/>
  <c r="AK47" i="14"/>
  <c r="AK54" i="14"/>
  <c r="BE42" i="14"/>
  <c r="BH46" i="14"/>
  <c r="AJ46" i="14"/>
  <c r="AL47" i="14"/>
  <c r="AB10" i="24"/>
  <c r="AB12" i="35"/>
  <c r="AB1" i="35" s="1"/>
  <c r="AN52" i="14"/>
  <c r="BA53" i="14"/>
  <c r="BH53" i="14"/>
  <c r="BH50" i="14"/>
  <c r="AD10" i="39"/>
  <c r="AO4" i="40"/>
  <c r="AO2" i="40"/>
  <c r="BP42" i="14"/>
  <c r="BP41" i="14"/>
  <c r="AV41" i="14"/>
  <c r="AV42" i="14"/>
  <c r="BG42" i="14"/>
  <c r="AM41" i="14"/>
  <c r="BG41" i="14"/>
  <c r="AM42" i="14"/>
  <c r="BD41" i="14"/>
  <c r="AJ41" i="14"/>
  <c r="AN45" i="14"/>
  <c r="BF45" i="14"/>
  <c r="BF52" i="14"/>
  <c r="AL48" i="14"/>
  <c r="BG47" i="14"/>
  <c r="BF54" i="14"/>
  <c r="AL51" i="14"/>
  <c r="BG54" i="14"/>
  <c r="AM50" i="14"/>
  <c r="BB45" i="14"/>
  <c r="BB52" i="14"/>
  <c r="AH48" i="14"/>
  <c r="BE44" i="14"/>
  <c r="BD43" i="14"/>
  <c r="AH43" i="14"/>
  <c r="AM43" i="14"/>
  <c r="BF42" i="14"/>
  <c r="BA50" i="14"/>
  <c r="BH43" i="14"/>
  <c r="BB44" i="14"/>
  <c r="BF50" i="14"/>
  <c r="BF51" i="14"/>
  <c r="AL54" i="14"/>
  <c r="Z10" i="25"/>
  <c r="AF10" i="31"/>
  <c r="AG10" i="34"/>
  <c r="AB10" i="34"/>
  <c r="AN47" i="14"/>
  <c r="AG53" i="14"/>
  <c r="BH54" i="14"/>
  <c r="BA47" i="14"/>
  <c r="AE10" i="37"/>
  <c r="AG51" i="14"/>
  <c r="AG10" i="41"/>
  <c r="AG41" i="14"/>
  <c r="BA41" i="14"/>
  <c r="BH45" i="14"/>
  <c r="AG43" i="14"/>
  <c r="AN42" i="14"/>
  <c r="AJ54" i="14"/>
  <c r="BE46" i="14"/>
  <c r="BE53" i="14"/>
  <c r="AK49" i="14"/>
  <c r="AM48" i="14"/>
  <c r="BE48" i="14"/>
  <c r="AH45" i="14"/>
  <c r="AJ52" i="14"/>
  <c r="BF48" i="14"/>
  <c r="AH42" i="14"/>
  <c r="AM51" i="14"/>
  <c r="BG48" i="14"/>
  <c r="AL45" i="14"/>
  <c r="AL52" i="14"/>
  <c r="BP45" i="14"/>
  <c r="BP43" i="14"/>
  <c r="BD42" i="14"/>
  <c r="BG44" i="14"/>
  <c r="BD45" i="14"/>
  <c r="AH41" i="14"/>
  <c r="BB47" i="14"/>
  <c r="AL53" i="14"/>
  <c r="AH10" i="25"/>
  <c r="BA52" i="14"/>
  <c r="AN51" i="14"/>
  <c r="BA49" i="14"/>
  <c r="BH44" i="14"/>
  <c r="AG44" i="14"/>
  <c r="BH41" i="14"/>
  <c r="BD54" i="14"/>
  <c r="BE47" i="14"/>
  <c r="BB54" i="14"/>
  <c r="AJ50" i="14"/>
  <c r="BG45" i="14"/>
  <c r="BG52" i="14"/>
  <c r="AL49" i="14"/>
  <c r="BD49" i="14"/>
  <c r="AH46" i="14"/>
  <c r="AH53" i="14"/>
  <c r="BE49" i="14"/>
  <c r="AK52" i="14"/>
  <c r="BF49" i="14"/>
  <c r="AK46" i="14"/>
  <c r="AK53" i="14"/>
  <c r="BE51" i="14"/>
  <c r="BG50" i="14"/>
  <c r="BD52" i="14"/>
  <c r="BB46" i="14"/>
  <c r="BD53" i="14"/>
  <c r="BD46" i="14"/>
  <c r="BP44" i="14"/>
  <c r="AG49" i="14"/>
  <c r="AA12" i="27"/>
  <c r="AA1" i="27" s="1"/>
  <c r="Z10" i="31"/>
  <c r="AA10" i="32"/>
  <c r="Z10" i="33"/>
  <c r="Z12" i="33" s="1"/>
  <c r="Z1" i="33" s="1"/>
  <c r="AG10" i="33"/>
  <c r="AG52" i="14"/>
  <c r="BH49" i="14"/>
  <c r="AG48" i="14"/>
  <c r="AN53" i="14"/>
  <c r="AB10" i="40"/>
  <c r="BE41" i="14"/>
  <c r="BE43" i="14"/>
  <c r="AK43" i="14"/>
  <c r="AK41" i="14"/>
  <c r="AN44" i="14"/>
  <c r="BA43" i="14"/>
  <c r="AN41" i="14"/>
  <c r="BD47" i="14"/>
  <c r="BA42" i="14"/>
  <c r="AM47" i="14"/>
  <c r="AM54" i="14"/>
  <c r="BB48" i="14"/>
  <c r="AH51" i="14"/>
  <c r="BF46" i="14"/>
  <c r="BF53" i="14"/>
  <c r="AK50" i="14"/>
  <c r="AM53" i="14"/>
  <c r="BB50" i="14"/>
  <c r="AL44" i="14"/>
  <c r="AJ53" i="14"/>
  <c r="BE50" i="14"/>
  <c r="AH47" i="14"/>
  <c r="AH54" i="14"/>
  <c r="AK45" i="14"/>
  <c r="AJ42" i="14"/>
  <c r="BB53" i="14"/>
  <c r="AM44" i="14"/>
  <c r="AL42" i="14"/>
  <c r="BB49" i="14"/>
  <c r="AG10" i="26"/>
  <c r="AO9" i="27"/>
  <c r="AB10" i="27"/>
  <c r="Z10" i="28"/>
  <c r="AE10" i="32"/>
  <c r="AB10" i="33"/>
  <c r="AB12" i="33" s="1"/>
  <c r="AB1" i="33" s="1"/>
  <c r="Z10" i="34"/>
  <c r="BA51" i="14"/>
  <c r="AN54" i="14"/>
  <c r="BH48" i="14"/>
  <c r="AG50" i="14"/>
  <c r="AF10" i="38"/>
  <c r="Z10" i="40"/>
  <c r="AJ45" i="14"/>
  <c r="AK48" i="14"/>
  <c r="AH44" i="14"/>
  <c r="BF47" i="14"/>
  <c r="BE54" i="14"/>
  <c r="AK51" i="14"/>
  <c r="BB43" i="14"/>
  <c r="AV46" i="14"/>
  <c r="BB51" i="14"/>
  <c r="AJ48" i="14"/>
  <c r="AV43" i="14"/>
  <c r="BE52" i="14"/>
  <c r="AJ43" i="14"/>
  <c r="AH49" i="14"/>
  <c r="BB42" i="14"/>
  <c r="AH50" i="14"/>
  <c r="AO9" i="24"/>
  <c r="AH10" i="24"/>
  <c r="AH12" i="24" s="1"/>
  <c r="AH1" i="24" s="1"/>
  <c r="Z10" i="30"/>
  <c r="AA10" i="35"/>
  <c r="BH52" i="14"/>
  <c r="AG47" i="14"/>
  <c r="AN48" i="14"/>
  <c r="AN50" i="14"/>
  <c r="AA10" i="39"/>
  <c r="AB10" i="39"/>
  <c r="BG43" i="14"/>
  <c r="AB10" i="41"/>
  <c r="BD50" i="14"/>
  <c r="AJ49" i="14"/>
  <c r="BG49" i="14"/>
  <c r="AM45" i="14"/>
  <c r="AM52" i="14"/>
  <c r="AK42" i="14"/>
  <c r="AK44" i="14"/>
  <c r="T7" i="43"/>
  <c r="S13" i="43"/>
  <c r="T1" i="43" s="1"/>
  <c r="T3" i="43"/>
  <c r="T6" i="43"/>
  <c r="T9" i="43"/>
  <c r="T2" i="43"/>
  <c r="T4" i="43"/>
  <c r="BD58" i="14"/>
  <c r="BA61" i="14"/>
  <c r="AN61" i="14"/>
  <c r="BE57" i="14"/>
  <c r="AJ61" i="14"/>
  <c r="BH57" i="14"/>
  <c r="AK60" i="14"/>
  <c r="AL61" i="14"/>
  <c r="BD61" i="14"/>
  <c r="AH61" i="14"/>
  <c r="BG58" i="14"/>
  <c r="AJ57" i="14"/>
  <c r="BH60" i="14"/>
  <c r="AN57" i="14"/>
  <c r="BA60" i="14"/>
  <c r="AG58" i="14"/>
  <c r="AG57" i="14"/>
  <c r="BF59" i="14"/>
  <c r="AM55" i="14"/>
  <c r="BB58" i="14"/>
  <c r="BB59" i="14"/>
  <c r="AN55" i="14"/>
  <c r="AN60" i="14"/>
  <c r="AN56" i="14"/>
  <c r="BA55" i="14"/>
  <c r="BE60" i="14"/>
  <c r="BG59" i="14"/>
  <c r="AL56" i="14"/>
  <c r="AM57" i="14"/>
  <c r="AK55" i="14"/>
  <c r="BD60" i="14"/>
  <c r="BH55" i="14"/>
  <c r="BH59" i="14"/>
  <c r="AN59" i="14"/>
  <c r="AN58" i="14"/>
  <c r="AG59" i="14"/>
  <c r="BD57" i="14"/>
  <c r="BB61" i="14"/>
  <c r="BF60" i="14"/>
  <c r="AK57" i="14"/>
  <c r="AM56" i="14"/>
  <c r="BG61" i="14"/>
  <c r="AL58" i="14"/>
  <c r="AG61" i="14"/>
  <c r="BA59" i="14"/>
  <c r="BE61" i="14"/>
  <c r="AH58" i="14"/>
  <c r="BG60" i="14"/>
  <c r="AL57" i="14"/>
  <c r="BE55" i="14"/>
  <c r="AK59" i="14"/>
  <c r="AM61" i="14"/>
  <c r="BG56" i="14"/>
  <c r="BB60" i="14"/>
  <c r="AG60" i="14"/>
  <c r="BA58" i="14"/>
  <c r="AG56" i="14"/>
  <c r="BH58" i="14"/>
  <c r="BA56" i="14"/>
  <c r="AJ56" i="14"/>
  <c r="BF61" i="14"/>
  <c r="AK58" i="14"/>
  <c r="BE59" i="14"/>
  <c r="BD56" i="14"/>
  <c r="AJ60" i="14"/>
  <c r="BG55" i="14"/>
  <c r="AM59" i="14"/>
  <c r="BG57" i="14"/>
  <c r="AM60" i="14"/>
  <c r="BA57" i="14"/>
  <c r="AJ58" i="14"/>
  <c r="AJ55" i="14"/>
  <c r="BD55" i="14"/>
  <c r="AL55" i="14"/>
  <c r="BB55" i="14"/>
  <c r="AH59" i="14"/>
  <c r="BB57" i="14"/>
  <c r="BF55" i="14"/>
  <c r="AM58" i="14"/>
  <c r="BF56" i="14"/>
  <c r="AL60" i="14"/>
  <c r="BE58" i="14"/>
  <c r="AH57" i="14"/>
  <c r="AH56" i="14"/>
  <c r="BF58" i="14"/>
  <c r="AG55" i="14"/>
  <c r="BH56" i="14"/>
  <c r="BH61" i="14"/>
  <c r="AJ59" i="14"/>
  <c r="AK56" i="14"/>
  <c r="BB56" i="14"/>
  <c r="AH60" i="14"/>
  <c r="BE56" i="14"/>
  <c r="AL59" i="14"/>
  <c r="BF57" i="14"/>
  <c r="AK61" i="14"/>
  <c r="BD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AP12" i="42" s="1"/>
  <c r="AP1" i="42" s="1"/>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X41" i="14" s="1"/>
  <c r="AL52" i="42"/>
  <c r="AL3" i="42" s="1"/>
  <c r="R3" i="42"/>
  <c r="AO61" i="42"/>
  <c r="AO3" i="42" s="1"/>
  <c r="U3" i="42"/>
  <c r="S52" i="42"/>
  <c r="AN52" i="42" s="1"/>
  <c r="U2" i="42"/>
  <c r="S87" i="42"/>
  <c r="AN87" i="42" s="1"/>
  <c r="S79" i="42"/>
  <c r="AN79" i="42" s="1"/>
  <c r="S71" i="42"/>
  <c r="AN71" i="42" s="1"/>
  <c r="S63" i="42"/>
  <c r="AN63" i="42" s="1"/>
  <c r="AK13" i="42"/>
  <c r="V41" i="14" s="1"/>
  <c r="R2" i="42"/>
  <c r="AL5" i="42"/>
  <c r="S92" i="42"/>
  <c r="AN92" i="42" s="1"/>
  <c r="S84" i="42"/>
  <c r="AN84" i="42" s="1"/>
  <c r="S76" i="42"/>
  <c r="AN76" i="42" s="1"/>
  <c r="S68" i="42"/>
  <c r="AN68" i="42" s="1"/>
  <c r="S60" i="42"/>
  <c r="AO59" i="42"/>
  <c r="AO4" i="42" s="1"/>
  <c r="U4" i="42"/>
  <c r="AO54" i="42"/>
  <c r="AO9" i="42" s="1"/>
  <c r="U9" i="42"/>
  <c r="R8" i="42"/>
  <c r="T6" i="42"/>
  <c r="G10" i="42"/>
  <c r="H10" i="42" s="1"/>
  <c r="J41" i="14" s="1"/>
  <c r="Z12" i="42"/>
  <c r="Z1" i="42" s="1"/>
  <c r="AO76" i="42"/>
  <c r="AO8" i="42" s="1"/>
  <c r="U8" i="42"/>
  <c r="AJ13" i="42"/>
  <c r="U41" i="14" s="1"/>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N4"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J42" i="14" s="1"/>
  <c r="S16" i="41"/>
  <c r="AK8" i="41"/>
  <c r="AJ9" i="41"/>
  <c r="AP94" i="41"/>
  <c r="AG94" i="41"/>
  <c r="AF94" i="41"/>
  <c r="AE94" i="41"/>
  <c r="AM94" i="41"/>
  <c r="AD94" i="41"/>
  <c r="AL94" i="41"/>
  <c r="AB94" i="41"/>
  <c r="AB12" i="41" s="1"/>
  <c r="AB1" i="41" s="1"/>
  <c r="AK94" i="41"/>
  <c r="AA94" i="41"/>
  <c r="AA12" i="41" s="1"/>
  <c r="AA1" i="41" s="1"/>
  <c r="AJ94" i="41"/>
  <c r="Z94" i="41"/>
  <c r="Z12" i="41" s="1"/>
  <c r="Z1" i="41" s="1"/>
  <c r="AH94" i="41"/>
  <c r="AH12" i="41" s="1"/>
  <c r="AH1" i="41" s="1"/>
  <c r="C9" i="41"/>
  <c r="C5" i="41"/>
  <c r="I10" i="41"/>
  <c r="C8" i="41"/>
  <c r="C4" i="41"/>
  <c r="F10" i="41"/>
  <c r="H42" i="14" s="1"/>
  <c r="C10" i="41"/>
  <c r="T3" i="41"/>
  <c r="AK3" i="41"/>
  <c r="AJ13" i="41"/>
  <c r="U42" i="14" s="1"/>
  <c r="AK7" i="41"/>
  <c r="AJ8" i="41"/>
  <c r="AL13" i="41"/>
  <c r="W42" i="14" s="1"/>
  <c r="T7" i="41"/>
  <c r="AN3" i="41"/>
  <c r="AM13" i="41"/>
  <c r="X42" i="14" s="1"/>
  <c r="S50" i="41"/>
  <c r="AN7" i="41"/>
  <c r="T4" i="41"/>
  <c r="AM8" i="41"/>
  <c r="AM10" i="41" s="1"/>
  <c r="AJ4" i="41"/>
  <c r="AK2" i="41"/>
  <c r="AN9" i="41"/>
  <c r="AK4" i="41"/>
  <c r="AJ5" i="41"/>
  <c r="T9" i="41"/>
  <c r="AK13" i="41"/>
  <c r="V42" i="14" s="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U43" i="14" s="1"/>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X43" i="14" s="1"/>
  <c r="S31" i="40"/>
  <c r="AN31" i="40" s="1"/>
  <c r="AO13" i="40"/>
  <c r="Z43" i="14" s="1"/>
  <c r="S26" i="40"/>
  <c r="AN26" i="40" s="1"/>
  <c r="AK13" i="40"/>
  <c r="V43" i="14" s="1"/>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H43" i="14" s="1"/>
  <c r="S23" i="40"/>
  <c r="S18" i="40"/>
  <c r="AN18" i="40" s="1"/>
  <c r="AF10" i="39"/>
  <c r="AJ5" i="39"/>
  <c r="AH10" i="39"/>
  <c r="AG10" i="39"/>
  <c r="AJ3" i="39"/>
  <c r="G10" i="39"/>
  <c r="H10" i="39" s="1"/>
  <c r="J44" i="14" s="1"/>
  <c r="AL9" i="39"/>
  <c r="AJ13" i="39"/>
  <c r="U44" i="14" s="1"/>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V44" i="14" s="1"/>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B94" i="39"/>
  <c r="AJ94" i="39"/>
  <c r="Z94" i="39"/>
  <c r="AH94" i="39"/>
  <c r="AK94" i="39"/>
  <c r="AA94" i="39"/>
  <c r="AA12" i="39" s="1"/>
  <c r="AA1" i="39" s="1"/>
  <c r="F10" i="39"/>
  <c r="H44" i="14" s="1"/>
  <c r="C10" i="39"/>
  <c r="C4" i="39"/>
  <c r="C9" i="39"/>
  <c r="C8" i="39"/>
  <c r="I10" i="39"/>
  <c r="C5" i="39"/>
  <c r="S67" i="39"/>
  <c r="AN67" i="39" s="1"/>
  <c r="AN7" i="39" s="1"/>
  <c r="C3" i="39"/>
  <c r="U6" i="39"/>
  <c r="AN58" i="39"/>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H45" i="14" s="1"/>
  <c r="C10" i="38"/>
  <c r="R4" i="38"/>
  <c r="S75" i="38"/>
  <c r="AN75" i="38" s="1"/>
  <c r="S92" i="38"/>
  <c r="AN92" i="38" s="1"/>
  <c r="AL92" i="38"/>
  <c r="S70" i="38"/>
  <c r="AN70" i="38" s="1"/>
  <c r="S52" i="38"/>
  <c r="AN52" i="38" s="1"/>
  <c r="AL56" i="38"/>
  <c r="R5" i="38"/>
  <c r="S85" i="38"/>
  <c r="AN85" i="38" s="1"/>
  <c r="AK5" i="38"/>
  <c r="R6" i="38"/>
  <c r="AN14" i="38"/>
  <c r="AO2" i="38"/>
  <c r="G10" i="38"/>
  <c r="H10" i="38" s="1"/>
  <c r="J45" i="14" s="1"/>
  <c r="AO56" i="38"/>
  <c r="AO5" i="38" s="1"/>
  <c r="U5" i="38"/>
  <c r="S58" i="38"/>
  <c r="AN58" i="38" s="1"/>
  <c r="AO4" i="38"/>
  <c r="AK3" i="38"/>
  <c r="AK2" i="38"/>
  <c r="R9" i="38"/>
  <c r="AO66" i="38"/>
  <c r="AO7" i="38" s="1"/>
  <c r="U7" i="38"/>
  <c r="S86" i="38"/>
  <c r="AN86" i="38" s="1"/>
  <c r="AK13" i="38"/>
  <c r="V45" i="14" s="1"/>
  <c r="S67" i="38"/>
  <c r="AN67" i="38" s="1"/>
  <c r="AN7" i="38" s="1"/>
  <c r="U8" i="38"/>
  <c r="U4" i="38"/>
  <c r="S83" i="38"/>
  <c r="AN83" i="38" s="1"/>
  <c r="U2" i="38"/>
  <c r="AK7" i="38"/>
  <c r="T7" i="38"/>
  <c r="AO55" i="38"/>
  <c r="AO9" i="38" s="1"/>
  <c r="U9" i="38"/>
  <c r="AL51" i="38"/>
  <c r="AL3" i="38" s="1"/>
  <c r="R3" i="38"/>
  <c r="S77" i="38"/>
  <c r="AN77" i="38" s="1"/>
  <c r="AJ13" i="38"/>
  <c r="U45" i="14" s="1"/>
  <c r="AM13" i="38"/>
  <c r="X45" i="14" s="1"/>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V46" i="14" s="1"/>
  <c r="AL13" i="37"/>
  <c r="W46" i="14" s="1"/>
  <c r="AK7" i="37"/>
  <c r="S13" i="37"/>
  <c r="T1" i="37" s="1"/>
  <c r="T7" i="37"/>
  <c r="C7" i="37"/>
  <c r="T8" i="37"/>
  <c r="H10" i="37"/>
  <c r="J46" i="14" s="1"/>
  <c r="AO94" i="37"/>
  <c r="AF94" i="37"/>
  <c r="AE94" i="37"/>
  <c r="AE12" i="37" s="1"/>
  <c r="AE1" i="37" s="1"/>
  <c r="AM94" i="37"/>
  <c r="AD94" i="37"/>
  <c r="AD12" i="37" s="1"/>
  <c r="AD1" i="37" s="1"/>
  <c r="AL94" i="37"/>
  <c r="AB94" i="37"/>
  <c r="AK94" i="37"/>
  <c r="AA94" i="37"/>
  <c r="AA12" i="37" s="1"/>
  <c r="AA1" i="37" s="1"/>
  <c r="AJ94" i="37"/>
  <c r="Z94" i="37"/>
  <c r="Z12" i="37" s="1"/>
  <c r="Z1" i="37" s="1"/>
  <c r="AH94" i="37"/>
  <c r="AP94" i="37"/>
  <c r="AG94" i="37"/>
  <c r="C10" i="37"/>
  <c r="C9" i="37"/>
  <c r="C5" i="37"/>
  <c r="F10" i="37"/>
  <c r="H46" i="14" s="1"/>
  <c r="I10" i="37"/>
  <c r="T3" i="37"/>
  <c r="AK5" i="37"/>
  <c r="C2" i="37"/>
  <c r="T6" i="37"/>
  <c r="C8" i="37"/>
  <c r="C4" i="37"/>
  <c r="AN7" i="37"/>
  <c r="AO6" i="36"/>
  <c r="G10" i="36"/>
  <c r="H10" i="36" s="1"/>
  <c r="J47" i="14" s="1"/>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J94" i="36"/>
  <c r="Z94" i="36"/>
  <c r="Z12" i="36" s="1"/>
  <c r="Z1" i="36" s="1"/>
  <c r="AH94" i="36"/>
  <c r="AP94" i="36"/>
  <c r="AG94" i="36"/>
  <c r="AG12" i="36" s="1"/>
  <c r="AG1" i="36" s="1"/>
  <c r="I10" i="36"/>
  <c r="F10" i="36"/>
  <c r="H47" i="14" s="1"/>
  <c r="C10" i="36"/>
  <c r="C5" i="36"/>
  <c r="C9" i="36"/>
  <c r="AL51" i="36"/>
  <c r="R3" i="36"/>
  <c r="S51" i="36"/>
  <c r="AM10" i="36"/>
  <c r="AJ13" i="36"/>
  <c r="U47" i="14" s="1"/>
  <c r="AK7" i="36"/>
  <c r="AK4" i="36"/>
  <c r="AK5" i="36"/>
  <c r="AK3" i="36"/>
  <c r="AK2" i="36"/>
  <c r="AJ10" i="36"/>
  <c r="AP13" i="36"/>
  <c r="AA47" i="14" s="1"/>
  <c r="AK13" i="36"/>
  <c r="V47" i="14" s="1"/>
  <c r="G10" i="35"/>
  <c r="H10" i="35" s="1"/>
  <c r="J48" i="14" s="1"/>
  <c r="AF10" i="35"/>
  <c r="AF12" i="35" s="1"/>
  <c r="AF1" i="35" s="1"/>
  <c r="AE10" i="35"/>
  <c r="AE12" i="35" s="1"/>
  <c r="AE1" i="35" s="1"/>
  <c r="AO4" i="35"/>
  <c r="AD12" i="35"/>
  <c r="AD1" i="35" s="1"/>
  <c r="AJ8" i="35"/>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U48" i="14" s="1"/>
  <c r="AL3" i="35"/>
  <c r="AJ5" i="35"/>
  <c r="S46" i="35"/>
  <c r="AN46" i="35" s="1"/>
  <c r="AN2" i="35" s="1"/>
  <c r="AA12" i="35"/>
  <c r="AA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V48" i="14" s="1"/>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N7" i="34" s="1"/>
  <c r="AO9" i="34"/>
  <c r="AL7" i="34"/>
  <c r="R7" i="34"/>
  <c r="Q13" i="34"/>
  <c r="R1" i="34" s="1"/>
  <c r="AK4" i="34"/>
  <c r="S40" i="34"/>
  <c r="AN40" i="34" s="1"/>
  <c r="S46" i="34"/>
  <c r="AN46" i="34" s="1"/>
  <c r="AM10" i="34"/>
  <c r="AK9" i="34"/>
  <c r="AK5" i="34"/>
  <c r="U2" i="34"/>
  <c r="AN31" i="34"/>
  <c r="AJ3" i="34"/>
  <c r="AO3" i="34"/>
  <c r="AO38" i="34"/>
  <c r="AO8" i="34" s="1"/>
  <c r="U8" i="34"/>
  <c r="AK8"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S24" i="34"/>
  <c r="AN24" i="34" s="1"/>
  <c r="R6" i="34"/>
  <c r="S47" i="34"/>
  <c r="AN47" i="34" s="1"/>
  <c r="H2" i="34"/>
  <c r="G10" i="34"/>
  <c r="H10" i="34" s="1"/>
  <c r="J49" i="14" s="1"/>
  <c r="AK6" i="34"/>
  <c r="S42" i="34"/>
  <c r="AN42" i="34" s="1"/>
  <c r="R8" i="34"/>
  <c r="AJ8" i="34"/>
  <c r="AJ13" i="34"/>
  <c r="U49" i="14" s="1"/>
  <c r="S22" i="34"/>
  <c r="AN22" i="34" s="1"/>
  <c r="T13" i="34"/>
  <c r="U1" i="34" s="1"/>
  <c r="AO14" i="34"/>
  <c r="T7" i="34"/>
  <c r="AP94" i="34"/>
  <c r="AG94" i="34"/>
  <c r="AF94" i="34"/>
  <c r="AF12" i="34" s="1"/>
  <c r="AF1" i="34" s="1"/>
  <c r="AE94" i="34"/>
  <c r="AE12" i="34" s="1"/>
  <c r="AE1" i="34" s="1"/>
  <c r="AB94" i="34"/>
  <c r="AB12" i="34" s="1"/>
  <c r="AB1" i="34" s="1"/>
  <c r="AK94" i="34"/>
  <c r="AA94" i="34"/>
  <c r="AJ94" i="34"/>
  <c r="Z94" i="34"/>
  <c r="Z12" i="34" s="1"/>
  <c r="Z1" i="34" s="1"/>
  <c r="AH94" i="34"/>
  <c r="AM94" i="34"/>
  <c r="AD94" i="34"/>
  <c r="AD12" i="34" s="1"/>
  <c r="AD1" i="34" s="1"/>
  <c r="F10" i="34"/>
  <c r="H49" i="14" s="1"/>
  <c r="C10" i="34"/>
  <c r="C9" i="34"/>
  <c r="C5" i="34"/>
  <c r="I10" i="34"/>
  <c r="C8" i="34"/>
  <c r="C4" i="34"/>
  <c r="S45" i="34"/>
  <c r="AJ6" i="34"/>
  <c r="T9" i="34"/>
  <c r="R5" i="34"/>
  <c r="AL31" i="34"/>
  <c r="AL5" i="34" s="1"/>
  <c r="S39" i="34"/>
  <c r="AN39" i="34" s="1"/>
  <c r="AK13" i="34"/>
  <c r="V49" i="14" s="1"/>
  <c r="AD10" i="33"/>
  <c r="AD12" i="33" s="1"/>
  <c r="AD1" i="33" s="1"/>
  <c r="AH10" i="33"/>
  <c r="AH12" i="33" s="1"/>
  <c r="AH1" i="33" s="1"/>
  <c r="AE10" i="33"/>
  <c r="AE12" i="33" s="1"/>
  <c r="AE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U50" i="14" s="1"/>
  <c r="AO33" i="33"/>
  <c r="AO6" i="33" s="1"/>
  <c r="U6" i="33"/>
  <c r="S53" i="33"/>
  <c r="AO9" i="33"/>
  <c r="H2" i="33"/>
  <c r="G10" i="33"/>
  <c r="H10" i="33" s="1"/>
  <c r="J50" i="14" s="1"/>
  <c r="AK13" i="33"/>
  <c r="V50" i="14" s="1"/>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U51" i="14" s="1"/>
  <c r="H10" i="32"/>
  <c r="J51" i="14" s="1"/>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H51" i="14" s="1"/>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X51" i="14" s="1"/>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V52" i="14" s="1"/>
  <c r="AP5" i="31"/>
  <c r="AP10" i="31" s="1"/>
  <c r="AO9" i="31"/>
  <c r="AO8" i="31"/>
  <c r="T2" i="31"/>
  <c r="AM13" i="31"/>
  <c r="X52" i="14" s="1"/>
  <c r="AK10" i="31"/>
  <c r="AL35" i="3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J52" i="14" s="1"/>
  <c r="AJ4" i="31"/>
  <c r="AJ13" i="31"/>
  <c r="U52" i="14" s="1"/>
  <c r="T13" i="31"/>
  <c r="U1" i="31" s="1"/>
  <c r="AO14" i="31"/>
  <c r="AN3" i="31"/>
  <c r="AN2" i="31"/>
  <c r="T3" i="31"/>
  <c r="U8" i="31"/>
  <c r="T9" i="31"/>
  <c r="AN14" i="31"/>
  <c r="S35" i="31"/>
  <c r="AN35" i="31" s="1"/>
  <c r="AP94" i="31"/>
  <c r="AG94" i="31"/>
  <c r="AE94" i="31"/>
  <c r="AM94" i="31"/>
  <c r="AD94" i="31"/>
  <c r="AB94" i="31"/>
  <c r="AK94" i="31"/>
  <c r="AA94" i="31"/>
  <c r="AA12" i="31" s="1"/>
  <c r="AA1" i="31" s="1"/>
  <c r="AJ94" i="31"/>
  <c r="Z94" i="31"/>
  <c r="Z12" i="31" s="1"/>
  <c r="Z1" i="31" s="1"/>
  <c r="AH94" i="31"/>
  <c r="AF94" i="31"/>
  <c r="AF12" i="31" s="1"/>
  <c r="AF1" i="31" s="1"/>
  <c r="F10" i="31"/>
  <c r="H52" i="14" s="1"/>
  <c r="C10" i="31"/>
  <c r="I10" i="31"/>
  <c r="C2" i="31"/>
  <c r="C6" i="31"/>
  <c r="C4" i="31"/>
  <c r="AJ9" i="31"/>
  <c r="AH10" i="30"/>
  <c r="AL4" i="30"/>
  <c r="G10" i="30"/>
  <c r="H10" i="30" s="1"/>
  <c r="J53" i="14"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V53" i="14" s="1"/>
  <c r="AN6" i="30"/>
  <c r="AM9" i="30"/>
  <c r="AK7" i="30"/>
  <c r="AK3" i="30"/>
  <c r="AJ9" i="30"/>
  <c r="AM13" i="30"/>
  <c r="X53" i="14" s="1"/>
  <c r="AJ8" i="30"/>
  <c r="AN14" i="30"/>
  <c r="T3" i="30"/>
  <c r="AJ2" i="30"/>
  <c r="AL13" i="30"/>
  <c r="W53" i="14" s="1"/>
  <c r="AK2" i="30"/>
  <c r="AP94" i="30"/>
  <c r="AG94" i="30"/>
  <c r="AF94" i="30"/>
  <c r="AE94" i="30"/>
  <c r="AE12" i="30" s="1"/>
  <c r="AE1" i="30" s="1"/>
  <c r="AM94" i="30"/>
  <c r="AD94" i="30"/>
  <c r="AD12" i="30" s="1"/>
  <c r="AD1" i="30" s="1"/>
  <c r="AL94" i="30"/>
  <c r="AB94" i="30"/>
  <c r="AB12" i="30" s="1"/>
  <c r="AB1" i="30" s="1"/>
  <c r="AK94" i="30"/>
  <c r="AA94" i="30"/>
  <c r="AJ94" i="30"/>
  <c r="Z94" i="30"/>
  <c r="AH94" i="30"/>
  <c r="I10" i="30"/>
  <c r="C8" i="30"/>
  <c r="C7" i="30"/>
  <c r="C3" i="30"/>
  <c r="F10" i="30"/>
  <c r="H53" i="14" s="1"/>
  <c r="C4" i="30"/>
  <c r="C10" i="30"/>
  <c r="C9" i="30"/>
  <c r="C5" i="30"/>
  <c r="AM7" i="30"/>
  <c r="AJ7" i="30"/>
  <c r="AJ4" i="30"/>
  <c r="Q13" i="30"/>
  <c r="R1" i="30" s="1"/>
  <c r="C2" i="30"/>
  <c r="AK8" i="30"/>
  <c r="AJ5" i="30"/>
  <c r="AN3" i="30"/>
  <c r="AK9" i="30"/>
  <c r="T6" i="30"/>
  <c r="T9" i="30"/>
  <c r="AJ3" i="30"/>
  <c r="T8" i="30"/>
  <c r="AJ13" i="30"/>
  <c r="U53" i="14" s="1"/>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54" i="14" s="1"/>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H54" i="14" s="1"/>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V54" i="14" s="1"/>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U56" i="14" s="1"/>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J56" i="14" s="1"/>
  <c r="R3" i="27"/>
  <c r="S15" i="27"/>
  <c r="S20" i="27"/>
  <c r="T13" i="27"/>
  <c r="U1" i="27" s="1"/>
  <c r="AO14" i="27"/>
  <c r="AK2" i="27"/>
  <c r="AL32" i="27"/>
  <c r="AL5" i="27" s="1"/>
  <c r="S32" i="27"/>
  <c r="AN32" i="27" s="1"/>
  <c r="AJ9" i="27"/>
  <c r="U8" i="27"/>
  <c r="AK13" i="27"/>
  <c r="V56" i="14" s="1"/>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H94" i="26"/>
  <c r="Z94" i="26"/>
  <c r="I10" i="26"/>
  <c r="C4" i="26"/>
  <c r="C7" i="26"/>
  <c r="C3" i="26"/>
  <c r="F10" i="26"/>
  <c r="H57" i="14" s="1"/>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X58" i="14" s="1"/>
  <c r="U2" i="25"/>
  <c r="Q13" i="25"/>
  <c r="R1" i="25" s="1"/>
  <c r="AE10" i="25"/>
  <c r="U8" i="25"/>
  <c r="AO27" i="25"/>
  <c r="AO8" i="25" s="1"/>
  <c r="AJ3" i="25"/>
  <c r="R7" i="25"/>
  <c r="S74" i="25"/>
  <c r="AN74" i="25" s="1"/>
  <c r="AN7" i="25" s="1"/>
  <c r="AN4" i="25"/>
  <c r="G10" i="25"/>
  <c r="H10" i="25" s="1"/>
  <c r="J58" i="14" s="1"/>
  <c r="AM7" i="25"/>
  <c r="AM8" i="25"/>
  <c r="AD10" i="25"/>
  <c r="AK2" i="25"/>
  <c r="AK8" i="25"/>
  <c r="AK9" i="25"/>
  <c r="AK3" i="25"/>
  <c r="AK5" i="25"/>
  <c r="T4" i="25"/>
  <c r="AJ13" i="25"/>
  <c r="U58" i="14" s="1"/>
  <c r="T7" i="25"/>
  <c r="AP94" i="25"/>
  <c r="AP12" i="25" s="1"/>
  <c r="AP1" i="25" s="1"/>
  <c r="AO94" i="25"/>
  <c r="AF94" i="25"/>
  <c r="AB94" i="25"/>
  <c r="AK94" i="25"/>
  <c r="AA94" i="25"/>
  <c r="AJ94" i="25"/>
  <c r="Z94" i="25"/>
  <c r="Z12" i="25" s="1"/>
  <c r="Z1" i="25" s="1"/>
  <c r="AH94" i="25"/>
  <c r="AH12" i="25" s="1"/>
  <c r="AH1" i="25" s="1"/>
  <c r="AM94" i="25"/>
  <c r="AG94" i="25"/>
  <c r="AG12" i="25" s="1"/>
  <c r="AG1" i="25" s="1"/>
  <c r="F10" i="25"/>
  <c r="H58" i="14" s="1"/>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V58" i="14" s="1"/>
  <c r="AJ2" i="25"/>
  <c r="AL13" i="25"/>
  <c r="W58" i="14" s="1"/>
  <c r="R6" i="25"/>
  <c r="AO13" i="25"/>
  <c r="Z58" i="14" s="1"/>
  <c r="AO2" i="24"/>
  <c r="Z12" i="24"/>
  <c r="Z1" i="24" s="1"/>
  <c r="AO5" i="24"/>
  <c r="Z10" i="24"/>
  <c r="AG10" i="24"/>
  <c r="AG12" i="24" s="1"/>
  <c r="AG1" i="24" s="1"/>
  <c r="AL4" i="24"/>
  <c r="AL34" i="24"/>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J59" i="14" s="1"/>
  <c r="H2" i="24"/>
  <c r="AK10" i="24"/>
  <c r="AO94" i="24"/>
  <c r="AO13" i="24"/>
  <c r="Z59" i="14" s="1"/>
  <c r="T9" i="24"/>
  <c r="T8" i="24"/>
  <c r="T2" i="24"/>
  <c r="AN14" i="24"/>
  <c r="AK13" i="24"/>
  <c r="V59" i="14" s="1"/>
  <c r="AK94" i="24"/>
  <c r="AL9" i="23"/>
  <c r="AE10" i="23"/>
  <c r="AO7" i="23"/>
  <c r="Z10" i="23"/>
  <c r="AH10" i="23"/>
  <c r="AO9" i="23"/>
  <c r="G10" i="23"/>
  <c r="H10" i="23" s="1"/>
  <c r="J60" i="14" s="1"/>
  <c r="H2" i="23"/>
  <c r="AG10" i="23"/>
  <c r="AD10" i="23"/>
  <c r="AO5" i="23"/>
  <c r="AJ10" i="23"/>
  <c r="AL4" i="23"/>
  <c r="AL7" i="23"/>
  <c r="S72" i="23"/>
  <c r="AN72" i="23" s="1"/>
  <c r="AN9" i="23" s="1"/>
  <c r="U2" i="23"/>
  <c r="U9" i="23"/>
  <c r="S64" i="23"/>
  <c r="AN64" i="23" s="1"/>
  <c r="S43" i="23"/>
  <c r="AN43"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V60" i="14" s="1"/>
  <c r="U4" i="23"/>
  <c r="AO27" i="23"/>
  <c r="AO8" i="23" s="1"/>
  <c r="U8" i="23"/>
  <c r="Q13" i="23"/>
  <c r="R1" i="23" s="1"/>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J94" i="23"/>
  <c r="AJ12" i="23" s="1"/>
  <c r="AJ1" i="23" s="1"/>
  <c r="Z94" i="23"/>
  <c r="AH94" i="23"/>
  <c r="AP94" i="23"/>
  <c r="AP12" i="23" s="1"/>
  <c r="AP1" i="23" s="1"/>
  <c r="I10" i="23"/>
  <c r="C8" i="23"/>
  <c r="C4" i="23"/>
  <c r="AG94" i="23"/>
  <c r="AF94" i="23"/>
  <c r="F10" i="23"/>
  <c r="H60" i="14" s="1"/>
  <c r="C6" i="23"/>
  <c r="C10" i="23"/>
  <c r="C2" i="23"/>
  <c r="T8"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J61" i="14" s="1"/>
  <c r="AO27" i="22"/>
  <c r="AO8" i="22" s="1"/>
  <c r="U8" i="22"/>
  <c r="S44" i="22"/>
  <c r="AN44" i="22" s="1"/>
  <c r="AL44" i="22"/>
  <c r="S21" i="22"/>
  <c r="AN21" i="22" s="1"/>
  <c r="U6" i="22"/>
  <c r="U2" i="22"/>
  <c r="AP94" i="22"/>
  <c r="AG94" i="22"/>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BJ57" i="14" l="1"/>
  <c r="AP60" i="14"/>
  <c r="BJ55" i="14"/>
  <c r="AS55" i="14"/>
  <c r="AG12" i="41"/>
  <c r="AG1" i="41" s="1"/>
  <c r="AG12" i="22"/>
  <c r="AG1" i="22" s="1"/>
  <c r="AB12" i="37"/>
  <c r="AB1" i="37" s="1"/>
  <c r="AP12" i="38"/>
  <c r="AP1" i="38" s="1"/>
  <c r="Z12" i="30"/>
  <c r="Z1" i="30" s="1"/>
  <c r="AJ12" i="26"/>
  <c r="AJ1" i="26" s="1"/>
  <c r="AG12" i="34"/>
  <c r="AG1" i="34" s="1"/>
  <c r="AD12" i="41"/>
  <c r="AD1" i="41" s="1"/>
  <c r="AG12" i="23"/>
  <c r="AG1" i="23" s="1"/>
  <c r="AA12" i="23"/>
  <c r="AA1" i="23" s="1"/>
  <c r="AN7" i="23"/>
  <c r="AA12" i="34"/>
  <c r="AA1" i="34" s="1"/>
  <c r="AP55" i="14"/>
  <c r="AM12" i="37"/>
  <c r="AM1" i="37" s="1"/>
  <c r="BM41" i="14"/>
  <c r="BM47" i="14"/>
  <c r="AS47" i="14"/>
  <c r="AS54" i="14"/>
  <c r="AS49" i="14"/>
  <c r="AS48" i="14"/>
  <c r="BM43" i="14"/>
  <c r="BM42" i="14"/>
  <c r="AS53" i="14"/>
  <c r="AS45" i="14"/>
  <c r="AS43" i="14"/>
  <c r="BM50" i="14"/>
  <c r="AS50" i="14"/>
  <c r="BM52" i="14"/>
  <c r="AS42" i="14"/>
  <c r="BM44" i="14"/>
  <c r="AS51" i="14"/>
  <c r="AS52" i="14"/>
  <c r="AS46" i="14"/>
  <c r="BM49" i="14"/>
  <c r="BM54" i="14"/>
  <c r="BM46" i="14"/>
  <c r="AS41" i="14"/>
  <c r="BM53" i="14"/>
  <c r="BM48" i="14"/>
  <c r="AS44" i="14"/>
  <c r="BM51" i="14"/>
  <c r="BM45" i="14"/>
  <c r="BM55" i="14"/>
  <c r="AP57" i="14"/>
  <c r="AL13" i="24"/>
  <c r="W59" i="14" s="1"/>
  <c r="BM56" i="14"/>
  <c r="BJ59" i="14"/>
  <c r="BM61" i="14"/>
  <c r="AN4" i="24"/>
  <c r="BJ48" i="14"/>
  <c r="AP53" i="14"/>
  <c r="BJ43" i="14"/>
  <c r="AP44" i="14"/>
  <c r="BJ54" i="14"/>
  <c r="BJ42" i="14"/>
  <c r="BJ49" i="14"/>
  <c r="AP43" i="14"/>
  <c r="AP47" i="14"/>
  <c r="BJ46" i="14"/>
  <c r="AP54" i="14"/>
  <c r="AP50" i="14"/>
  <c r="BJ50" i="14"/>
  <c r="AP49" i="14"/>
  <c r="AP48" i="14"/>
  <c r="AP52" i="14"/>
  <c r="AP46" i="14"/>
  <c r="AP51" i="14"/>
  <c r="BJ51" i="14"/>
  <c r="AP42" i="14"/>
  <c r="AP41" i="14"/>
  <c r="BJ45" i="14"/>
  <c r="BJ44" i="14"/>
  <c r="BJ52" i="14"/>
  <c r="BJ41" i="14"/>
  <c r="AP45" i="14"/>
  <c r="BJ53" i="14"/>
  <c r="BJ47" i="14"/>
  <c r="BJ58" i="14"/>
  <c r="BJ56" i="14"/>
  <c r="BM60" i="14"/>
  <c r="BM58" i="14"/>
  <c r="AA12" i="25"/>
  <c r="AA1" i="25" s="1"/>
  <c r="AL4" i="34"/>
  <c r="BM59" i="14"/>
  <c r="AS58" i="14"/>
  <c r="BJ60" i="14"/>
  <c r="AA12" i="30"/>
  <c r="AA1" i="30" s="1"/>
  <c r="AG12" i="30"/>
  <c r="AG1" i="30" s="1"/>
  <c r="AB12" i="31"/>
  <c r="AB1" i="31" s="1"/>
  <c r="AL94" i="31"/>
  <c r="AP12" i="34"/>
  <c r="AP1" i="34" s="1"/>
  <c r="AA12" i="36"/>
  <c r="AA1" i="36" s="1"/>
  <c r="AN2" i="39"/>
  <c r="AQ48" i="14"/>
  <c r="AQ49" i="14"/>
  <c r="AQ53" i="14"/>
  <c r="BK46" i="14"/>
  <c r="BK49" i="14"/>
  <c r="BK41" i="14"/>
  <c r="BK53" i="14"/>
  <c r="AQ52" i="14"/>
  <c r="AQ42" i="14"/>
  <c r="AQ43" i="14"/>
  <c r="AQ45" i="14"/>
  <c r="BK52" i="14"/>
  <c r="AQ44" i="14"/>
  <c r="BK44" i="14"/>
  <c r="AQ54" i="14"/>
  <c r="AQ47" i="14"/>
  <c r="BK42" i="14"/>
  <c r="AQ46" i="14"/>
  <c r="BK47" i="14"/>
  <c r="BK43" i="14"/>
  <c r="BK48" i="14"/>
  <c r="AQ51" i="14"/>
  <c r="AQ50" i="14"/>
  <c r="AQ41" i="14"/>
  <c r="BK54" i="14"/>
  <c r="BK45" i="14"/>
  <c r="BK51" i="14"/>
  <c r="BK50" i="14"/>
  <c r="AS59" i="14"/>
  <c r="AS61" i="14"/>
  <c r="AS57" i="14"/>
  <c r="BM57" i="14"/>
  <c r="AS56" i="14"/>
  <c r="AD12" i="39"/>
  <c r="AD1" i="39" s="1"/>
  <c r="AP59" i="14"/>
  <c r="AP58" i="14"/>
  <c r="AS60" i="14"/>
  <c r="AP56" i="14"/>
  <c r="AE12" i="32"/>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P47" i="14"/>
  <c r="AE12" i="26"/>
  <c r="AE1" i="26" s="1"/>
  <c r="AF12" i="32"/>
  <c r="AF1" i="32" s="1"/>
  <c r="AV52" i="14"/>
  <c r="BP50" i="14"/>
  <c r="AJ10" i="35"/>
  <c r="AH12" i="37"/>
  <c r="AH1" i="37" s="1"/>
  <c r="BP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P51" i="14"/>
  <c r="AV47" i="14"/>
  <c r="BP49" i="14"/>
  <c r="AE12" i="23"/>
  <c r="AE1" i="23" s="1"/>
  <c r="AF12" i="25"/>
  <c r="AF1" i="25" s="1"/>
  <c r="AH12" i="30"/>
  <c r="AH1" i="30" s="1"/>
  <c r="AV51" i="14"/>
  <c r="AA12" i="22"/>
  <c r="AA1" i="22" s="1"/>
  <c r="AE12" i="22"/>
  <c r="AE1" i="22" s="1"/>
  <c r="Z12" i="23"/>
  <c r="Z1" i="23" s="1"/>
  <c r="AL10" i="37"/>
  <c r="AO10" i="37"/>
  <c r="AH12" i="38"/>
  <c r="AH1" i="38" s="1"/>
  <c r="AO13" i="41"/>
  <c r="Z42" i="14" s="1"/>
  <c r="AV53" i="14"/>
  <c r="AV48" i="14"/>
  <c r="BP53" i="14"/>
  <c r="AO94" i="34"/>
  <c r="AB12" i="39"/>
  <c r="AB1" i="39" s="1"/>
  <c r="BP48" i="14"/>
  <c r="BP52" i="14"/>
  <c r="AV50" i="14"/>
  <c r="AP61" i="14"/>
  <c r="AV61" i="14"/>
  <c r="BP57" i="14"/>
  <c r="AV59" i="14"/>
  <c r="BP55" i="14"/>
  <c r="AV58" i="14"/>
  <c r="BP60" i="14"/>
  <c r="BP61" i="14"/>
  <c r="AV55" i="14"/>
  <c r="AV60" i="14"/>
  <c r="BP59" i="14"/>
  <c r="BP58" i="14"/>
  <c r="BP56" i="14"/>
  <c r="AV56" i="14"/>
  <c r="AV57" i="14"/>
  <c r="BK55" i="14"/>
  <c r="AQ56" i="14"/>
  <c r="BK58" i="14"/>
  <c r="AQ59" i="14"/>
  <c r="BK59" i="14"/>
  <c r="AQ60" i="14"/>
  <c r="BK60" i="14"/>
  <c r="AQ55" i="14"/>
  <c r="BK61" i="14"/>
  <c r="AQ61" i="14"/>
  <c r="AQ57" i="14"/>
  <c r="BK57" i="14"/>
  <c r="BK56" i="14"/>
  <c r="AQ58" i="14"/>
  <c r="BJ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O12" i="40" s="1"/>
  <c r="AO1" i="40" s="1"/>
  <c r="AL9" i="40"/>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AK12" i="39" s="1"/>
  <c r="AK1" i="39" s="1"/>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47" i="14"/>
  <c r="A59" i="14"/>
  <c r="B61" i="14"/>
  <c r="B59" i="14"/>
  <c r="B54" i="14"/>
  <c r="A54" i="14"/>
  <c r="A61" i="14"/>
  <c r="A52" i="14"/>
  <c r="B52" i="14"/>
  <c r="B47" i="14"/>
  <c r="F58" i="14" l="1"/>
  <c r="F53" i="14"/>
  <c r="F46" i="14"/>
  <c r="AO12" i="27"/>
  <c r="AO1" i="27" s="1"/>
  <c r="AL12" i="36"/>
  <c r="AL1" i="36" s="1"/>
  <c r="AL10" i="24"/>
  <c r="AL12" i="34"/>
  <c r="AL1" i="34" s="1"/>
  <c r="F51" i="14"/>
  <c r="AN10" i="30"/>
  <c r="AN12" i="30" s="1"/>
  <c r="AN1" i="30" s="1"/>
  <c r="AL12" i="39"/>
  <c r="AL1" i="39" s="1"/>
  <c r="AO12" i="26"/>
  <c r="AO1" i="26" s="1"/>
  <c r="AL12" i="42"/>
  <c r="AL1" i="42" s="1"/>
  <c r="BL41" i="14"/>
  <c r="AR45" i="14"/>
  <c r="AR48" i="14"/>
  <c r="AR42" i="14"/>
  <c r="BL43" i="14"/>
  <c r="AR44" i="14"/>
  <c r="BL48" i="14"/>
  <c r="BL49" i="14"/>
  <c r="AR52" i="14"/>
  <c r="AR43" i="14"/>
  <c r="AR53" i="14"/>
  <c r="AR46" i="14"/>
  <c r="BL45" i="14"/>
  <c r="BL51" i="14"/>
  <c r="BL42" i="14"/>
  <c r="BL52" i="14"/>
  <c r="AR51" i="14"/>
  <c r="BL54" i="14"/>
  <c r="BL47" i="14"/>
  <c r="AR41" i="14"/>
  <c r="AR50" i="14"/>
  <c r="AR49" i="14"/>
  <c r="BL53" i="14"/>
  <c r="BL46" i="14"/>
  <c r="AR54" i="14"/>
  <c r="AR47" i="14"/>
  <c r="BL44" i="14"/>
  <c r="BL50" i="14"/>
  <c r="AO12" i="23"/>
  <c r="AO1" i="23" s="1"/>
  <c r="AU41" i="14"/>
  <c r="BO41" i="14"/>
  <c r="AU42" i="14"/>
  <c r="AU43" i="14"/>
  <c r="BO47" i="14"/>
  <c r="BO48" i="14"/>
  <c r="AU48" i="14"/>
  <c r="AU54" i="14"/>
  <c r="AU47" i="14"/>
  <c r="BO51" i="14"/>
  <c r="BO43" i="14"/>
  <c r="AU52" i="14"/>
  <c r="AU44" i="14"/>
  <c r="BO44" i="14"/>
  <c r="BO50" i="14"/>
  <c r="BO53" i="14"/>
  <c r="AU53" i="14"/>
  <c r="AU46" i="14"/>
  <c r="BO42" i="14"/>
  <c r="AU49" i="14"/>
  <c r="BO46" i="14"/>
  <c r="AU45" i="14"/>
  <c r="BO54" i="14"/>
  <c r="BO52" i="14"/>
  <c r="AU51" i="14"/>
  <c r="AU50" i="14"/>
  <c r="BO45" i="14"/>
  <c r="BO49" i="14"/>
  <c r="F60" i="14"/>
  <c r="AO12" i="30"/>
  <c r="AO1" i="30" s="1"/>
  <c r="AO12" i="34"/>
  <c r="AO1" i="34" s="1"/>
  <c r="BL56" i="14"/>
  <c r="BL57" i="14"/>
  <c r="AR60" i="14"/>
  <c r="AR57" i="14"/>
  <c r="BL61" i="14"/>
  <c r="AR61" i="14"/>
  <c r="AR59" i="14"/>
  <c r="AR58" i="14"/>
  <c r="BL55" i="14"/>
  <c r="BL59" i="14"/>
  <c r="BL60" i="14"/>
  <c r="AR55" i="14"/>
  <c r="AR56" i="14"/>
  <c r="BL58" i="14"/>
  <c r="BO61" i="14"/>
  <c r="AU57" i="14"/>
  <c r="AU60" i="14"/>
  <c r="BO56" i="14"/>
  <c r="BO55" i="14"/>
  <c r="BO58" i="14"/>
  <c r="BO59" i="14"/>
  <c r="AU59" i="14"/>
  <c r="AU56" i="14"/>
  <c r="AU58" i="14"/>
  <c r="BO60" i="14"/>
  <c r="AU55" i="14"/>
  <c r="AU61" i="14"/>
  <c r="BO57" i="14"/>
  <c r="AO12" i="42"/>
  <c r="AO1" i="42" s="1"/>
  <c r="AN2" i="42"/>
  <c r="AN10" i="42" s="1"/>
  <c r="AN13" i="42"/>
  <c r="Y41" i="14" s="1"/>
  <c r="AN94" i="42"/>
  <c r="AN10" i="41"/>
  <c r="AN94" i="41"/>
  <c r="AN13" i="41"/>
  <c r="Y42" i="14" s="1"/>
  <c r="AN13" i="40"/>
  <c r="Y43" i="14" s="1"/>
  <c r="AN5" i="40"/>
  <c r="AN10" i="40" s="1"/>
  <c r="AN94" i="40"/>
  <c r="AL10" i="40"/>
  <c r="AL12" i="40" s="1"/>
  <c r="AL1" i="40" s="1"/>
  <c r="AO12" i="39"/>
  <c r="AO1" i="39" s="1"/>
  <c r="AN10" i="39"/>
  <c r="AN13" i="39"/>
  <c r="Y44" i="14" s="1"/>
  <c r="AN94" i="39"/>
  <c r="AO12" i="38"/>
  <c r="AO1" i="38" s="1"/>
  <c r="AN10" i="38"/>
  <c r="AL10" i="38"/>
  <c r="AL12" i="38" s="1"/>
  <c r="AL1" i="38" s="1"/>
  <c r="AN13" i="38"/>
  <c r="Y45" i="14" s="1"/>
  <c r="AN94" i="38"/>
  <c r="AN10" i="37"/>
  <c r="AN12" i="37" s="1"/>
  <c r="AN1" i="37" s="1"/>
  <c r="AN3" i="36"/>
  <c r="AN10" i="36" s="1"/>
  <c r="AN94" i="36"/>
  <c r="AN13" i="36"/>
  <c r="Y47" i="14" s="1"/>
  <c r="AN10" i="35"/>
  <c r="AN94" i="35"/>
  <c r="AN13" i="35"/>
  <c r="Y48" i="14" s="1"/>
  <c r="AL12" i="35"/>
  <c r="AL1" i="35" s="1"/>
  <c r="AO12" i="35"/>
  <c r="AO1" i="35" s="1"/>
  <c r="AN4" i="34"/>
  <c r="AN10" i="34" s="1"/>
  <c r="AN94" i="34"/>
  <c r="AN13" i="34"/>
  <c r="Y49" i="14" s="1"/>
  <c r="AL12" i="33"/>
  <c r="AL1" i="33" s="1"/>
  <c r="AN10" i="33"/>
  <c r="AN94" i="33"/>
  <c r="AN13" i="33"/>
  <c r="Y50" i="14" s="1"/>
  <c r="AO12" i="32"/>
  <c r="AO1" i="32" s="1"/>
  <c r="AN10" i="32"/>
  <c r="AN12" i="32" s="1"/>
  <c r="AN1" i="32" s="1"/>
  <c r="AL12" i="32"/>
  <c r="AL1" i="32" s="1"/>
  <c r="AN94" i="31"/>
  <c r="AN10" i="31"/>
  <c r="AN13" i="31"/>
  <c r="Y52" i="14" s="1"/>
  <c r="AO12" i="31"/>
  <c r="AO1" i="31" s="1"/>
  <c r="AO12" i="29"/>
  <c r="AO1" i="29" s="1"/>
  <c r="AL12" i="29"/>
  <c r="AL1" i="29" s="1"/>
  <c r="AN94" i="29"/>
  <c r="AN10" i="29"/>
  <c r="AN13" i="29"/>
  <c r="Y54" i="14" s="1"/>
  <c r="AN10" i="28"/>
  <c r="AL12" i="28"/>
  <c r="AL1" i="28" s="1"/>
  <c r="AN94" i="28"/>
  <c r="AN13" i="28"/>
  <c r="Y55" i="14" s="1"/>
  <c r="AN10" i="27"/>
  <c r="AN94" i="27"/>
  <c r="AL12" i="27"/>
  <c r="AL1" i="27" s="1"/>
  <c r="AN13" i="27"/>
  <c r="Y56" i="14" s="1"/>
  <c r="AL12" i="26"/>
  <c r="AL1" i="26" s="1"/>
  <c r="AN13" i="26"/>
  <c r="Y57" i="14" s="1"/>
  <c r="AN9" i="26"/>
  <c r="AN10" i="26" s="1"/>
  <c r="AN94" i="26"/>
  <c r="AN6" i="25"/>
  <c r="AN10" i="25" s="1"/>
  <c r="AN94" i="25"/>
  <c r="AN94" i="24"/>
  <c r="AN12" i="24" s="1"/>
  <c r="AN1" i="24" s="1"/>
  <c r="AN13" i="24"/>
  <c r="Y59" i="14" s="1"/>
  <c r="AL12" i="24"/>
  <c r="AL1" i="24" s="1"/>
  <c r="AL12" i="23"/>
  <c r="AL1" i="23" s="1"/>
  <c r="AN12" i="23"/>
  <c r="AN1" i="23" s="1"/>
  <c r="AL10" i="22"/>
  <c r="AL12" i="22" s="1"/>
  <c r="AL1" i="22" s="1"/>
  <c r="AO12" i="22"/>
  <c r="AO1" i="22" s="1"/>
  <c r="AN10" i="22"/>
  <c r="AN13" i="22"/>
  <c r="Y61" i="14" s="1"/>
  <c r="AN94" i="22"/>
  <c r="B49" i="14"/>
  <c r="B56" i="14"/>
  <c r="A51" i="14"/>
  <c r="B58" i="14"/>
  <c r="B57" i="14"/>
  <c r="A56" i="14"/>
  <c r="A53" i="14"/>
  <c r="B43" i="14"/>
  <c r="B53" i="14"/>
  <c r="A49" i="14"/>
  <c r="A50" i="14"/>
  <c r="B55" i="14"/>
  <c r="B46" i="14"/>
  <c r="A48" i="14"/>
  <c r="B50" i="14"/>
  <c r="A60" i="14"/>
  <c r="A45" i="14"/>
  <c r="B45" i="14"/>
  <c r="A46" i="14"/>
  <c r="B51" i="14"/>
  <c r="A55" i="14"/>
  <c r="B42" i="14"/>
  <c r="A57" i="14"/>
  <c r="B48" i="14"/>
  <c r="A44" i="14"/>
  <c r="B44" i="14"/>
  <c r="A43" i="14"/>
  <c r="B60" i="14"/>
  <c r="A58" i="14"/>
  <c r="A42" i="14"/>
  <c r="F50" i="14" l="1"/>
  <c r="F44" i="14"/>
  <c r="F42" i="14"/>
  <c r="F48" i="14"/>
  <c r="F57" i="14"/>
  <c r="F52" i="14"/>
  <c r="F61" i="14"/>
  <c r="F45" i="14"/>
  <c r="F59" i="14"/>
  <c r="F56" i="14"/>
  <c r="F54" i="14"/>
  <c r="F49" i="14"/>
  <c r="F47" i="14"/>
  <c r="F43" i="14"/>
  <c r="AN12" i="22"/>
  <c r="AN1" i="22" s="1"/>
  <c r="F41" i="14"/>
  <c r="AN12" i="38"/>
  <c r="AN1" i="38" s="1"/>
  <c r="AN12" i="35"/>
  <c r="AN1" i="35" s="1"/>
  <c r="AT41" i="14"/>
  <c r="BN44" i="14"/>
  <c r="BN41" i="14"/>
  <c r="AT43" i="14"/>
  <c r="AT51" i="14"/>
  <c r="BN51" i="14"/>
  <c r="BN49" i="14"/>
  <c r="AT42" i="14"/>
  <c r="AT54" i="14"/>
  <c r="AT47" i="14"/>
  <c r="BN43" i="14"/>
  <c r="BN54" i="14"/>
  <c r="AT50" i="14"/>
  <c r="BN47" i="14"/>
  <c r="BN53" i="14"/>
  <c r="BN48" i="14"/>
  <c r="AT49" i="14"/>
  <c r="BN52" i="14"/>
  <c r="AT44" i="14"/>
  <c r="BN45" i="14"/>
  <c r="AT52" i="14"/>
  <c r="BN42" i="14"/>
  <c r="BN46" i="14"/>
  <c r="AT46" i="14"/>
  <c r="BN50" i="14"/>
  <c r="AT48" i="14"/>
  <c r="AT45" i="14"/>
  <c r="AT53" i="14"/>
  <c r="F55" i="14"/>
  <c r="BN56" i="14"/>
  <c r="BN57" i="14"/>
  <c r="AT56" i="14"/>
  <c r="BN55" i="14"/>
  <c r="AT60" i="14"/>
  <c r="AT58" i="14"/>
  <c r="AT59" i="14"/>
  <c r="BN60" i="14"/>
  <c r="AT55" i="14"/>
  <c r="AT61" i="14"/>
  <c r="AT57" i="14"/>
  <c r="BN61" i="14"/>
  <c r="BN58" i="14"/>
  <c r="BN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AP14" i="15"/>
  <c r="AP15" i="15"/>
  <c r="AP16" i="15"/>
  <c r="AP17" i="15"/>
  <c r="AP18" i="15"/>
  <c r="AP19" i="15"/>
  <c r="AP20" i="15"/>
  <c r="AP21" i="15"/>
  <c r="AP22" i="15"/>
  <c r="AP23" i="15"/>
  <c r="AP3" i="15" s="1"/>
  <c r="AP24" i="15"/>
  <c r="AP25" i="15"/>
  <c r="AP26" i="15"/>
  <c r="AP27" i="15"/>
  <c r="AP28" i="15"/>
  <c r="AP29" i="15"/>
  <c r="AP30" i="15"/>
  <c r="AP31" i="15"/>
  <c r="AP32" i="15"/>
  <c r="AP33" i="15"/>
  <c r="AP34" i="15"/>
  <c r="AP35" i="15"/>
  <c r="AP36" i="15"/>
  <c r="AP37" i="15"/>
  <c r="AP38" i="15"/>
  <c r="AP39" i="15"/>
  <c r="AP40" i="15"/>
  <c r="AP41" i="15"/>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AP7" i="15" l="1"/>
  <c r="AP6" i="15"/>
  <c r="AP2" i="15"/>
  <c r="AP4" i="15"/>
  <c r="AP13" i="15"/>
  <c r="AA62" i="14" s="1"/>
  <c r="AP9" i="15"/>
  <c r="AP8" i="15"/>
  <c r="AP5"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AP10" i="15" l="1"/>
  <c r="BP62" i="14"/>
  <c r="AV62" i="14"/>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P8" i="21" s="1"/>
  <c r="B9" i="21"/>
  <c r="B3" i="20"/>
  <c r="B4" i="20"/>
  <c r="B5" i="20"/>
  <c r="M5" i="20" s="1"/>
  <c r="B6" i="20"/>
  <c r="B7" i="20"/>
  <c r="O7" i="20" s="1"/>
  <c r="B8" i="20"/>
  <c r="N8" i="20" s="1"/>
  <c r="B9" i="20"/>
  <c r="M9" i="20" s="1"/>
  <c r="B3" i="19"/>
  <c r="I3" i="19" s="1"/>
  <c r="B4" i="19"/>
  <c r="I4" i="19" s="1"/>
  <c r="B5" i="19"/>
  <c r="I5" i="19" s="1"/>
  <c r="B6" i="19"/>
  <c r="L6" i="19" s="1"/>
  <c r="B7" i="19"/>
  <c r="O7" i="19" s="1"/>
  <c r="B8" i="19"/>
  <c r="O8" i="19" s="1"/>
  <c r="B9" i="19"/>
  <c r="F9" i="19" s="1"/>
  <c r="B3" i="18"/>
  <c r="I3" i="18" s="1"/>
  <c r="B4" i="18"/>
  <c r="I4" i="18" s="1"/>
  <c r="B5" i="18"/>
  <c r="I5" i="18" s="1"/>
  <c r="B6" i="18"/>
  <c r="I6" i="18" s="1"/>
  <c r="B7" i="18"/>
  <c r="O7" i="18" s="1"/>
  <c r="B8" i="18"/>
  <c r="N8" i="18" s="1"/>
  <c r="B9" i="18"/>
  <c r="M9" i="18" s="1"/>
  <c r="B3" i="16"/>
  <c r="I3" i="16" s="1"/>
  <c r="B4" i="16"/>
  <c r="I4" i="16" s="1"/>
  <c r="B5" i="16"/>
  <c r="I5" i="16" s="1"/>
  <c r="B6" i="16"/>
  <c r="I6" i="16" s="1"/>
  <c r="B7" i="16"/>
  <c r="I7" i="16" s="1"/>
  <c r="B8" i="16"/>
  <c r="O8" i="16" s="1"/>
  <c r="B9" i="16"/>
  <c r="I9" i="16" s="1"/>
  <c r="B3" i="13"/>
  <c r="I3" i="13" s="1"/>
  <c r="B4" i="13"/>
  <c r="I4" i="13" s="1"/>
  <c r="B5" i="13"/>
  <c r="I5" i="13" s="1"/>
  <c r="B6" i="13"/>
  <c r="I6" i="13" s="1"/>
  <c r="B7" i="13"/>
  <c r="I7" i="13" s="1"/>
  <c r="B8" i="13"/>
  <c r="I8" i="13" s="1"/>
  <c r="B9" i="13"/>
  <c r="M9" i="13" s="1"/>
  <c r="B3" i="15"/>
  <c r="B4" i="15"/>
  <c r="I4" i="15" s="1"/>
  <c r="B5" i="15"/>
  <c r="I5" i="15" s="1"/>
  <c r="B6" i="15"/>
  <c r="I6" i="15" s="1"/>
  <c r="B7" i="15"/>
  <c r="B8" i="15"/>
  <c r="I8" i="15" s="1"/>
  <c r="B9" i="15"/>
  <c r="B2" i="21"/>
  <c r="B2" i="20"/>
  <c r="F2" i="20" s="1"/>
  <c r="C17" i="17" s="1"/>
  <c r="B2" i="19"/>
  <c r="I2" i="19" s="1"/>
  <c r="B2" i="18"/>
  <c r="I2" i="18" s="1"/>
  <c r="B2" i="16"/>
  <c r="I2" i="16" s="1"/>
  <c r="B2" i="13"/>
  <c r="I2" i="13" s="1"/>
  <c r="B2" i="15"/>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S3" i="15" l="1"/>
  <c r="V3" i="15"/>
  <c r="U3" i="15"/>
  <c r="I7" i="18"/>
  <c r="I8" i="18"/>
  <c r="F2" i="16"/>
  <c r="S9" i="15"/>
  <c r="V9" i="15"/>
  <c r="U9" i="15"/>
  <c r="I9" i="18"/>
  <c r="I8" i="16"/>
  <c r="K2" i="15"/>
  <c r="V2" i="15"/>
  <c r="U2" i="15"/>
  <c r="K8" i="15"/>
  <c r="U8" i="15"/>
  <c r="V8" i="15"/>
  <c r="I3" i="15"/>
  <c r="U7" i="15"/>
  <c r="V7" i="15"/>
  <c r="I9" i="19"/>
  <c r="I9" i="15"/>
  <c r="I9" i="13"/>
  <c r="L6" i="15"/>
  <c r="U6" i="15"/>
  <c r="V6" i="15"/>
  <c r="I6" i="19"/>
  <c r="I7" i="15"/>
  <c r="L5" i="15"/>
  <c r="U5" i="15"/>
  <c r="V5" i="15"/>
  <c r="I7" i="19"/>
  <c r="V4" i="15"/>
  <c r="U4" i="15"/>
  <c r="I8" i="19"/>
  <c r="L9" i="20"/>
  <c r="O8" i="20"/>
  <c r="M5" i="15"/>
  <c r="B10" i="21"/>
  <c r="N8" i="16"/>
  <c r="F2" i="21"/>
  <c r="C18" i="17" s="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I94" i="19" l="1"/>
  <c r="AI12" i="19" s="1"/>
  <c r="AI1" i="19" s="1"/>
  <c r="F10" i="19"/>
  <c r="I10" i="19"/>
  <c r="AI94" i="21"/>
  <c r="AI12" i="21" s="1"/>
  <c r="AI1" i="21" s="1"/>
  <c r="F10" i="21"/>
  <c r="B18" i="17" s="1"/>
  <c r="AI94" i="20"/>
  <c r="AI12" i="20" s="1"/>
  <c r="AI1" i="20" s="1"/>
  <c r="F10" i="20"/>
  <c r="B17" i="17" s="1"/>
  <c r="AI94" i="18"/>
  <c r="AI12" i="18" s="1"/>
  <c r="AI1" i="18" s="1"/>
  <c r="F10" i="18"/>
  <c r="I10" i="18"/>
  <c r="AI94" i="15"/>
  <c r="AI12" i="15" s="1"/>
  <c r="AI1" i="15" s="1"/>
  <c r="AC94" i="15"/>
  <c r="AC12" i="15" s="1"/>
  <c r="AC1" i="15" s="1"/>
  <c r="AP94" i="15"/>
  <c r="AP12" i="15" s="1"/>
  <c r="AP1" i="15" s="1"/>
  <c r="F10" i="15"/>
  <c r="I10" i="15"/>
  <c r="AI94" i="13"/>
  <c r="AI12" i="13" s="1"/>
  <c r="AI1" i="13" s="1"/>
  <c r="F10" i="13"/>
  <c r="I10" i="13"/>
  <c r="AI94" i="16"/>
  <c r="AI12" i="16" s="1"/>
  <c r="AI1" i="16" s="1"/>
  <c r="F10" i="16"/>
  <c r="I10" i="16"/>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O39" i="21"/>
  <c r="O38" i="21"/>
  <c r="O37" i="21"/>
  <c r="O36" i="21"/>
  <c r="O35" i="21"/>
  <c r="O34" i="21"/>
  <c r="O33" i="21"/>
  <c r="O32" i="21"/>
  <c r="T32" i="21" s="1"/>
  <c r="O31" i="21"/>
  <c r="T31" i="21" s="1"/>
  <c r="O30" i="21"/>
  <c r="O29" i="21"/>
  <c r="O28" i="21"/>
  <c r="O27" i="21"/>
  <c r="O26" i="21"/>
  <c r="Q26" i="21" s="1"/>
  <c r="O25" i="21"/>
  <c r="O24" i="21"/>
  <c r="Q24" i="21" s="1"/>
  <c r="O23" i="21"/>
  <c r="Q23" i="21" s="1"/>
  <c r="O22" i="21"/>
  <c r="O21" i="21"/>
  <c r="O20" i="21"/>
  <c r="O19" i="21"/>
  <c r="Q19" i="21" s="1"/>
  <c r="O18" i="21"/>
  <c r="O17" i="21"/>
  <c r="O16" i="21"/>
  <c r="O15" i="21"/>
  <c r="O14" i="21"/>
  <c r="H68" i="14"/>
  <c r="C8" i="21"/>
  <c r="F9" i="21"/>
  <c r="J18" i="17" s="1"/>
  <c r="F8" i="21"/>
  <c r="I18" i="17" s="1"/>
  <c r="F7" i="21"/>
  <c r="H18" i="17" s="1"/>
  <c r="F6" i="21"/>
  <c r="G18" i="17" s="1"/>
  <c r="F5" i="21"/>
  <c r="F18" i="17" s="1"/>
  <c r="C5" i="21"/>
  <c r="F4" i="21"/>
  <c r="E18" i="17" s="1"/>
  <c r="F3" i="21"/>
  <c r="D18" i="17" s="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E52" i="19"/>
  <c r="AC52" i="19" s="1"/>
  <c r="E51" i="19"/>
  <c r="AC51" i="19" s="1"/>
  <c r="E50" i="19"/>
  <c r="AC50" i="19" s="1"/>
  <c r="E49" i="19"/>
  <c r="AC49" i="19" s="1"/>
  <c r="E48" i="19"/>
  <c r="AC48" i="19" s="1"/>
  <c r="E47" i="19"/>
  <c r="AC47" i="19" s="1"/>
  <c r="E46" i="19"/>
  <c r="AC46" i="19" s="1"/>
  <c r="E45" i="19"/>
  <c r="AC45" i="19" s="1"/>
  <c r="E44" i="19"/>
  <c r="AC44" i="19" s="1"/>
  <c r="E43" i="19"/>
  <c r="AC43" i="19" s="1"/>
  <c r="E42" i="19"/>
  <c r="AC42" i="19" s="1"/>
  <c r="E41" i="19"/>
  <c r="AC41" i="19" s="1"/>
  <c r="AC7" i="19" s="1"/>
  <c r="E40" i="19"/>
  <c r="AC40" i="19" s="1"/>
  <c r="E39" i="19"/>
  <c r="AC39" i="19" s="1"/>
  <c r="E38" i="19"/>
  <c r="AC38" i="19" s="1"/>
  <c r="E37" i="19"/>
  <c r="AC37"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P3" i="20" s="1"/>
  <c r="O22" i="20"/>
  <c r="O21" i="20"/>
  <c r="O20" i="20"/>
  <c r="O19" i="20"/>
  <c r="O18" i="20"/>
  <c r="O17" i="20"/>
  <c r="O16" i="20"/>
  <c r="O15" i="20"/>
  <c r="O14" i="20"/>
  <c r="O1" i="20"/>
  <c r="N1" i="20"/>
  <c r="M1" i="20"/>
  <c r="L1" i="20"/>
  <c r="H67" i="14"/>
  <c r="C10" i="20"/>
  <c r="F9" i="20"/>
  <c r="J17" i="17" s="1"/>
  <c r="F8" i="20"/>
  <c r="I17" i="17" s="1"/>
  <c r="F7" i="20"/>
  <c r="H17" i="17" s="1"/>
  <c r="F6" i="20"/>
  <c r="G17" i="17" s="1"/>
  <c r="F5" i="20"/>
  <c r="F17" i="17" s="1"/>
  <c r="F4" i="20"/>
  <c r="E17" i="17" s="1"/>
  <c r="F3" i="20"/>
  <c r="D17" i="17" s="1"/>
  <c r="C3" i="20"/>
  <c r="C2" i="20"/>
  <c r="G62" i="14"/>
  <c r="AW62" i="14" s="1"/>
  <c r="G63" i="14"/>
  <c r="AW63" i="14" s="1"/>
  <c r="AC94" i="19" l="1"/>
  <c r="AC5" i="19"/>
  <c r="AC3" i="19"/>
  <c r="AC6" i="19"/>
  <c r="AC8" i="19"/>
  <c r="AC6" i="20"/>
  <c r="AC13" i="20"/>
  <c r="N67" i="14" s="1"/>
  <c r="AC94" i="20"/>
  <c r="AC2" i="19"/>
  <c r="AC9" i="20"/>
  <c r="AC3" i="20"/>
  <c r="AC7" i="20"/>
  <c r="AC8" i="20"/>
  <c r="AC4" i="20"/>
  <c r="AC4" i="19"/>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E18" i="18"/>
  <c r="AC18" i="18" s="1"/>
  <c r="E19" i="18"/>
  <c r="AC19" i="18" s="1"/>
  <c r="E20" i="18"/>
  <c r="AC20" i="18" s="1"/>
  <c r="E21" i="18"/>
  <c r="AC21" i="18" s="1"/>
  <c r="E22" i="18"/>
  <c r="AC22" i="18" s="1"/>
  <c r="E23" i="18"/>
  <c r="AC2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O39" i="19"/>
  <c r="Q39" i="19" s="1"/>
  <c r="O38" i="19"/>
  <c r="O37" i="19"/>
  <c r="T37" i="19" s="1"/>
  <c r="O36" i="19"/>
  <c r="O35" i="19"/>
  <c r="Q35" i="19" s="1"/>
  <c r="O34" i="19"/>
  <c r="Q34" i="19" s="1"/>
  <c r="O33" i="19"/>
  <c r="O32" i="19"/>
  <c r="O31" i="19"/>
  <c r="Q31" i="19" s="1"/>
  <c r="O30" i="19"/>
  <c r="O29" i="19"/>
  <c r="T29" i="19" s="1"/>
  <c r="O28" i="19"/>
  <c r="O27" i="19"/>
  <c r="O26" i="19"/>
  <c r="Q26" i="19" s="1"/>
  <c r="O25" i="19"/>
  <c r="Q25" i="19" s="1"/>
  <c r="O24" i="19"/>
  <c r="Q24" i="19" s="1"/>
  <c r="O23" i="19"/>
  <c r="O22" i="19"/>
  <c r="O21" i="19"/>
  <c r="Q21" i="19" s="1"/>
  <c r="O20" i="19"/>
  <c r="O19" i="19"/>
  <c r="O18" i="19"/>
  <c r="O17" i="19"/>
  <c r="O16" i="19"/>
  <c r="O15" i="19"/>
  <c r="O14" i="19"/>
  <c r="C8" i="19"/>
  <c r="J16" i="17"/>
  <c r="F7" i="19"/>
  <c r="H16" i="17" s="1"/>
  <c r="F6" i="19"/>
  <c r="G16" i="17" s="1"/>
  <c r="F5" i="19"/>
  <c r="F16" i="17" s="1"/>
  <c r="F4" i="19"/>
  <c r="E16" i="17" s="1"/>
  <c r="F3" i="19"/>
  <c r="D16" i="17" s="1"/>
  <c r="C16" i="17"/>
  <c r="AC10" i="19" l="1"/>
  <c r="AC12" i="19" s="1"/>
  <c r="AC1" i="19" s="1"/>
  <c r="AC4" i="18"/>
  <c r="AC8" i="18"/>
  <c r="AC3" i="18"/>
  <c r="AC9" i="18"/>
  <c r="AC5" i="18"/>
  <c r="AC10"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Q39" i="18"/>
  <c r="Q38" i="18"/>
  <c r="Q37" i="18"/>
  <c r="Q36" i="18"/>
  <c r="Q35" i="18"/>
  <c r="Q34" i="18"/>
  <c r="T32" i="18"/>
  <c r="Q32" i="18"/>
  <c r="T31" i="18"/>
  <c r="Q31" i="18"/>
  <c r="Q30" i="18"/>
  <c r="T28" i="18"/>
  <c r="Q28" i="18"/>
  <c r="T26" i="18"/>
  <c r="T25" i="18"/>
  <c r="T24" i="18"/>
  <c r="T23" i="18"/>
  <c r="T22" i="18"/>
  <c r="T21" i="18"/>
  <c r="T20" i="18"/>
  <c r="T19" i="18"/>
  <c r="T18" i="18"/>
  <c r="T17" i="18"/>
  <c r="T16" i="18"/>
  <c r="T15" i="18"/>
  <c r="T14" i="18"/>
  <c r="H65" i="14"/>
  <c r="C10" i="18"/>
  <c r="F9" i="18"/>
  <c r="F8" i="18"/>
  <c r="F7" i="18"/>
  <c r="F6" i="18"/>
  <c r="F5" i="18"/>
  <c r="F4" i="18"/>
  <c r="F3" i="18"/>
  <c r="AC12" i="18" l="1"/>
  <c r="AC1" i="18" s="1"/>
  <c r="U3" i="19"/>
  <c r="U2" i="19"/>
  <c r="U5" i="19"/>
  <c r="U4" i="19"/>
  <c r="U8" i="19"/>
  <c r="AP94" i="19"/>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P6" i="16" s="1"/>
  <c r="O32" i="16"/>
  <c r="O31" i="16"/>
  <c r="O30" i="16"/>
  <c r="O29" i="16"/>
  <c r="O28" i="16"/>
  <c r="O27" i="16"/>
  <c r="O26" i="16"/>
  <c r="O25" i="16"/>
  <c r="O24" i="16"/>
  <c r="O23" i="16"/>
  <c r="O22" i="16"/>
  <c r="O21" i="16"/>
  <c r="T21" i="16" s="1"/>
  <c r="O20" i="16"/>
  <c r="O19" i="16"/>
  <c r="O18" i="16"/>
  <c r="O17" i="16"/>
  <c r="O16" i="16"/>
  <c r="O15" i="16"/>
  <c r="O14" i="16"/>
  <c r="H64" i="14"/>
  <c r="C10" i="16"/>
  <c r="F9" i="16"/>
  <c r="F8" i="16"/>
  <c r="F7" i="16"/>
  <c r="F6" i="16"/>
  <c r="F5" i="16"/>
  <c r="F4" i="16"/>
  <c r="F3" i="16"/>
  <c r="O92" i="15"/>
  <c r="O91" i="15"/>
  <c r="AJ91" i="15" s="1"/>
  <c r="O90" i="15"/>
  <c r="AJ90" i="15" s="1"/>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O39" i="15"/>
  <c r="Q39" i="15" s="1"/>
  <c r="O38" i="15"/>
  <c r="Q38" i="15" s="1"/>
  <c r="O37" i="15"/>
  <c r="Q37" i="15" s="1"/>
  <c r="O36" i="15"/>
  <c r="Q36" i="15" s="1"/>
  <c r="O35" i="15"/>
  <c r="Q35" i="15" s="1"/>
  <c r="O34" i="15"/>
  <c r="Q34" i="15" s="1"/>
  <c r="O33" i="15"/>
  <c r="O32" i="15"/>
  <c r="Q32" i="15" s="1"/>
  <c r="O31" i="15"/>
  <c r="O30" i="15"/>
  <c r="O29" i="15"/>
  <c r="O28" i="15"/>
  <c r="O27" i="15"/>
  <c r="AD26" i="15"/>
  <c r="AA26" i="15"/>
  <c r="O26" i="15"/>
  <c r="Q26" i="15" s="1"/>
  <c r="AL26" i="15" s="1"/>
  <c r="O25" i="15"/>
  <c r="Q25" i="15" s="1"/>
  <c r="O24" i="15"/>
  <c r="Q24" i="15" s="1"/>
  <c r="AL24" i="15" s="1"/>
  <c r="T24" i="15"/>
  <c r="O23"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P12" i="19" l="1"/>
  <c r="AP1" i="19" s="1"/>
  <c r="AC7" i="13"/>
  <c r="AC3" i="13"/>
  <c r="AC2" i="13"/>
  <c r="AC13" i="13"/>
  <c r="AC94" i="13"/>
  <c r="AC5" i="13"/>
  <c r="AC94" i="16"/>
  <c r="U9" i="18"/>
  <c r="AC9" i="16"/>
  <c r="U5" i="18"/>
  <c r="U3" i="18"/>
  <c r="AC3" i="16"/>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0" i="16" l="1"/>
  <c r="AC12" i="16" s="1"/>
  <c r="AC1" i="16"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AP8" i="13" s="1"/>
  <c r="V9" i="13"/>
  <c r="AP20" i="13"/>
  <c r="AP9" i="13" s="1"/>
  <c r="AP16" i="13"/>
  <c r="AP5" i="13" s="1"/>
  <c r="V5" i="13"/>
  <c r="AP33" i="16"/>
  <c r="AP6" i="16" s="1"/>
  <c r="V6" i="16"/>
  <c r="U2" i="16"/>
  <c r="AP17" i="13"/>
  <c r="AP4" i="13" s="1"/>
  <c r="V4" i="13"/>
  <c r="V9" i="16"/>
  <c r="AP20" i="16"/>
  <c r="AP9" i="16" s="1"/>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C12" i="13" l="1"/>
  <c r="AC1" i="13" s="1"/>
  <c r="AI66" i="14"/>
  <c r="BC66" i="14"/>
  <c r="AI67" i="14"/>
  <c r="AI65" i="14"/>
  <c r="BC64" i="14"/>
  <c r="AI63" i="14"/>
  <c r="BC65" i="14"/>
  <c r="BC63" i="14"/>
  <c r="BC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A62" i="14"/>
  <c r="B62" i="14"/>
  <c r="AP12" i="13" l="1"/>
  <c r="AP1" i="13" s="1"/>
  <c r="BP63" i="14"/>
  <c r="BP65" i="14"/>
  <c r="BP66" i="14"/>
  <c r="AV64" i="14"/>
  <c r="AV63" i="14"/>
  <c r="AV65" i="14"/>
  <c r="BP64" i="14"/>
  <c r="AV66" i="14"/>
  <c r="AP10" i="16"/>
  <c r="AP12" i="16" s="1"/>
  <c r="AP1" i="16" s="1"/>
  <c r="AJ62" i="14"/>
  <c r="BD62" i="14"/>
  <c r="AK62" i="14"/>
  <c r="BE62" i="14"/>
  <c r="AG62" i="14"/>
  <c r="BA62" i="14"/>
  <c r="AQ62" i="14"/>
  <c r="BK62" i="14"/>
  <c r="BM62" i="14"/>
  <c r="AR62" i="14"/>
  <c r="BL62" i="14"/>
  <c r="BB62" i="14"/>
  <c r="BB63" i="14"/>
  <c r="BJ62" i="14"/>
  <c r="AU62" i="14"/>
  <c r="BO62" i="14"/>
  <c r="AN8" i="15"/>
  <c r="AN94" i="15"/>
  <c r="AH62" i="14"/>
  <c r="AH63" i="14"/>
  <c r="AP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F62" i="14"/>
  <c r="BN62" i="14"/>
  <c r="AM62" i="14"/>
  <c r="BG62" i="14"/>
  <c r="H10" i="15"/>
  <c r="J62" i="14" s="1"/>
  <c r="AN10" i="15"/>
  <c r="AN12" i="15" s="1"/>
  <c r="AN1" i="15" s="1"/>
  <c r="AT62" i="14"/>
  <c r="AC63" i="14"/>
  <c r="AC62" i="14"/>
  <c r="B1" i="14"/>
  <c r="A58" i="11" l="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O39" i="13"/>
  <c r="T39" i="13" s="1"/>
  <c r="O38" i="13"/>
  <c r="T38" i="13" s="1"/>
  <c r="O37" i="13"/>
  <c r="T37" i="13" s="1"/>
  <c r="O36" i="13"/>
  <c r="T36" i="13" s="1"/>
  <c r="O35" i="13"/>
  <c r="T35" i="13" s="1"/>
  <c r="O34" i="13"/>
  <c r="T34" i="13" s="1"/>
  <c r="O33" i="13"/>
  <c r="P6" i="13" s="1"/>
  <c r="O32" i="13"/>
  <c r="O31" i="13"/>
  <c r="O30" i="13"/>
  <c r="T30" i="13" s="1"/>
  <c r="O29" i="13"/>
  <c r="T29" i="13" s="1"/>
  <c r="O28" i="13"/>
  <c r="O27" i="13"/>
  <c r="O26" i="13"/>
  <c r="T26" i="13" s="1"/>
  <c r="O25" i="13"/>
  <c r="O24" i="13"/>
  <c r="T24" i="13" s="1"/>
  <c r="O23" i="13"/>
  <c r="P3" i="13" s="1"/>
  <c r="O22" i="13"/>
  <c r="O21" i="13"/>
  <c r="T21" i="13" s="1"/>
  <c r="O20" i="13"/>
  <c r="P9" i="13" s="1"/>
  <c r="O19" i="13"/>
  <c r="T19" i="13" s="1"/>
  <c r="O18" i="13"/>
  <c r="T18" i="13" s="1"/>
  <c r="O17" i="13"/>
  <c r="O16" i="13"/>
  <c r="O15" i="13"/>
  <c r="O14" i="13"/>
  <c r="H63" i="14"/>
  <c r="H39" i="14" l="1"/>
  <c r="H37" i="14"/>
  <c r="H38" i="14"/>
  <c r="O13" i="13"/>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H39" i="1"/>
  <c r="CG39" i="1"/>
  <c r="CE39" i="1"/>
  <c r="BX39" i="1"/>
  <c r="CH38" i="1"/>
  <c r="CG38" i="1"/>
  <c r="CE38" i="1"/>
  <c r="CJ38" i="1" s="1"/>
  <c r="BX38" i="1"/>
  <c r="CH37" i="1"/>
  <c r="CG37" i="1"/>
  <c r="CE37" i="1"/>
  <c r="CJ37" i="1" s="1"/>
  <c r="BX37"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H30" i="1"/>
  <c r="CG30" i="1"/>
  <c r="CE30" i="1"/>
  <c r="CJ30" i="1" s="1"/>
  <c r="BX30" i="1"/>
  <c r="CP30" i="1" s="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I73" i="1"/>
  <c r="CI78" i="1"/>
  <c r="CI81" i="1"/>
  <c r="CP89" i="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I14" i="1"/>
  <c r="CI16"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I90" i="1"/>
  <c r="CN76" i="1"/>
  <c r="CN44" i="1"/>
  <c r="CN32" i="1"/>
  <c r="CI61" i="1"/>
  <c r="CI22" i="1"/>
  <c r="CM13" i="1"/>
  <c r="CN14" i="1"/>
  <c r="CN88" i="1"/>
  <c r="CN67" i="1"/>
  <c r="CI83" i="1"/>
  <c r="CN65" i="1"/>
  <c r="CN80" i="1"/>
  <c r="CI88" i="1"/>
  <c r="CN55" i="1"/>
  <c r="CI60" i="1"/>
  <c r="CN40" i="1"/>
  <c r="CN15" i="1"/>
  <c r="CN57" i="1"/>
  <c r="CN18" i="1"/>
  <c r="CI10" i="1"/>
  <c r="CJ10" i="1" s="1"/>
  <c r="CJ13"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AY39" i="1"/>
  <c r="AX39" i="1"/>
  <c r="AV39" i="1"/>
  <c r="BA39" i="1" s="1"/>
  <c r="AO39" i="1"/>
  <c r="AY38" i="1"/>
  <c r="AX38" i="1"/>
  <c r="AV38" i="1"/>
  <c r="AO38" i="1"/>
  <c r="BG38" i="1" s="1"/>
  <c r="AY37" i="1"/>
  <c r="AX37" i="1"/>
  <c r="AV37" i="1"/>
  <c r="BA37" i="1" s="1"/>
  <c r="AO37" i="1"/>
  <c r="BG37" i="1" s="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AY30" i="1"/>
  <c r="AX30" i="1"/>
  <c r="AV30" i="1"/>
  <c r="AO30" i="1"/>
  <c r="BG30" i="1" s="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P39" i="1"/>
  <c r="O39" i="1"/>
  <c r="M39" i="1"/>
  <c r="R39" i="1" s="1"/>
  <c r="P38" i="1"/>
  <c r="O38" i="1"/>
  <c r="M38" i="1"/>
  <c r="R38" i="1" s="1"/>
  <c r="P37" i="1"/>
  <c r="O37" i="1"/>
  <c r="M37" i="1"/>
  <c r="R37" i="1" s="1"/>
  <c r="P36" i="1"/>
  <c r="O36" i="1"/>
  <c r="M36" i="1"/>
  <c r="R36" i="1" s="1"/>
  <c r="P35" i="1"/>
  <c r="O35" i="1"/>
  <c r="M35" i="1"/>
  <c r="R35" i="1" s="1"/>
  <c r="P34" i="1"/>
  <c r="O34" i="1"/>
  <c r="M34" i="1"/>
  <c r="R34" i="1" s="1"/>
  <c r="P33" i="1"/>
  <c r="O33" i="1"/>
  <c r="M33" i="1"/>
  <c r="P32" i="1"/>
  <c r="O32" i="1"/>
  <c r="M32" i="1"/>
  <c r="R32" i="1" s="1"/>
  <c r="P31" i="1"/>
  <c r="O31" i="1"/>
  <c r="M31" i="1"/>
  <c r="R31" i="1" s="1"/>
  <c r="P30" i="1"/>
  <c r="O30" i="1"/>
  <c r="M30" i="1"/>
  <c r="R30" i="1" s="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L89" i="1"/>
  <c r="Q89" i="1" s="1"/>
  <c r="X20" i="1"/>
  <c r="L20" i="1"/>
  <c r="Q20" i="1" s="1"/>
  <c r="X22" i="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L39" i="1"/>
  <c r="Q39" i="1" s="1"/>
  <c r="L46" i="1"/>
  <c r="Q46" i="1" s="1"/>
  <c r="X46" i="1"/>
  <c r="X69" i="1"/>
  <c r="L69" i="1"/>
  <c r="Q69" i="1" s="1"/>
  <c r="L90" i="1"/>
  <c r="Q90" i="1" s="1"/>
  <c r="X90" i="1"/>
  <c r="L92" i="1"/>
  <c r="Q92" i="1" s="1"/>
  <c r="X92" i="1"/>
  <c r="U23" i="1"/>
  <c r="X25" i="1"/>
  <c r="L25" i="1"/>
  <c r="Q25" i="1" s="1"/>
  <c r="L30" i="1"/>
  <c r="Q30" i="1" s="1"/>
  <c r="X30" i="1"/>
  <c r="L48" i="1"/>
  <c r="Q48" i="1" s="1"/>
  <c r="X48" i="1"/>
  <c r="X14" i="1"/>
  <c r="L14" i="1"/>
  <c r="L32" i="1"/>
  <c r="Q32" i="1" s="1"/>
  <c r="X32" i="1"/>
  <c r="U34" i="1"/>
  <c r="X36" i="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N163" i="5"/>
  <c r="O163" i="5" s="1"/>
  <c r="N162" i="5"/>
  <c r="O162" i="5" s="1"/>
  <c r="AI62" i="9" s="1"/>
  <c r="N161" i="5"/>
  <c r="O161" i="5" s="1"/>
  <c r="N160" i="5"/>
  <c r="O160" i="5" s="1"/>
  <c r="N159" i="5"/>
  <c r="O159" i="5" s="1"/>
  <c r="N158" i="5"/>
  <c r="O158" i="5" s="1"/>
  <c r="N157" i="5"/>
  <c r="O157" i="5" s="1"/>
  <c r="P157" i="5" s="1"/>
  <c r="N156" i="5"/>
  <c r="O156" i="5" s="1"/>
  <c r="N155" i="5"/>
  <c r="O155" i="5" s="1"/>
  <c r="N154" i="5"/>
  <c r="O154" i="5" s="1"/>
  <c r="N153" i="5"/>
  <c r="O153" i="5" s="1"/>
  <c r="N150" i="5"/>
  <c r="O150" i="5" s="1"/>
  <c r="P150" i="5" s="1"/>
  <c r="N148" i="5"/>
  <c r="O148" i="5" s="1"/>
  <c r="P148" i="5" s="1"/>
  <c r="N147" i="5"/>
  <c r="O147" i="5" s="1"/>
  <c r="P147" i="5" s="1"/>
  <c r="N145" i="5"/>
  <c r="O145" i="5" s="1"/>
  <c r="N140" i="5"/>
  <c r="O140" i="5" s="1"/>
  <c r="N135" i="5"/>
  <c r="O135" i="5" s="1"/>
  <c r="N134" i="5"/>
  <c r="O134" i="5" s="1"/>
  <c r="N132" i="5"/>
  <c r="O132" i="5" s="1"/>
  <c r="N127" i="5"/>
  <c r="O127" i="5" s="1"/>
  <c r="N125" i="5"/>
  <c r="O125" i="5" s="1"/>
  <c r="P125" i="5" s="1"/>
  <c r="N116" i="5"/>
  <c r="O116" i="5" s="1"/>
  <c r="P116" i="5" s="1"/>
  <c r="N115" i="5"/>
  <c r="O115" i="5" s="1"/>
  <c r="P115" i="5" s="1"/>
  <c r="N114" i="5"/>
  <c r="O114" i="5" s="1"/>
  <c r="P114" i="5" s="1"/>
  <c r="N113" i="5"/>
  <c r="O113" i="5" s="1"/>
  <c r="N112" i="5"/>
  <c r="O112" i="5" s="1"/>
  <c r="P112" i="5" s="1"/>
  <c r="N111" i="5"/>
  <c r="O111" i="5" s="1"/>
  <c r="P111" i="5" s="1"/>
  <c r="N110" i="5"/>
  <c r="O110" i="5" s="1"/>
  <c r="P110" i="5" s="1"/>
  <c r="N109" i="5"/>
  <c r="O109" i="5" s="1"/>
  <c r="P109" i="5" s="1"/>
  <c r="N108" i="5"/>
  <c r="O108" i="5" s="1"/>
  <c r="AI75" i="9" s="1"/>
  <c r="N107" i="5"/>
  <c r="O107" i="5" s="1"/>
  <c r="N106" i="5"/>
  <c r="O106" i="5" s="1"/>
  <c r="P106" i="5" s="1"/>
  <c r="N105" i="5"/>
  <c r="O105" i="5" s="1"/>
  <c r="N104" i="5"/>
  <c r="O104" i="5" s="1"/>
  <c r="N103" i="5"/>
  <c r="O103" i="5" s="1"/>
  <c r="N102" i="5"/>
  <c r="O102" i="5" s="1"/>
  <c r="N101" i="5"/>
  <c r="O101" i="5" s="1"/>
  <c r="P101" i="5" s="1"/>
  <c r="N100" i="5"/>
  <c r="O100" i="5" s="1"/>
  <c r="P100" i="5" s="1"/>
  <c r="N99" i="5"/>
  <c r="O99" i="5" s="1"/>
  <c r="P99" i="5" s="1"/>
  <c r="N98" i="5"/>
  <c r="O98" i="5" s="1"/>
  <c r="AI65" i="9" s="1"/>
  <c r="N97" i="5"/>
  <c r="O97" i="5" s="1"/>
  <c r="N96" i="5"/>
  <c r="O96" i="5" s="1"/>
  <c r="AI60" i="9" s="1"/>
  <c r="N95" i="5"/>
  <c r="O95" i="5" s="1"/>
  <c r="AI59" i="9" s="1"/>
  <c r="N93" i="5"/>
  <c r="O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N83" i="5"/>
  <c r="O83" i="5" s="1"/>
  <c r="N82" i="5"/>
  <c r="O82" i="5" s="1"/>
  <c r="N81" i="5"/>
  <c r="O81" i="5" s="1"/>
  <c r="N80" i="5"/>
  <c r="O80" i="5" s="1"/>
  <c r="N79" i="5"/>
  <c r="O79" i="5" s="1"/>
  <c r="N78" i="5"/>
  <c r="O78" i="5" s="1"/>
  <c r="P78" i="5" s="1"/>
  <c r="N77" i="5"/>
  <c r="O77" i="5" s="1"/>
  <c r="N76" i="5"/>
  <c r="O76" i="5" s="1"/>
  <c r="P76" i="5" s="1"/>
  <c r="N75" i="5"/>
  <c r="O75" i="5" s="1"/>
  <c r="N74" i="5"/>
  <c r="O74" i="5" s="1"/>
  <c r="P74" i="5" s="1"/>
  <c r="N73" i="5"/>
  <c r="O73" i="5" s="1"/>
  <c r="P73" i="5" s="1"/>
  <c r="N72" i="5"/>
  <c r="O72" i="5" s="1"/>
  <c r="P72" i="5" s="1"/>
  <c r="N70" i="5"/>
  <c r="O70" i="5" s="1"/>
  <c r="P70" i="5" s="1"/>
  <c r="N69" i="5"/>
  <c r="O69" i="5" s="1"/>
  <c r="P69" i="5" s="1"/>
  <c r="N68" i="5"/>
  <c r="O68" i="5" s="1"/>
  <c r="P68" i="5" s="1"/>
  <c r="N67" i="5"/>
  <c r="O67" i="5" s="1"/>
  <c r="N66" i="5"/>
  <c r="O66" i="5" s="1"/>
  <c r="N65" i="5"/>
  <c r="O65" i="5" s="1"/>
  <c r="N64" i="5"/>
  <c r="O64" i="5" s="1"/>
  <c r="AI35" i="9" s="1"/>
  <c r="N63" i="5"/>
  <c r="O63" i="5" s="1"/>
  <c r="N62" i="5"/>
  <c r="O62" i="5" s="1"/>
  <c r="P62" i="5" s="1"/>
  <c r="N61" i="5"/>
  <c r="O61" i="5" s="1"/>
  <c r="AI41" i="9" s="1"/>
  <c r="N60" i="5"/>
  <c r="O60" i="5" s="1"/>
  <c r="N59" i="5"/>
  <c r="O59" i="5" s="1"/>
  <c r="N58" i="5"/>
  <c r="O58" i="5" s="1"/>
  <c r="N57" i="5"/>
  <c r="O57" i="5" s="1"/>
  <c r="N56" i="5"/>
  <c r="O56" i="5" s="1"/>
  <c r="N55" i="5"/>
  <c r="O55" i="5" s="1"/>
  <c r="P55" i="5" s="1"/>
  <c r="N53" i="5"/>
  <c r="O53" i="5" s="1"/>
  <c r="N52" i="5"/>
  <c r="O52" i="5" s="1"/>
  <c r="N51" i="5"/>
  <c r="O51" i="5" s="1"/>
  <c r="N50" i="5"/>
  <c r="O50" i="5" s="1"/>
  <c r="N49" i="5"/>
  <c r="O49" i="5" s="1"/>
  <c r="AI8" i="9" s="1"/>
  <c r="N48" i="5"/>
  <c r="O48" i="5" s="1"/>
  <c r="AI7" i="9" s="1"/>
  <c r="N47" i="5"/>
  <c r="O47" i="5" s="1"/>
  <c r="N46" i="5"/>
  <c r="O46" i="5" s="1"/>
  <c r="N45" i="5"/>
  <c r="O45" i="5" s="1"/>
  <c r="P45" i="5" s="1"/>
  <c r="N44" i="5"/>
  <c r="O44" i="5" s="1"/>
  <c r="AI3" i="9" s="1"/>
  <c r="N43" i="5"/>
  <c r="O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F62" i="9"/>
  <c r="H62" i="9"/>
  <c r="AF61" i="9"/>
  <c r="H61" i="9"/>
  <c r="AF60" i="9"/>
  <c r="H60" i="9"/>
  <c r="AF59" i="9"/>
  <c r="H59" i="9"/>
  <c r="AF58" i="9"/>
  <c r="AF57" i="9"/>
  <c r="H57" i="9"/>
  <c r="AF56" i="9"/>
  <c r="H56" i="9"/>
  <c r="AG56" i="9" s="1"/>
  <c r="AH56" i="9" s="1"/>
  <c r="AF55" i="9"/>
  <c r="H55" i="9"/>
  <c r="AF54" i="9"/>
  <c r="H54" i="9"/>
  <c r="AG54" i="9" s="1"/>
  <c r="AH54" i="9" s="1"/>
  <c r="AF53" i="9"/>
  <c r="H53" i="9"/>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F42" i="9"/>
  <c r="AD42" i="9"/>
  <c r="H42" i="9"/>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F13" i="9"/>
  <c r="H13" i="9"/>
  <c r="AF12" i="9"/>
  <c r="H12" i="9"/>
  <c r="AF11" i="9"/>
  <c r="H11" i="9"/>
  <c r="AF10" i="9"/>
  <c r="AF9" i="9"/>
  <c r="H9" i="9"/>
  <c r="AG9" i="9" s="1"/>
  <c r="AH9" i="9" s="1"/>
  <c r="AF8" i="9"/>
  <c r="H8" i="9"/>
  <c r="AF7" i="9"/>
  <c r="H7" i="9"/>
  <c r="AG7" i="9" s="1"/>
  <c r="AH7" i="9" s="1"/>
  <c r="AF6" i="9"/>
  <c r="H6" i="9"/>
  <c r="AG6" i="9" s="1"/>
  <c r="AH6" i="9" s="1"/>
  <c r="AF5" i="9"/>
  <c r="H5" i="9"/>
  <c r="AG5" i="9" s="1"/>
  <c r="AH5" i="9" s="1"/>
  <c r="AF4" i="9"/>
  <c r="AF3" i="9"/>
  <c r="H3" i="9"/>
  <c r="AF2" i="9"/>
  <c r="H2" i="9"/>
  <c r="AE35" i="11"/>
  <c r="AD35" i="11"/>
  <c r="AB35" i="11"/>
  <c r="AA35" i="11"/>
  <c r="Y35" i="11"/>
  <c r="B3" i="11"/>
  <c r="B1" i="11"/>
  <c r="P47" i="5" l="1"/>
  <c r="AI6" i="9"/>
  <c r="P56" i="5"/>
  <c r="AI19" i="9"/>
  <c r="P81" i="5"/>
  <c r="AI51" i="9"/>
  <c r="P140" i="5"/>
  <c r="AI63" i="9"/>
  <c r="P156" i="5"/>
  <c r="AI33" i="9"/>
  <c r="P171" i="5"/>
  <c r="AI68" i="9"/>
  <c r="P58" i="5"/>
  <c r="AI13" i="9"/>
  <c r="P66" i="5"/>
  <c r="AI37" i="9"/>
  <c r="P75" i="5"/>
  <c r="AI44" i="9"/>
  <c r="P83" i="5"/>
  <c r="AI53" i="9"/>
  <c r="P158" i="5"/>
  <c r="AI49" i="9"/>
  <c r="P50" i="5"/>
  <c r="AI9" i="9"/>
  <c r="P59" i="5"/>
  <c r="AI28" i="9"/>
  <c r="P67" i="5"/>
  <c r="AI38" i="9"/>
  <c r="P84" i="5"/>
  <c r="AI46" i="9"/>
  <c r="P159" i="5"/>
  <c r="AI54" i="9"/>
  <c r="P65" i="5"/>
  <c r="AI36" i="9"/>
  <c r="P43" i="5"/>
  <c r="AI2" i="9"/>
  <c r="Y14" i="46" s="1"/>
  <c r="P51" i="5"/>
  <c r="AI12" i="9"/>
  <c r="P60" i="5"/>
  <c r="AI21" i="9"/>
  <c r="P77" i="5"/>
  <c r="AI47" i="9"/>
  <c r="P93" i="5"/>
  <c r="AI57" i="9"/>
  <c r="P102" i="5"/>
  <c r="AI70" i="9"/>
  <c r="P127" i="5"/>
  <c r="AI39" i="9"/>
  <c r="P160" i="5"/>
  <c r="AI55" i="9"/>
  <c r="P145" i="5"/>
  <c r="AI42" i="9"/>
  <c r="P52" i="5"/>
  <c r="AI14" i="9"/>
  <c r="P103" i="5"/>
  <c r="AI71" i="9"/>
  <c r="P132" i="5"/>
  <c r="AI40" i="9"/>
  <c r="P153" i="5"/>
  <c r="AI11" i="9"/>
  <c r="P161" i="5"/>
  <c r="AI56" i="9"/>
  <c r="P57" i="5"/>
  <c r="AI20" i="9"/>
  <c r="P82" i="5"/>
  <c r="AI52" i="9"/>
  <c r="P107" i="5"/>
  <c r="AI74" i="9"/>
  <c r="P53" i="5"/>
  <c r="AI18" i="9"/>
  <c r="Y30" i="46" s="1"/>
  <c r="P79" i="5"/>
  <c r="AI48" i="9"/>
  <c r="P104" i="5"/>
  <c r="AI72" i="9"/>
  <c r="P134" i="5"/>
  <c r="AI30" i="9"/>
  <c r="P154" i="5"/>
  <c r="AI29" i="9"/>
  <c r="P46" i="5"/>
  <c r="AI5" i="9"/>
  <c r="P63" i="5"/>
  <c r="AI34" i="9"/>
  <c r="P80" i="5"/>
  <c r="AI50" i="9"/>
  <c r="P97" i="5"/>
  <c r="AI61" i="9"/>
  <c r="P105" i="5"/>
  <c r="AI73" i="9"/>
  <c r="P113" i="5"/>
  <c r="AI78" i="9"/>
  <c r="P135" i="5"/>
  <c r="AI32" i="9"/>
  <c r="P155" i="5"/>
  <c r="AI31" i="9"/>
  <c r="P163" i="5"/>
  <c r="AI43" i="9"/>
  <c r="AG62" i="9"/>
  <c r="AH62" i="9" s="1"/>
  <c r="AG42" i="9"/>
  <c r="AH42" i="9" s="1"/>
  <c r="AG13" i="9"/>
  <c r="AH13" i="9" s="1"/>
  <c r="AG61" i="9"/>
  <c r="AH61" i="9" s="1"/>
  <c r="AG53" i="9"/>
  <c r="AH53" i="9" s="1"/>
  <c r="AG57" i="9"/>
  <c r="AH57" i="9" s="1"/>
  <c r="AG14" i="9"/>
  <c r="AH14" i="9" s="1"/>
  <c r="AG2" i="9"/>
  <c r="AH2" i="9" s="1"/>
  <c r="AG11" i="9"/>
  <c r="AH11" i="9" s="1"/>
  <c r="AG59" i="9"/>
  <c r="AH59" i="9" s="1"/>
  <c r="AG63" i="9"/>
  <c r="AH63" i="9" s="1"/>
  <c r="AG55" i="9"/>
  <c r="AH55" i="9" s="1"/>
  <c r="AG78" i="9"/>
  <c r="AH78" i="9" s="1"/>
  <c r="AG3" i="9"/>
  <c r="AH3" i="9" s="1"/>
  <c r="AG12" i="9"/>
  <c r="AH12" i="9" s="1"/>
  <c r="AG43" i="9"/>
  <c r="AH43" i="9" s="1"/>
  <c r="AG60" i="9"/>
  <c r="AH60" i="9" s="1"/>
  <c r="B2" i="1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X30" i="46" s="1"/>
  <c r="O20" i="9"/>
  <c r="O31" i="9"/>
  <c r="O59" i="9"/>
  <c r="Q71" i="9"/>
  <c r="R71" i="9" s="1"/>
  <c r="T71" i="9" s="1"/>
  <c r="J24" i="5"/>
  <c r="CO107" i="1" s="1"/>
  <c r="Q18" i="9"/>
  <c r="R18" i="9" s="1"/>
  <c r="T18" i="9" s="1"/>
  <c r="U18" i="9" s="1"/>
  <c r="Q57" i="9"/>
  <c r="R57" i="9" s="1"/>
  <c r="T57" i="9" s="1"/>
  <c r="U57" i="9" s="1"/>
  <c r="Q75" i="9"/>
  <c r="R75" i="9" s="1"/>
  <c r="T75" i="9" s="1"/>
  <c r="O2" i="9"/>
  <c r="X14" i="46" s="1"/>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O40" i="9"/>
  <c r="O62" i="9"/>
  <c r="N122" i="5"/>
  <c r="O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H28" i="10"/>
  <c r="H26" i="10"/>
  <c r="N142" i="5"/>
  <c r="O142" i="5" s="1"/>
  <c r="Q24" i="5"/>
  <c r="M24" i="5" s="1"/>
  <c r="O24" i="5" s="1"/>
  <c r="N131" i="5"/>
  <c r="O131" i="5" s="1"/>
  <c r="P131" i="5" s="1"/>
  <c r="N166" i="5"/>
  <c r="O166" i="5" s="1"/>
  <c r="N144" i="5"/>
  <c r="O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N118" i="5"/>
  <c r="O118" i="5" s="1"/>
  <c r="Q28" i="5"/>
  <c r="M28" i="5" s="1"/>
  <c r="O28" i="5" s="1"/>
  <c r="H77" i="9"/>
  <c r="Q77" i="9" s="1"/>
  <c r="W77" i="9" s="1"/>
  <c r="N136" i="5"/>
  <c r="O136" i="5" s="1"/>
  <c r="D28" i="5"/>
  <c r="J28" i="5" s="1"/>
  <c r="CO111" i="1" s="1"/>
  <c r="H81" i="10"/>
  <c r="H77" i="10"/>
  <c r="N133" i="5"/>
  <c r="O133" i="5" s="1"/>
  <c r="N119" i="5"/>
  <c r="O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Q73" i="9"/>
  <c r="R73" i="9" s="1"/>
  <c r="T73" i="9" s="1"/>
  <c r="K27" i="5"/>
  <c r="O47" i="9"/>
  <c r="Q48" i="9"/>
  <c r="R48" i="9" s="1"/>
  <c r="O53" i="9"/>
  <c r="Q59" i="9"/>
  <c r="R59" i="9" s="1"/>
  <c r="T59" i="9" s="1"/>
  <c r="O68" i="9"/>
  <c r="O72" i="9"/>
  <c r="N149" i="5"/>
  <c r="O149" i="5" s="1"/>
  <c r="AI22" i="9" s="1"/>
  <c r="H5" i="10"/>
  <c r="H17" i="10"/>
  <c r="H23" i="10"/>
  <c r="H25" i="10"/>
  <c r="N117" i="5"/>
  <c r="O117" i="5" s="1"/>
  <c r="O78" i="9"/>
  <c r="N120" i="5"/>
  <c r="O120" i="5" s="1"/>
  <c r="N128" i="5"/>
  <c r="O128" i="5" s="1"/>
  <c r="P128" i="5" s="1"/>
  <c r="N139" i="5"/>
  <c r="O139" i="5" s="1"/>
  <c r="N169" i="5"/>
  <c r="O169" i="5" s="1"/>
  <c r="P169" i="5" s="1"/>
  <c r="N123" i="5"/>
  <c r="O123" i="5" s="1"/>
  <c r="P123" i="5" s="1"/>
  <c r="N172" i="5"/>
  <c r="O172" i="5" s="1"/>
  <c r="N126" i="5"/>
  <c r="O126" i="5" s="1"/>
  <c r="H16" i="10"/>
  <c r="H18" i="10"/>
  <c r="H24" i="10"/>
  <c r="H46" i="10"/>
  <c r="H70" i="10"/>
  <c r="N121" i="5"/>
  <c r="O121" i="5" s="1"/>
  <c r="P121" i="5" s="1"/>
  <c r="N129" i="5"/>
  <c r="O129" i="5" s="1"/>
  <c r="AI69" i="9" s="1"/>
  <c r="N170" i="5"/>
  <c r="O170" i="5" s="1"/>
  <c r="P170" i="5" s="1"/>
  <c r="N165" i="5"/>
  <c r="O165" i="5" s="1"/>
  <c r="P165" i="5" s="1"/>
  <c r="N130" i="5"/>
  <c r="O130" i="5" s="1"/>
  <c r="N138" i="5"/>
  <c r="O138" i="5" s="1"/>
  <c r="Y49" i="47" l="1"/>
  <c r="Y49" i="46"/>
  <c r="V52" i="47"/>
  <c r="X52" i="47" s="1"/>
  <c r="V52" i="46"/>
  <c r="V77" i="46"/>
  <c r="V77" i="47"/>
  <c r="Y77" i="47" s="1"/>
  <c r="X49" i="47"/>
  <c r="AB49" i="47" s="1"/>
  <c r="X49" i="46"/>
  <c r="V65" i="47"/>
  <c r="V65" i="46"/>
  <c r="V48" i="46"/>
  <c r="V48" i="47"/>
  <c r="Y30" i="47"/>
  <c r="Y14" i="47"/>
  <c r="AB14" i="46"/>
  <c r="X14" i="47"/>
  <c r="AL49" i="47"/>
  <c r="AK49" i="47"/>
  <c r="X65" i="47"/>
  <c r="Y48" i="47"/>
  <c r="AC30" i="46"/>
  <c r="X30" i="47"/>
  <c r="Y52" i="47"/>
  <c r="AL14" i="46"/>
  <c r="AA30" i="46"/>
  <c r="AG30" i="46"/>
  <c r="AJ30" i="46"/>
  <c r="P126" i="5"/>
  <c r="AI23" i="9"/>
  <c r="P117" i="5"/>
  <c r="AI4" i="9"/>
  <c r="P136" i="5"/>
  <c r="AI79" i="9"/>
  <c r="P144" i="5"/>
  <c r="AI27" i="9"/>
  <c r="Y39" i="46" s="1"/>
  <c r="P119" i="5"/>
  <c r="AI64" i="9"/>
  <c r="P118" i="5"/>
  <c r="AI76" i="9"/>
  <c r="P166" i="5"/>
  <c r="AI67" i="9"/>
  <c r="P122" i="5"/>
  <c r="AI16" i="9"/>
  <c r="P139" i="5"/>
  <c r="AI24" i="9"/>
  <c r="Y36" i="46" s="1"/>
  <c r="P133" i="5"/>
  <c r="AI77" i="9"/>
  <c r="Y89" i="46" s="1"/>
  <c r="P137" i="5"/>
  <c r="AI80" i="9"/>
  <c r="P143" i="5"/>
  <c r="AI26" i="9"/>
  <c r="P138" i="5"/>
  <c r="AI45" i="9"/>
  <c r="P142" i="5"/>
  <c r="AI25" i="9"/>
  <c r="P130" i="5"/>
  <c r="AI17" i="9"/>
  <c r="Y29" i="46" s="1"/>
  <c r="P120" i="5"/>
  <c r="AI15" i="9"/>
  <c r="V30" i="44"/>
  <c r="V30" i="43"/>
  <c r="Y30" i="43" s="1"/>
  <c r="V30" i="42"/>
  <c r="V30" i="38"/>
  <c r="V30" i="33"/>
  <c r="V30" i="32"/>
  <c r="V30" i="29"/>
  <c r="V30" i="28"/>
  <c r="V30" i="26"/>
  <c r="V30" i="40"/>
  <c r="V30" i="25"/>
  <c r="V30" i="24"/>
  <c r="V30" i="41"/>
  <c r="V30" i="37"/>
  <c r="V30" i="27"/>
  <c r="V30" i="36"/>
  <c r="V30" i="35"/>
  <c r="V30" i="23"/>
  <c r="V30" i="22"/>
  <c r="V30" i="34"/>
  <c r="V30" i="31"/>
  <c r="V30" i="30"/>
  <c r="V30" i="39"/>
  <c r="V30" i="21"/>
  <c r="V30" i="20"/>
  <c r="V30" i="19"/>
  <c r="V30" i="18"/>
  <c r="V30" i="16"/>
  <c r="V30" i="15"/>
  <c r="V30" i="13"/>
  <c r="CO30" i="1"/>
  <c r="CQ30" i="1" s="1"/>
  <c r="CS30" i="1" s="1"/>
  <c r="BF30" i="1"/>
  <c r="BH30" i="1" s="1"/>
  <c r="BJ30" i="1" s="1"/>
  <c r="W30" i="1"/>
  <c r="Y30" i="1" s="1"/>
  <c r="K24" i="5"/>
  <c r="O69" i="9"/>
  <c r="I24" i="5"/>
  <c r="H67" i="10"/>
  <c r="AC14" i="21"/>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D16" i="5"/>
  <c r="J16" i="5" s="1"/>
  <c r="CO99" i="1" s="1"/>
  <c r="CQ99" i="1" s="1"/>
  <c r="CR99" i="1" s="1"/>
  <c r="D31" i="5"/>
  <c r="J31" i="5" s="1"/>
  <c r="CO114" i="1" s="1"/>
  <c r="CP114" i="1" s="1"/>
  <c r="Q23" i="5"/>
  <c r="M23" i="5" s="1"/>
  <c r="O23" i="5" s="1"/>
  <c r="Q14" i="5"/>
  <c r="M14" i="5" s="1"/>
  <c r="O14" i="5" s="1"/>
  <c r="D23" i="5"/>
  <c r="J23" i="5" s="1"/>
  <c r="CO106" i="1" s="1"/>
  <c r="CP106" i="1" s="1"/>
  <c r="Q35" i="5"/>
  <c r="M35" i="5" s="1"/>
  <c r="O35" i="5" s="1"/>
  <c r="K37" i="5"/>
  <c r="Q4" i="9"/>
  <c r="R4" i="9" s="1"/>
  <c r="AO52" i="13"/>
  <c r="AO65" i="13"/>
  <c r="AO48" i="13"/>
  <c r="AO14" i="13"/>
  <c r="AO77" i="13"/>
  <c r="AO30" i="13"/>
  <c r="O80" i="9"/>
  <c r="CP100" i="1"/>
  <c r="CQ100" i="1"/>
  <c r="CR100" i="1" s="1"/>
  <c r="CP116" i="1"/>
  <c r="CQ116" i="1"/>
  <c r="CR116" i="1" s="1"/>
  <c r="CQ110" i="1"/>
  <c r="CR110" i="1" s="1"/>
  <c r="CP110" i="1"/>
  <c r="CQ97" i="1"/>
  <c r="CR97" i="1" s="1"/>
  <c r="CP97" i="1"/>
  <c r="CQ98" i="1"/>
  <c r="CR98" i="1" s="1"/>
  <c r="CP98" i="1"/>
  <c r="CQ113" i="1"/>
  <c r="CR113" i="1" s="1"/>
  <c r="CP113" i="1"/>
  <c r="CP115" i="1"/>
  <c r="CQ115" i="1"/>
  <c r="CR115" i="1" s="1"/>
  <c r="CQ112" i="1"/>
  <c r="CR112" i="1" s="1"/>
  <c r="CP112" i="1"/>
  <c r="CQ117" i="1"/>
  <c r="CR117" i="1" s="1"/>
  <c r="CP117" i="1"/>
  <c r="CP108" i="1"/>
  <c r="CQ108" i="1"/>
  <c r="CR108"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CR30" i="1"/>
  <c r="Q26" i="5"/>
  <c r="M26" i="5" s="1"/>
  <c r="O26" i="5" s="1"/>
  <c r="BF97" i="1"/>
  <c r="W97" i="1"/>
  <c r="BF98" i="1"/>
  <c r="W98" i="1"/>
  <c r="BF113" i="1"/>
  <c r="W113" i="1"/>
  <c r="H11" i="10"/>
  <c r="BF117" i="1"/>
  <c r="W117" i="1"/>
  <c r="BF108" i="1"/>
  <c r="W108"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BF100" i="1"/>
  <c r="W100" i="1"/>
  <c r="BF116" i="1"/>
  <c r="W116" i="1"/>
  <c r="AD14"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D13" i="5"/>
  <c r="J13" i="5" s="1"/>
  <c r="CO96" i="1" s="1"/>
  <c r="D22" i="5"/>
  <c r="J22" i="5" s="1"/>
  <c r="CO105" i="1" s="1"/>
  <c r="S48" i="9"/>
  <c r="Q69" i="9"/>
  <c r="R69" i="9" s="1"/>
  <c r="T69" i="9" s="1"/>
  <c r="V69" i="9" s="1"/>
  <c r="K15" i="5"/>
  <c r="Q45" i="9"/>
  <c r="R45" i="9" s="1"/>
  <c r="T45" i="9" s="1"/>
  <c r="U45" i="9" s="1"/>
  <c r="I20" i="5"/>
  <c r="K20" i="5"/>
  <c r="I33" i="5"/>
  <c r="Q22" i="9"/>
  <c r="R22" i="9" s="1"/>
  <c r="T22" i="9" s="1"/>
  <c r="V22" i="9" s="1"/>
  <c r="S49" i="9"/>
  <c r="K33" i="5"/>
  <c r="Q80" i="9"/>
  <c r="R80" i="9" s="1"/>
  <c r="T80" i="9" s="1"/>
  <c r="U80" i="9" s="1"/>
  <c r="H66" i="9"/>
  <c r="S46" i="9"/>
  <c r="S47" i="9"/>
  <c r="S75" i="9"/>
  <c r="S34" i="9"/>
  <c r="O22" i="9"/>
  <c r="I17" i="5"/>
  <c r="S19" i="9"/>
  <c r="Q24" i="9"/>
  <c r="R24" i="9" s="1"/>
  <c r="Q17" i="9"/>
  <c r="R17" i="9" s="1"/>
  <c r="T17" i="9" s="1"/>
  <c r="U17" i="9" s="1"/>
  <c r="I14" i="5"/>
  <c r="O27" i="9"/>
  <c r="X39" i="46" s="1"/>
  <c r="O24" i="9"/>
  <c r="X36" i="46" s="1"/>
  <c r="S38" i="9"/>
  <c r="S31" i="9"/>
  <c r="S56" i="9"/>
  <c r="S72" i="9"/>
  <c r="S70" i="9"/>
  <c r="S9" i="9"/>
  <c r="S71" i="9"/>
  <c r="V57" i="9"/>
  <c r="S42" i="9"/>
  <c r="S37" i="9"/>
  <c r="T30" i="9"/>
  <c r="V30" i="9" s="1"/>
  <c r="S3" i="9"/>
  <c r="T3" i="9"/>
  <c r="V3" i="9" s="1"/>
  <c r="V32" i="9"/>
  <c r="S32" i="9"/>
  <c r="S11" i="9"/>
  <c r="U53" i="9"/>
  <c r="V65" i="44" s="1"/>
  <c r="T48" i="9"/>
  <c r="V48" i="9" s="1"/>
  <c r="W18" i="9"/>
  <c r="W2" i="9"/>
  <c r="S36" i="9"/>
  <c r="U36" i="9"/>
  <c r="V48" i="33" s="1"/>
  <c r="S18" i="9"/>
  <c r="S62" i="9"/>
  <c r="S8" i="9"/>
  <c r="U40" i="9"/>
  <c r="V52" i="43" s="1"/>
  <c r="Y52" i="43" s="1"/>
  <c r="S60" i="9"/>
  <c r="V61" i="9"/>
  <c r="T46" i="9"/>
  <c r="U46" i="9" s="1"/>
  <c r="T37" i="9"/>
  <c r="T9" i="9"/>
  <c r="V9" i="9" s="1"/>
  <c r="O17" i="9"/>
  <c r="X29" i="46" s="1"/>
  <c r="S20" i="9"/>
  <c r="V11" i="9"/>
  <c r="O45" i="9"/>
  <c r="T62" i="9"/>
  <c r="V62" i="9" s="1"/>
  <c r="S13" i="9"/>
  <c r="S14" i="9"/>
  <c r="K14" i="5"/>
  <c r="T31" i="9"/>
  <c r="V31" i="9" s="1"/>
  <c r="Q27" i="9"/>
  <c r="Q15" i="9"/>
  <c r="R15" i="9" s="1"/>
  <c r="T15" i="9" s="1"/>
  <c r="U15" i="9" s="1"/>
  <c r="K17" i="5"/>
  <c r="S57" i="9"/>
  <c r="S43" i="9"/>
  <c r="S40" i="9"/>
  <c r="S7" i="9"/>
  <c r="S52" i="9"/>
  <c r="S74" i="9"/>
  <c r="Q76" i="9"/>
  <c r="R76" i="9" s="1"/>
  <c r="T76" i="9" s="1"/>
  <c r="V76" i="9" s="1"/>
  <c r="S53" i="9"/>
  <c r="S54" i="9"/>
  <c r="Q79" i="9"/>
  <c r="R79" i="9" s="1"/>
  <c r="O79" i="9"/>
  <c r="O76" i="9"/>
  <c r="N94" i="5"/>
  <c r="O94" i="5" s="1"/>
  <c r="Q13" i="5"/>
  <c r="M13" i="5" s="1"/>
  <c r="O13" i="5" s="1"/>
  <c r="H58" i="9"/>
  <c r="H10" i="9"/>
  <c r="S44" i="9"/>
  <c r="O15" i="9"/>
  <c r="I27" i="5"/>
  <c r="O4" i="9"/>
  <c r="I15" i="5"/>
  <c r="S39" i="9"/>
  <c r="S12" i="9"/>
  <c r="S61" i="9"/>
  <c r="S6" i="9"/>
  <c r="S5" i="9"/>
  <c r="S35" i="9"/>
  <c r="S67" i="9"/>
  <c r="S55" i="9"/>
  <c r="S78" i="9"/>
  <c r="S68" i="9"/>
  <c r="T19" i="9"/>
  <c r="V19" i="9" s="1"/>
  <c r="S63" i="9"/>
  <c r="S29" i="9"/>
  <c r="S41" i="9"/>
  <c r="T60" i="9"/>
  <c r="U60" i="9" s="1"/>
  <c r="U65" i="9"/>
  <c r="V77" i="39" s="1"/>
  <c r="S33" i="9"/>
  <c r="S65" i="9"/>
  <c r="S51" i="9"/>
  <c r="S73" i="9"/>
  <c r="Q23" i="9"/>
  <c r="R23" i="9" s="1"/>
  <c r="R77" i="9"/>
  <c r="T77" i="9" s="1"/>
  <c r="U77" i="9" s="1"/>
  <c r="T5" i="9"/>
  <c r="V5" i="9" s="1"/>
  <c r="O17" i="5"/>
  <c r="Q16" i="9"/>
  <c r="R16" i="9" s="1"/>
  <c r="Q26" i="9"/>
  <c r="R26" i="9" s="1"/>
  <c r="O16" i="9"/>
  <c r="I37" i="5"/>
  <c r="O50" i="9"/>
  <c r="O26" i="9"/>
  <c r="U73" i="9"/>
  <c r="V73" i="9"/>
  <c r="T55" i="9"/>
  <c r="U55" i="9" s="1"/>
  <c r="K35" i="5"/>
  <c r="I35" i="5"/>
  <c r="T49" i="9"/>
  <c r="V49" i="9" s="1"/>
  <c r="S28" i="9"/>
  <c r="K40" i="5"/>
  <c r="I40" i="5"/>
  <c r="O77" i="9"/>
  <c r="X89" i="46" s="1"/>
  <c r="AG77" i="9"/>
  <c r="AH77" i="9" s="1"/>
  <c r="Q50" i="9"/>
  <c r="R50" i="9" s="1"/>
  <c r="AG64" i="9"/>
  <c r="AH64" i="9" s="1"/>
  <c r="Q64" i="9"/>
  <c r="R64" i="9" s="1"/>
  <c r="S21" i="9"/>
  <c r="S59" i="9"/>
  <c r="V28" i="9"/>
  <c r="K29" i="5"/>
  <c r="I29" i="5"/>
  <c r="K30" i="5"/>
  <c r="I30" i="5"/>
  <c r="K32" i="5"/>
  <c r="I32" i="5"/>
  <c r="K34" i="5"/>
  <c r="I34" i="5"/>
  <c r="K25" i="5"/>
  <c r="I25" i="5"/>
  <c r="K36" i="5"/>
  <c r="I36" i="5"/>
  <c r="K28" i="5"/>
  <c r="I28" i="5"/>
  <c r="U38" i="9"/>
  <c r="V38" i="9"/>
  <c r="V43" i="9"/>
  <c r="U43" i="9"/>
  <c r="U75" i="9"/>
  <c r="V75" i="9"/>
  <c r="U42" i="9"/>
  <c r="V42" i="9"/>
  <c r="W65" i="9"/>
  <c r="V29" i="9"/>
  <c r="U29" i="9"/>
  <c r="V47" i="9"/>
  <c r="U47" i="9"/>
  <c r="V41" i="9"/>
  <c r="U41" i="9"/>
  <c r="W36" i="9"/>
  <c r="W40" i="9"/>
  <c r="V56" i="9"/>
  <c r="U56" i="9"/>
  <c r="V35" i="9"/>
  <c r="U35" i="9"/>
  <c r="U59" i="9"/>
  <c r="V59" i="9"/>
  <c r="V72" i="9"/>
  <c r="U72" i="9"/>
  <c r="U13" i="9"/>
  <c r="V13" i="9"/>
  <c r="V6" i="9"/>
  <c r="U6" i="9"/>
  <c r="U12" i="9"/>
  <c r="V12" i="9"/>
  <c r="T2" i="9"/>
  <c r="U2" i="9" s="1"/>
  <c r="S2" i="9"/>
  <c r="U21" i="9"/>
  <c r="V21" i="9"/>
  <c r="V68" i="9"/>
  <c r="U68" i="9"/>
  <c r="U34" i="9"/>
  <c r="V34" i="9"/>
  <c r="V54" i="9"/>
  <c r="U54" i="9"/>
  <c r="U71" i="9"/>
  <c r="V71" i="9"/>
  <c r="V52" i="9"/>
  <c r="U52" i="9"/>
  <c r="V7" i="9"/>
  <c r="U7" i="9"/>
  <c r="U63" i="9"/>
  <c r="V63" i="9"/>
  <c r="V44" i="9"/>
  <c r="U44" i="9"/>
  <c r="U14" i="9"/>
  <c r="V14" i="9"/>
  <c r="V33" i="9"/>
  <c r="U33" i="9"/>
  <c r="V70" i="9"/>
  <c r="U70" i="9"/>
  <c r="V74" i="9"/>
  <c r="U74" i="9"/>
  <c r="U20" i="9"/>
  <c r="V20" i="9"/>
  <c r="W53" i="9"/>
  <c r="U67" i="9"/>
  <c r="V67" i="9"/>
  <c r="U78" i="9"/>
  <c r="V78" i="9"/>
  <c r="U51" i="9"/>
  <c r="V51" i="9"/>
  <c r="V39" i="9"/>
  <c r="U39" i="9"/>
  <c r="V8" i="9"/>
  <c r="U8" i="9"/>
  <c r="AH49" i="47" l="1"/>
  <c r="AI49" i="47"/>
  <c r="AF49" i="47"/>
  <c r="AC49" i="47"/>
  <c r="AG49" i="47"/>
  <c r="AO49" i="47"/>
  <c r="V83" i="47"/>
  <c r="V83" i="46"/>
  <c r="V33" i="47"/>
  <c r="V33" i="46"/>
  <c r="V25" i="47"/>
  <c r="V25" i="46"/>
  <c r="V55" i="47"/>
  <c r="V55" i="46"/>
  <c r="V85" i="46"/>
  <c r="V85" i="47"/>
  <c r="V43" i="46"/>
  <c r="V43" i="47"/>
  <c r="V69" i="46"/>
  <c r="V69" i="47"/>
  <c r="V34" i="47"/>
  <c r="V34" i="46"/>
  <c r="AA49" i="47"/>
  <c r="AE49" i="47"/>
  <c r="V56" i="46"/>
  <c r="V56" i="47"/>
  <c r="V41" i="47"/>
  <c r="V41" i="46"/>
  <c r="V40" i="46"/>
  <c r="V40" i="47"/>
  <c r="V17" i="47"/>
  <c r="V17" i="46"/>
  <c r="V21" i="46"/>
  <c r="V21" i="47"/>
  <c r="X77" i="46"/>
  <c r="Y77" i="46"/>
  <c r="V90" i="47"/>
  <c r="V90" i="46"/>
  <c r="V68" i="46"/>
  <c r="V68" i="47"/>
  <c r="V50" i="47"/>
  <c r="V50" i="46"/>
  <c r="V75" i="47"/>
  <c r="V75" i="46"/>
  <c r="V44" i="47"/>
  <c r="V44" i="46"/>
  <c r="V37" i="46"/>
  <c r="V37" i="47"/>
  <c r="X37" i="47" s="1"/>
  <c r="AN49" i="47"/>
  <c r="AJ49" i="47"/>
  <c r="Z49" i="47"/>
  <c r="V86" i="46"/>
  <c r="V86" i="47"/>
  <c r="V79" i="46"/>
  <c r="V79" i="47"/>
  <c r="V82" i="47"/>
  <c r="V82" i="46"/>
  <c r="V66" i="47"/>
  <c r="V66" i="46"/>
  <c r="V84" i="47"/>
  <c r="V84" i="46"/>
  <c r="V54" i="46"/>
  <c r="V54" i="47"/>
  <c r="V15" i="46"/>
  <c r="V15" i="47"/>
  <c r="F49" i="47"/>
  <c r="X48" i="46"/>
  <c r="Y48" i="46"/>
  <c r="V20" i="47"/>
  <c r="V20" i="46"/>
  <c r="V46" i="46"/>
  <c r="V46" i="47"/>
  <c r="V24" i="46"/>
  <c r="V24" i="47"/>
  <c r="V71" i="46"/>
  <c r="V71" i="47"/>
  <c r="V61" i="46"/>
  <c r="V61" i="47"/>
  <c r="V74" i="47"/>
  <c r="V74" i="46"/>
  <c r="V73" i="46"/>
  <c r="V73" i="47"/>
  <c r="AP49" i="47"/>
  <c r="AD49" i="47"/>
  <c r="X65" i="46"/>
  <c r="Y65" i="46"/>
  <c r="X52" i="46"/>
  <c r="Y52" i="46"/>
  <c r="V45" i="46"/>
  <c r="V45" i="47"/>
  <c r="V53" i="46"/>
  <c r="V53" i="47"/>
  <c r="V87" i="46"/>
  <c r="V87" i="47"/>
  <c r="V31" i="47"/>
  <c r="V31" i="46"/>
  <c r="V42" i="47"/>
  <c r="V42" i="46"/>
  <c r="V19" i="47"/>
  <c r="V19" i="46"/>
  <c r="V26" i="47"/>
  <c r="V26" i="46"/>
  <c r="V88" i="47"/>
  <c r="V88" i="46"/>
  <c r="V23" i="47"/>
  <c r="V23" i="46"/>
  <c r="V60" i="47"/>
  <c r="V60" i="46"/>
  <c r="V81" i="46"/>
  <c r="V81" i="47"/>
  <c r="AM49" i="47"/>
  <c r="V51" i="47"/>
  <c r="V51" i="46"/>
  <c r="V32" i="46"/>
  <c r="V32" i="47"/>
  <c r="V63" i="47"/>
  <c r="V63" i="46"/>
  <c r="V64" i="46"/>
  <c r="V64" i="47"/>
  <c r="V80" i="47"/>
  <c r="V80" i="46"/>
  <c r="V18" i="47"/>
  <c r="V18" i="46"/>
  <c r="V47" i="47"/>
  <c r="V47" i="46"/>
  <c r="V59" i="47"/>
  <c r="V59" i="46"/>
  <c r="AG14" i="46"/>
  <c r="AK14" i="46"/>
  <c r="F14" i="46"/>
  <c r="AL30" i="46"/>
  <c r="BI30" i="1"/>
  <c r="AN30" i="46"/>
  <c r="AK30" i="46"/>
  <c r="AD30" i="46"/>
  <c r="AP30" i="46"/>
  <c r="AE30" i="46"/>
  <c r="AM30" i="46"/>
  <c r="AI30" i="46"/>
  <c r="AH30" i="46"/>
  <c r="Z30" i="46"/>
  <c r="AF30" i="46"/>
  <c r="F30" i="46"/>
  <c r="AO30" i="46"/>
  <c r="AB30" i="46"/>
  <c r="AO14" i="46"/>
  <c r="AM14" i="46"/>
  <c r="BF106" i="1"/>
  <c r="Y89" i="47"/>
  <c r="Y36" i="47"/>
  <c r="AE14" i="46"/>
  <c r="AP14" i="46"/>
  <c r="AD30" i="47"/>
  <c r="AP30" i="47"/>
  <c r="AA30" i="47"/>
  <c r="AM30" i="47"/>
  <c r="F30" i="47"/>
  <c r="Z30" i="47"/>
  <c r="AL30" i="47"/>
  <c r="AO30" i="47"/>
  <c r="AG30" i="47"/>
  <c r="AI30" i="47"/>
  <c r="AF30" i="47"/>
  <c r="AJ30" i="47"/>
  <c r="AH30" i="47"/>
  <c r="AK30" i="47"/>
  <c r="AE30" i="47"/>
  <c r="AB30" i="47"/>
  <c r="AC30" i="47"/>
  <c r="AN30" i="47"/>
  <c r="AM52" i="47"/>
  <c r="AL52" i="47"/>
  <c r="AC52" i="47"/>
  <c r="AD52" i="47"/>
  <c r="AF52" i="47"/>
  <c r="AB52" i="47"/>
  <c r="AA52" i="47"/>
  <c r="AK52" i="47"/>
  <c r="AJ52" i="47"/>
  <c r="AP52" i="47"/>
  <c r="AO52" i="47"/>
  <c r="Z52" i="47"/>
  <c r="AE52" i="47"/>
  <c r="AH52" i="47"/>
  <c r="F52" i="47"/>
  <c r="AG52" i="47"/>
  <c r="AI52" i="47"/>
  <c r="AN52" i="47"/>
  <c r="AD14" i="47"/>
  <c r="AA14" i="47"/>
  <c r="AB14" i="47"/>
  <c r="AO14" i="47"/>
  <c r="AH14" i="47"/>
  <c r="AG14" i="47"/>
  <c r="Z14" i="47"/>
  <c r="AF14" i="47"/>
  <c r="AE14" i="47"/>
  <c r="AM14" i="47"/>
  <c r="F14" i="47"/>
  <c r="AJ14" i="47"/>
  <c r="AI14" i="47"/>
  <c r="AL14" i="47"/>
  <c r="AK14" i="47"/>
  <c r="AC14" i="47"/>
  <c r="AN14" i="47"/>
  <c r="AP14" i="47"/>
  <c r="Y81" i="47"/>
  <c r="AD14" i="46"/>
  <c r="AN14" i="46"/>
  <c r="X77" i="47"/>
  <c r="W106" i="1"/>
  <c r="Y39" i="47"/>
  <c r="AI14" i="46"/>
  <c r="AC14" i="46"/>
  <c r="AH14" i="46"/>
  <c r="X89" i="47"/>
  <c r="AO29" i="46"/>
  <c r="X29" i="47"/>
  <c r="X36" i="47"/>
  <c r="Y34" i="47"/>
  <c r="AA14" i="46"/>
  <c r="AF14" i="46"/>
  <c r="AJ14" i="46"/>
  <c r="Y65" i="47"/>
  <c r="Z65" i="47"/>
  <c r="AD65" i="47"/>
  <c r="AG65" i="47"/>
  <c r="AA65" i="47"/>
  <c r="AF65" i="47"/>
  <c r="AL65" i="47"/>
  <c r="AE65" i="47"/>
  <c r="AJ65" i="47"/>
  <c r="AK65" i="47"/>
  <c r="F65" i="47"/>
  <c r="AC65" i="47"/>
  <c r="AI65" i="47"/>
  <c r="AM65" i="47"/>
  <c r="AB65" i="47"/>
  <c r="AO65" i="47"/>
  <c r="AH65" i="47"/>
  <c r="AP65" i="47"/>
  <c r="AN65" i="47"/>
  <c r="Y88" i="47"/>
  <c r="X88" i="47"/>
  <c r="AH39" i="46"/>
  <c r="X39" i="47"/>
  <c r="Y29" i="47"/>
  <c r="Z14" i="46"/>
  <c r="X48" i="47"/>
  <c r="AC77" i="46"/>
  <c r="F77" i="46"/>
  <c r="AB77" i="46"/>
  <c r="AF77" i="46"/>
  <c r="AA77" i="46"/>
  <c r="AH77" i="46"/>
  <c r="AE77" i="46"/>
  <c r="AG77" i="46"/>
  <c r="AD77" i="46"/>
  <c r="AM77" i="46"/>
  <c r="AJ77" i="46"/>
  <c r="AI77" i="46"/>
  <c r="Z77" i="46"/>
  <c r="AP77" i="46"/>
  <c r="AN77" i="46"/>
  <c r="AO77" i="46"/>
  <c r="AL77" i="46"/>
  <c r="AK77" i="46"/>
  <c r="AD89" i="46"/>
  <c r="AJ89" i="46"/>
  <c r="AL89" i="46"/>
  <c r="AI89" i="46"/>
  <c r="AB89" i="46"/>
  <c r="AA89" i="46"/>
  <c r="AE89" i="46"/>
  <c r="AH89" i="46"/>
  <c r="Z89" i="46"/>
  <c r="AK89" i="46"/>
  <c r="AG89" i="46"/>
  <c r="F89" i="46"/>
  <c r="AF89" i="46"/>
  <c r="AC89" i="46"/>
  <c r="AP89" i="46"/>
  <c r="AM89" i="46"/>
  <c r="AO89" i="46"/>
  <c r="AN89" i="46"/>
  <c r="Z29" i="46"/>
  <c r="AK29" i="46"/>
  <c r="F36" i="46"/>
  <c r="AC36" i="46"/>
  <c r="AF36" i="46"/>
  <c r="AE36" i="46"/>
  <c r="AK36" i="46"/>
  <c r="AG36" i="46"/>
  <c r="AM36" i="46"/>
  <c r="AB36" i="46"/>
  <c r="AH36" i="46"/>
  <c r="Z36" i="46"/>
  <c r="AO36" i="46"/>
  <c r="AJ36" i="46"/>
  <c r="AI36" i="46"/>
  <c r="AD36" i="46"/>
  <c r="AA36" i="46"/>
  <c r="AP36" i="46"/>
  <c r="AL36" i="46"/>
  <c r="AN36" i="46"/>
  <c r="AL39" i="46"/>
  <c r="AJ39" i="46"/>
  <c r="AG48" i="46"/>
  <c r="AA48" i="46"/>
  <c r="AB48" i="46"/>
  <c r="AJ48" i="46"/>
  <c r="AE48" i="46"/>
  <c r="AF48" i="46"/>
  <c r="Z48" i="46"/>
  <c r="AD48" i="46"/>
  <c r="AK48" i="46"/>
  <c r="AI48" i="46"/>
  <c r="AC48" i="46"/>
  <c r="F48" i="46"/>
  <c r="AH48" i="46"/>
  <c r="AL48" i="46"/>
  <c r="AP48" i="46"/>
  <c r="AM48" i="46"/>
  <c r="AO48" i="46"/>
  <c r="AN48" i="46"/>
  <c r="AG65" i="46"/>
  <c r="Z65" i="46"/>
  <c r="AH65" i="46"/>
  <c r="AL65" i="46"/>
  <c r="AJ65" i="46"/>
  <c r="AK65" i="46"/>
  <c r="AC65" i="46"/>
  <c r="AA65" i="46"/>
  <c r="F65" i="46"/>
  <c r="AI65" i="46"/>
  <c r="AD65" i="46"/>
  <c r="AE65" i="46"/>
  <c r="AF65" i="46"/>
  <c r="AB65" i="46"/>
  <c r="AO65" i="46"/>
  <c r="AP65" i="46"/>
  <c r="AM65" i="46"/>
  <c r="AN65" i="46"/>
  <c r="AD52" i="46"/>
  <c r="AA52" i="46"/>
  <c r="Z52" i="46"/>
  <c r="F52" i="46"/>
  <c r="AC52" i="46"/>
  <c r="AG52" i="46"/>
  <c r="AE52" i="46"/>
  <c r="AI52" i="46"/>
  <c r="AJ52" i="46"/>
  <c r="AO52" i="46"/>
  <c r="AK52" i="46"/>
  <c r="AM52" i="46"/>
  <c r="AP52" i="46"/>
  <c r="AB52" i="46"/>
  <c r="AH52" i="46"/>
  <c r="AF52" i="46"/>
  <c r="AL52" i="46"/>
  <c r="AN52" i="46"/>
  <c r="P94" i="5"/>
  <c r="AI58" i="9"/>
  <c r="P167" i="5"/>
  <c r="AI66" i="9"/>
  <c r="P124" i="5"/>
  <c r="AI10" i="9"/>
  <c r="Y22" i="46" s="1"/>
  <c r="AI30" i="44"/>
  <c r="BF65" i="1"/>
  <c r="BH65" i="1" s="1"/>
  <c r="BJ65" i="1" s="1"/>
  <c r="V65" i="13"/>
  <c r="V48" i="19"/>
  <c r="V48" i="27"/>
  <c r="V48" i="24"/>
  <c r="V48" i="34"/>
  <c r="V65" i="32"/>
  <c r="V65" i="30"/>
  <c r="V65" i="39"/>
  <c r="V77" i="32"/>
  <c r="V77" i="27"/>
  <c r="V77" i="42"/>
  <c r="V52" i="26"/>
  <c r="V52" i="35"/>
  <c r="CO77" i="1"/>
  <c r="V77" i="15"/>
  <c r="V65" i="18"/>
  <c r="V48" i="20"/>
  <c r="V48" i="28"/>
  <c r="V48" i="39"/>
  <c r="V48" i="38"/>
  <c r="V65" i="24"/>
  <c r="V65" i="33"/>
  <c r="V65" i="42"/>
  <c r="V77" i="23"/>
  <c r="V77" i="31"/>
  <c r="V77" i="43"/>
  <c r="Y77" i="43" s="1"/>
  <c r="V52" i="28"/>
  <c r="V52" i="34"/>
  <c r="V77" i="44"/>
  <c r="W77" i="1"/>
  <c r="Y77" i="1" s="1"/>
  <c r="BF77" i="1"/>
  <c r="BI77" i="1" s="1"/>
  <c r="BK77" i="1" s="1"/>
  <c r="V77" i="16"/>
  <c r="V65" i="19"/>
  <c r="V48" i="21"/>
  <c r="V48" i="35"/>
  <c r="V48" i="30"/>
  <c r="V48" i="41"/>
  <c r="V65" i="29"/>
  <c r="V65" i="38"/>
  <c r="V65" i="41"/>
  <c r="V77" i="22"/>
  <c r="V77" i="35"/>
  <c r="V52" i="23"/>
  <c r="V52" i="29"/>
  <c r="V52" i="38"/>
  <c r="V48" i="16"/>
  <c r="V77" i="13"/>
  <c r="V65" i="20"/>
  <c r="V48" i="25"/>
  <c r="V48" i="32"/>
  <c r="V48" i="40"/>
  <c r="V65" i="34"/>
  <c r="V65" i="28"/>
  <c r="V65" i="43"/>
  <c r="Y65" i="43" s="1"/>
  <c r="V77" i="34"/>
  <c r="V77" i="36"/>
  <c r="V52" i="24"/>
  <c r="V52" i="30"/>
  <c r="V52" i="42"/>
  <c r="V89" i="44"/>
  <c r="V89" i="43"/>
  <c r="Y89" i="43" s="1"/>
  <c r="V89" i="24"/>
  <c r="V89" i="33"/>
  <c r="V89" i="27"/>
  <c r="V89" i="23"/>
  <c r="V89" i="42"/>
  <c r="V89" i="31"/>
  <c r="V89" i="40"/>
  <c r="V89" i="38"/>
  <c r="V89" i="36"/>
  <c r="V89" i="30"/>
  <c r="V89" i="29"/>
  <c r="V89" i="25"/>
  <c r="V89" i="22"/>
  <c r="V89" i="41"/>
  <c r="V89" i="32"/>
  <c r="V89" i="26"/>
  <c r="V89" i="39"/>
  <c r="V89" i="37"/>
  <c r="V89" i="35"/>
  <c r="V89" i="34"/>
  <c r="V89" i="28"/>
  <c r="V89" i="21"/>
  <c r="V89" i="20"/>
  <c r="V89" i="19"/>
  <c r="V89" i="18"/>
  <c r="V89" i="15"/>
  <c r="V89" i="16"/>
  <c r="V89" i="13"/>
  <c r="CO89" i="1"/>
  <c r="CQ89" i="1" s="1"/>
  <c r="BF89" i="1"/>
  <c r="BH89" i="1" s="1"/>
  <c r="BJ89" i="1" s="1"/>
  <c r="W89" i="1"/>
  <c r="Y89" i="1" s="1"/>
  <c r="W48" i="1"/>
  <c r="Y48" i="1" s="1"/>
  <c r="V48" i="15"/>
  <c r="V52" i="16"/>
  <c r="V52" i="18"/>
  <c r="V65" i="21"/>
  <c r="V48" i="29"/>
  <c r="V48" i="37"/>
  <c r="V48" i="42"/>
  <c r="V65" i="22"/>
  <c r="V65" i="31"/>
  <c r="V77" i="29"/>
  <c r="V77" i="37"/>
  <c r="V77" i="33"/>
  <c r="V52" i="25"/>
  <c r="V52" i="31"/>
  <c r="V52" i="39"/>
  <c r="V14" i="44"/>
  <c r="V14" i="43"/>
  <c r="Y14" i="43" s="1"/>
  <c r="V14" i="39"/>
  <c r="V14" i="38"/>
  <c r="V14" i="25"/>
  <c r="V14" i="37"/>
  <c r="V14" i="41"/>
  <c r="V14" i="33"/>
  <c r="V14" i="31"/>
  <c r="V14" i="29"/>
  <c r="V14" i="27"/>
  <c r="V14" i="35"/>
  <c r="V14" i="30"/>
  <c r="V14" i="24"/>
  <c r="V14" i="22"/>
  <c r="V14" i="40"/>
  <c r="V14" i="36"/>
  <c r="V14" i="32"/>
  <c r="V14" i="26"/>
  <c r="V14" i="42"/>
  <c r="V14" i="28"/>
  <c r="V14" i="34"/>
  <c r="V14" i="23"/>
  <c r="V14" i="21"/>
  <c r="V14" i="20"/>
  <c r="V14" i="19"/>
  <c r="V14" i="18"/>
  <c r="V14" i="15"/>
  <c r="V14" i="16"/>
  <c r="V14" i="13"/>
  <c r="CO14" i="1"/>
  <c r="BF14" i="1"/>
  <c r="W14" i="1"/>
  <c r="Y14" i="1" s="1"/>
  <c r="V29" i="44"/>
  <c r="V29" i="43"/>
  <c r="Y29" i="43" s="1"/>
  <c r="V29" i="42"/>
  <c r="V29" i="32"/>
  <c r="V29" i="25"/>
  <c r="V29" i="41"/>
  <c r="V29" i="37"/>
  <c r="V29" i="27"/>
  <c r="V29" i="24"/>
  <c r="V29" i="31"/>
  <c r="V29" i="30"/>
  <c r="V29" i="22"/>
  <c r="V29" i="39"/>
  <c r="V29" i="36"/>
  <c r="V29" i="35"/>
  <c r="V29" i="34"/>
  <c r="V29" i="38"/>
  <c r="V29" i="33"/>
  <c r="V29" i="28"/>
  <c r="V29" i="23"/>
  <c r="V29" i="40"/>
  <c r="V29" i="29"/>
  <c r="V29" i="26"/>
  <c r="V29" i="21"/>
  <c r="V29" i="20"/>
  <c r="V29" i="19"/>
  <c r="V29" i="18"/>
  <c r="V29" i="16"/>
  <c r="V29" i="15"/>
  <c r="V29" i="13"/>
  <c r="CO29" i="1"/>
  <c r="CQ29" i="1" s="1"/>
  <c r="BF29" i="1"/>
  <c r="BH29" i="1" s="1"/>
  <c r="BJ29" i="1" s="1"/>
  <c r="W29" i="1"/>
  <c r="Y29" i="1" s="1"/>
  <c r="W65" i="1"/>
  <c r="Y65" i="1" s="1"/>
  <c r="CO52" i="1"/>
  <c r="CR52" i="1" s="1"/>
  <c r="CO48" i="1"/>
  <c r="CR48" i="1" s="1"/>
  <c r="V48" i="13"/>
  <c r="V52" i="15"/>
  <c r="V52" i="19"/>
  <c r="V77" i="20"/>
  <c r="V48" i="23"/>
  <c r="V48" i="36"/>
  <c r="V48" i="43"/>
  <c r="Y48" i="43" s="1"/>
  <c r="V65" i="25"/>
  <c r="V65" i="40"/>
  <c r="V77" i="25"/>
  <c r="V77" i="38"/>
  <c r="V77" i="41"/>
  <c r="V52" i="27"/>
  <c r="V52" i="37"/>
  <c r="V52" i="41"/>
  <c r="V48" i="44"/>
  <c r="V52" i="44"/>
  <c r="W52" i="1"/>
  <c r="Y52" i="1" s="1"/>
  <c r="BF52" i="1"/>
  <c r="BH52" i="1" s="1"/>
  <c r="BJ52" i="1" s="1"/>
  <c r="BF48" i="1"/>
  <c r="BI48" i="1" s="1"/>
  <c r="BQ48" i="1" s="1"/>
  <c r="V65" i="16"/>
  <c r="V52" i="13"/>
  <c r="V77" i="18"/>
  <c r="V52" i="20"/>
  <c r="V77" i="21"/>
  <c r="V48" i="26"/>
  <c r="V48" i="31"/>
  <c r="V65" i="23"/>
  <c r="V65" i="27"/>
  <c r="V65" i="36"/>
  <c r="V77" i="26"/>
  <c r="V77" i="28"/>
  <c r="V77" i="40"/>
  <c r="V52" i="33"/>
  <c r="V52" i="32"/>
  <c r="V52" i="40"/>
  <c r="CO65" i="1"/>
  <c r="CR65" i="1" s="1"/>
  <c r="V65" i="15"/>
  <c r="V48" i="18"/>
  <c r="V77" i="19"/>
  <c r="V52" i="21"/>
  <c r="V48" i="22"/>
  <c r="V65" i="26"/>
  <c r="V65" i="35"/>
  <c r="V65" i="37"/>
  <c r="V77" i="24"/>
  <c r="V77" i="30"/>
  <c r="V52" i="22"/>
  <c r="V52" i="36"/>
  <c r="CQ106" i="1"/>
  <c r="CR106" i="1" s="1"/>
  <c r="I23" i="5"/>
  <c r="K23" i="5"/>
  <c r="AI65" i="44"/>
  <c r="V66" i="44"/>
  <c r="AH30" i="45"/>
  <c r="AJ30" i="45"/>
  <c r="AB30" i="45"/>
  <c r="AI30" i="45"/>
  <c r="AA30" i="45"/>
  <c r="AG30" i="45"/>
  <c r="Z30" i="45"/>
  <c r="AD30" i="45"/>
  <c r="F30" i="45"/>
  <c r="AM30" i="45"/>
  <c r="AE30" i="45"/>
  <c r="AC30" i="45"/>
  <c r="AF30" i="45"/>
  <c r="AP30" i="45"/>
  <c r="AN30" i="45"/>
  <c r="AL30" i="45"/>
  <c r="AK30" i="45"/>
  <c r="AO30" i="45"/>
  <c r="V46" i="44"/>
  <c r="V24" i="44"/>
  <c r="V71" i="44"/>
  <c r="V85" i="44"/>
  <c r="V69" i="44"/>
  <c r="V82" i="44"/>
  <c r="V40" i="44"/>
  <c r="V20" i="44"/>
  <c r="V45" i="44"/>
  <c r="V19" i="44"/>
  <c r="V53" i="44"/>
  <c r="V87" i="44"/>
  <c r="V26" i="44"/>
  <c r="V63" i="44"/>
  <c r="V64" i="44"/>
  <c r="V80" i="44"/>
  <c r="V18" i="44"/>
  <c r="V47" i="44"/>
  <c r="V59" i="44"/>
  <c r="V84" i="44"/>
  <c r="V32" i="44"/>
  <c r="V83" i="44"/>
  <c r="V55" i="44"/>
  <c r="V73" i="44"/>
  <c r="V79" i="44"/>
  <c r="V33" i="44"/>
  <c r="V90" i="44"/>
  <c r="V86" i="44"/>
  <c r="V56" i="44"/>
  <c r="V68" i="44"/>
  <c r="V41" i="44"/>
  <c r="V50" i="44"/>
  <c r="I38" i="5"/>
  <c r="BF121" i="1"/>
  <c r="BG121" i="1" s="1"/>
  <c r="V54" i="44"/>
  <c r="V51" i="44"/>
  <c r="V44" i="44"/>
  <c r="V25" i="44"/>
  <c r="V75" i="44"/>
  <c r="K38" i="5"/>
  <c r="V23" i="44"/>
  <c r="CQ121" i="1"/>
  <c r="CR121" i="1" s="1"/>
  <c r="AC14" i="43"/>
  <c r="AI14" i="43"/>
  <c r="AC30" i="43"/>
  <c r="AI30" i="43"/>
  <c r="AI29" i="44"/>
  <c r="AD30" i="44"/>
  <c r="AM30" i="44"/>
  <c r="W121" i="1"/>
  <c r="Y121" i="1" s="1"/>
  <c r="AO65" i="44"/>
  <c r="Z65" i="44"/>
  <c r="V61" i="42"/>
  <c r="V90" i="43"/>
  <c r="Y90" i="43" s="1"/>
  <c r="V90" i="39"/>
  <c r="V90" i="42"/>
  <c r="V90" i="41"/>
  <c r="V90" i="40"/>
  <c r="V90" i="34"/>
  <c r="V90" i="32"/>
  <c r="V90" i="31"/>
  <c r="V90" i="37"/>
  <c r="V90" i="33"/>
  <c r="V90" i="28"/>
  <c r="V90" i="27"/>
  <c r="V90" i="36"/>
  <c r="V90" i="35"/>
  <c r="V90" i="29"/>
  <c r="V90" i="38"/>
  <c r="V90" i="30"/>
  <c r="V90" i="25"/>
  <c r="V90" i="23"/>
  <c r="V90" i="22"/>
  <c r="V90" i="24"/>
  <c r="V90" i="26"/>
  <c r="V56" i="43"/>
  <c r="Y56" i="43" s="1"/>
  <c r="V56" i="39"/>
  <c r="V56" i="42"/>
  <c r="V56" i="40"/>
  <c r="V56" i="34"/>
  <c r="V56" i="37"/>
  <c r="V56" i="33"/>
  <c r="V56" i="32"/>
  <c r="V56" i="28"/>
  <c r="V56" i="38"/>
  <c r="V56" i="35"/>
  <c r="V56" i="41"/>
  <c r="V56" i="22"/>
  <c r="V56" i="27"/>
  <c r="V56" i="26"/>
  <c r="V56" i="25"/>
  <c r="V56" i="23"/>
  <c r="V56" i="31"/>
  <c r="V56" i="30"/>
  <c r="V56" i="24"/>
  <c r="V56" i="36"/>
  <c r="V56" i="29"/>
  <c r="V75" i="43"/>
  <c r="Y75" i="43" s="1"/>
  <c r="V75" i="40"/>
  <c r="V75" i="41"/>
  <c r="V75" i="31"/>
  <c r="V75" i="42"/>
  <c r="V75" i="39"/>
  <c r="V75" i="38"/>
  <c r="V75" i="32"/>
  <c r="V75" i="35"/>
  <c r="V75" i="33"/>
  <c r="V75" i="29"/>
  <c r="V75" i="36"/>
  <c r="V75" i="27"/>
  <c r="V75" i="37"/>
  <c r="V75" i="34"/>
  <c r="V75" i="28"/>
  <c r="V75" i="26"/>
  <c r="V75" i="25"/>
  <c r="V75" i="24"/>
  <c r="V75" i="22"/>
  <c r="V75" i="30"/>
  <c r="V75" i="23"/>
  <c r="V23" i="43"/>
  <c r="Y23" i="43" s="1"/>
  <c r="V23" i="42"/>
  <c r="V23" i="41"/>
  <c r="V23" i="40"/>
  <c r="V23" i="39"/>
  <c r="V23" i="36"/>
  <c r="V23" i="38"/>
  <c r="V23" i="31"/>
  <c r="V23" i="29"/>
  <c r="V23" i="33"/>
  <c r="V23" i="28"/>
  <c r="V23" i="35"/>
  <c r="V23" i="32"/>
  <c r="V23" i="30"/>
  <c r="V23" i="24"/>
  <c r="V23" i="22"/>
  <c r="V23" i="27"/>
  <c r="V23" i="26"/>
  <c r="V23" i="37"/>
  <c r="V23" i="34"/>
  <c r="V23" i="23"/>
  <c r="V23" i="25"/>
  <c r="V83" i="43"/>
  <c r="Y83" i="43" s="1"/>
  <c r="V83" i="40"/>
  <c r="V83" i="41"/>
  <c r="V83" i="38"/>
  <c r="V83" i="36"/>
  <c r="V83" i="32"/>
  <c r="V83" i="34"/>
  <c r="V83" i="33"/>
  <c r="V83" i="35"/>
  <c r="V83" i="42"/>
  <c r="V83" i="39"/>
  <c r="V83" i="30"/>
  <c r="V83" i="37"/>
  <c r="V83" i="31"/>
  <c r="V83" i="28"/>
  <c r="V83" i="24"/>
  <c r="V83" i="29"/>
  <c r="V83" i="26"/>
  <c r="V83" i="22"/>
  <c r="V83" i="25"/>
  <c r="V83" i="27"/>
  <c r="V83" i="23"/>
  <c r="V79" i="43"/>
  <c r="Y79" i="43" s="1"/>
  <c r="V79" i="40"/>
  <c r="V79" i="41"/>
  <c r="V79" i="36"/>
  <c r="V79" i="35"/>
  <c r="V79" i="38"/>
  <c r="V79" i="32"/>
  <c r="V79" i="34"/>
  <c r="V79" i="42"/>
  <c r="V79" i="31"/>
  <c r="V79" i="33"/>
  <c r="V79" i="27"/>
  <c r="V79" i="37"/>
  <c r="V79" i="30"/>
  <c r="V79" i="28"/>
  <c r="V79" i="24"/>
  <c r="V79" i="39"/>
  <c r="V79" i="29"/>
  <c r="V79" i="22"/>
  <c r="V79" i="23"/>
  <c r="V79" i="26"/>
  <c r="V79" i="25"/>
  <c r="V82" i="43"/>
  <c r="Y82" i="43" s="1"/>
  <c r="V82" i="41"/>
  <c r="V82" i="42"/>
  <c r="V82" i="39"/>
  <c r="V82" i="33"/>
  <c r="V82" i="40"/>
  <c r="V82" i="34"/>
  <c r="V82" i="38"/>
  <c r="V82" i="30"/>
  <c r="V82" i="32"/>
  <c r="V82" i="31"/>
  <c r="V82" i="37"/>
  <c r="V82" i="28"/>
  <c r="V82" i="29"/>
  <c r="V82" i="24"/>
  <c r="V82" i="22"/>
  <c r="V82" i="26"/>
  <c r="V82" i="35"/>
  <c r="V82" i="25"/>
  <c r="V82" i="27"/>
  <c r="V82" i="36"/>
  <c r="V82" i="23"/>
  <c r="V66" i="43"/>
  <c r="Y66" i="43" s="1"/>
  <c r="V66" i="40"/>
  <c r="V66" i="41"/>
  <c r="V66" i="38"/>
  <c r="V66" i="34"/>
  <c r="V66" i="42"/>
  <c r="V66" i="39"/>
  <c r="V66" i="35"/>
  <c r="V66" i="31"/>
  <c r="V66" i="32"/>
  <c r="V66" i="37"/>
  <c r="V66" i="28"/>
  <c r="V66" i="36"/>
  <c r="V66" i="30"/>
  <c r="V66" i="33"/>
  <c r="V66" i="27"/>
  <c r="V66" i="25"/>
  <c r="V66" i="22"/>
  <c r="V66" i="29"/>
  <c r="V66" i="24"/>
  <c r="V66" i="26"/>
  <c r="V66" i="23"/>
  <c r="V84" i="43"/>
  <c r="Y84" i="43" s="1"/>
  <c r="V84" i="39"/>
  <c r="V84" i="41"/>
  <c r="V84" i="40"/>
  <c r="V84" i="42"/>
  <c r="V84" i="32"/>
  <c r="V84" i="38"/>
  <c r="V84" i="34"/>
  <c r="V84" i="33"/>
  <c r="V84" i="31"/>
  <c r="V84" i="35"/>
  <c r="V84" i="27"/>
  <c r="V84" i="30"/>
  <c r="V84" i="37"/>
  <c r="V84" i="36"/>
  <c r="V84" i="28"/>
  <c r="V84" i="24"/>
  <c r="V84" i="29"/>
  <c r="V84" i="26"/>
  <c r="V84" i="22"/>
  <c r="V84" i="25"/>
  <c r="V84" i="23"/>
  <c r="V54" i="43"/>
  <c r="Y54" i="43" s="1"/>
  <c r="V54" i="40"/>
  <c r="V54" i="39"/>
  <c r="V54" i="42"/>
  <c r="V54" i="41"/>
  <c r="V54" i="33"/>
  <c r="V54" i="38"/>
  <c r="V54" i="37"/>
  <c r="V54" i="35"/>
  <c r="V54" i="32"/>
  <c r="V54" i="34"/>
  <c r="V54" i="31"/>
  <c r="V54" i="29"/>
  <c r="V54" i="30"/>
  <c r="V54" i="36"/>
  <c r="V54" i="27"/>
  <c r="V54" i="23"/>
  <c r="V54" i="28"/>
  <c r="V54" i="26"/>
  <c r="V54" i="22"/>
  <c r="V54" i="25"/>
  <c r="V54" i="24"/>
  <c r="V40" i="43"/>
  <c r="Y40" i="43" s="1"/>
  <c r="V40" i="39"/>
  <c r="V40" i="41"/>
  <c r="V40" i="40"/>
  <c r="V40" i="38"/>
  <c r="V40" i="34"/>
  <c r="V40" i="36"/>
  <c r="V40" i="35"/>
  <c r="V40" i="33"/>
  <c r="V40" i="42"/>
  <c r="V40" i="28"/>
  <c r="V40" i="29"/>
  <c r="V40" i="30"/>
  <c r="V40" i="37"/>
  <c r="V40" i="32"/>
  <c r="V40" i="23"/>
  <c r="V40" i="26"/>
  <c r="V40" i="22"/>
  <c r="V40" i="24"/>
  <c r="V40" i="27"/>
  <c r="V40" i="31"/>
  <c r="V40" i="25"/>
  <c r="V46" i="43"/>
  <c r="Y46" i="43" s="1"/>
  <c r="V46" i="41"/>
  <c r="V46" i="42"/>
  <c r="V46" i="39"/>
  <c r="V46" i="36"/>
  <c r="V46" i="40"/>
  <c r="V46" i="38"/>
  <c r="V46" i="31"/>
  <c r="V46" i="32"/>
  <c r="V46" i="35"/>
  <c r="V46" i="29"/>
  <c r="V46" i="33"/>
  <c r="V46" i="37"/>
  <c r="V46" i="30"/>
  <c r="V46" i="26"/>
  <c r="V46" i="23"/>
  <c r="V46" i="25"/>
  <c r="V46" i="34"/>
  <c r="V46" i="28"/>
  <c r="V46" i="27"/>
  <c r="V46" i="24"/>
  <c r="V46" i="22"/>
  <c r="V69" i="43"/>
  <c r="Y69" i="43" s="1"/>
  <c r="V69" i="42"/>
  <c r="V69" i="39"/>
  <c r="V69" i="36"/>
  <c r="V69" i="41"/>
  <c r="V69" i="32"/>
  <c r="V69" i="40"/>
  <c r="V69" i="33"/>
  <c r="V69" i="31"/>
  <c r="V69" i="27"/>
  <c r="V69" i="30"/>
  <c r="V69" i="26"/>
  <c r="V69" i="25"/>
  <c r="V69" i="23"/>
  <c r="V69" i="35"/>
  <c r="V69" i="34"/>
  <c r="V69" i="22"/>
  <c r="V69" i="38"/>
  <c r="V69" i="29"/>
  <c r="V69" i="37"/>
  <c r="V69" i="28"/>
  <c r="V69" i="24"/>
  <c r="V34" i="38"/>
  <c r="V34" i="22"/>
  <c r="V34" i="37"/>
  <c r="V20" i="43"/>
  <c r="Y20" i="43" s="1"/>
  <c r="V20" i="42"/>
  <c r="V20" i="41"/>
  <c r="V20" i="40"/>
  <c r="V20" i="32"/>
  <c r="V20" i="37"/>
  <c r="V20" i="38"/>
  <c r="V20" i="36"/>
  <c r="V20" i="31"/>
  <c r="V20" i="34"/>
  <c r="V20" i="35"/>
  <c r="V20" i="39"/>
  <c r="V20" i="25"/>
  <c r="V20" i="30"/>
  <c r="V20" i="29"/>
  <c r="V20" i="23"/>
  <c r="V20" i="28"/>
  <c r="V20" i="27"/>
  <c r="V20" i="24"/>
  <c r="V20" i="22"/>
  <c r="V20" i="33"/>
  <c r="V20" i="26"/>
  <c r="V71" i="43"/>
  <c r="Y71" i="43" s="1"/>
  <c r="V71" i="40"/>
  <c r="V71" i="39"/>
  <c r="V71" i="41"/>
  <c r="V71" i="38"/>
  <c r="V71" i="37"/>
  <c r="V71" i="42"/>
  <c r="V71" i="35"/>
  <c r="V71" i="29"/>
  <c r="V71" i="32"/>
  <c r="V71" i="27"/>
  <c r="V71" i="36"/>
  <c r="V71" i="34"/>
  <c r="V71" i="31"/>
  <c r="V71" i="30"/>
  <c r="V71" i="33"/>
  <c r="V71" i="26"/>
  <c r="V71" i="23"/>
  <c r="V71" i="24"/>
  <c r="V71" i="25"/>
  <c r="V71" i="22"/>
  <c r="V71" i="28"/>
  <c r="V45" i="43"/>
  <c r="Y45" i="43" s="1"/>
  <c r="V45" i="39"/>
  <c r="V45" i="42"/>
  <c r="V45" i="40"/>
  <c r="V45" i="35"/>
  <c r="V45" i="38"/>
  <c r="V45" i="33"/>
  <c r="V45" i="36"/>
  <c r="V45" i="32"/>
  <c r="V45" i="31"/>
  <c r="V45" i="28"/>
  <c r="V45" i="41"/>
  <c r="V45" i="30"/>
  <c r="V45" i="37"/>
  <c r="V45" i="29"/>
  <c r="V45" i="34"/>
  <c r="V45" i="27"/>
  <c r="V45" i="22"/>
  <c r="V45" i="24"/>
  <c r="V45" i="26"/>
  <c r="V45" i="25"/>
  <c r="V45" i="23"/>
  <c r="V53" i="43"/>
  <c r="Y53" i="43" s="1"/>
  <c r="V53" i="42"/>
  <c r="V53" i="40"/>
  <c r="V53" i="41"/>
  <c r="V53" i="33"/>
  <c r="V53" i="39"/>
  <c r="V53" i="38"/>
  <c r="V53" i="36"/>
  <c r="V53" i="34"/>
  <c r="V53" i="31"/>
  <c r="V53" i="35"/>
  <c r="V53" i="30"/>
  <c r="V53" i="32"/>
  <c r="V53" i="37"/>
  <c r="V53" i="29"/>
  <c r="V53" i="28"/>
  <c r="V53" i="26"/>
  <c r="V53" i="22"/>
  <c r="V53" i="25"/>
  <c r="V53" i="24"/>
  <c r="V53" i="27"/>
  <c r="V53" i="23"/>
  <c r="V87" i="43"/>
  <c r="Y87" i="43" s="1"/>
  <c r="V87" i="40"/>
  <c r="V87" i="42"/>
  <c r="V87" i="39"/>
  <c r="V87" i="38"/>
  <c r="V87" i="36"/>
  <c r="V87" i="34"/>
  <c r="V87" i="35"/>
  <c r="V87" i="41"/>
  <c r="V87" i="33"/>
  <c r="V87" i="27"/>
  <c r="V87" i="37"/>
  <c r="V87" i="32"/>
  <c r="V87" i="28"/>
  <c r="V87" i="23"/>
  <c r="V87" i="30"/>
  <c r="V87" i="31"/>
  <c r="V87" i="29"/>
  <c r="V87" i="22"/>
  <c r="V87" i="24"/>
  <c r="V87" i="25"/>
  <c r="V87" i="26"/>
  <c r="V21" i="38"/>
  <c r="V24" i="43"/>
  <c r="Y24" i="43" s="1"/>
  <c r="V24" i="42"/>
  <c r="V24" i="41"/>
  <c r="V24" i="40"/>
  <c r="V24" i="34"/>
  <c r="V24" i="35"/>
  <c r="V24" i="38"/>
  <c r="V24" i="37"/>
  <c r="V24" i="33"/>
  <c r="V24" i="31"/>
  <c r="V24" i="29"/>
  <c r="V24" i="32"/>
  <c r="V24" i="30"/>
  <c r="V24" i="25"/>
  <c r="V24" i="36"/>
  <c r="V24" i="27"/>
  <c r="V24" i="28"/>
  <c r="V24" i="26"/>
  <c r="V24" i="22"/>
  <c r="V24" i="39"/>
  <c r="V24" i="24"/>
  <c r="V24" i="23"/>
  <c r="V85" i="43"/>
  <c r="Y85" i="43" s="1"/>
  <c r="V85" i="42"/>
  <c r="V85" i="39"/>
  <c r="V85" i="41"/>
  <c r="V85" i="40"/>
  <c r="V85" i="31"/>
  <c r="V85" i="32"/>
  <c r="V85" i="38"/>
  <c r="V85" i="36"/>
  <c r="V85" i="27"/>
  <c r="V85" i="35"/>
  <c r="V85" i="29"/>
  <c r="V85" i="30"/>
  <c r="V85" i="37"/>
  <c r="V85" i="34"/>
  <c r="V85" i="28"/>
  <c r="V85" i="24"/>
  <c r="V85" i="25"/>
  <c r="V85" i="26"/>
  <c r="V85" i="33"/>
  <c r="V85" i="23"/>
  <c r="V85" i="22"/>
  <c r="V19" i="43"/>
  <c r="Y19" i="43" s="1"/>
  <c r="V19" i="40"/>
  <c r="V19" i="41"/>
  <c r="V19" i="33"/>
  <c r="V19" i="37"/>
  <c r="V19" i="38"/>
  <c r="V19" i="31"/>
  <c r="V19" i="32"/>
  <c r="V19" i="29"/>
  <c r="V19" i="35"/>
  <c r="V19" i="42"/>
  <c r="V19" i="34"/>
  <c r="V19" i="39"/>
  <c r="V19" i="36"/>
  <c r="V19" i="25"/>
  <c r="V19" i="30"/>
  <c r="V19" i="28"/>
  <c r="V19" i="27"/>
  <c r="V19" i="23"/>
  <c r="V19" i="22"/>
  <c r="V19" i="26"/>
  <c r="V19" i="24"/>
  <c r="V51" i="43"/>
  <c r="Y51" i="43" s="1"/>
  <c r="V51" i="40"/>
  <c r="V51" i="41"/>
  <c r="V51" i="39"/>
  <c r="V51" i="42"/>
  <c r="V51" i="31"/>
  <c r="V51" i="37"/>
  <c r="V51" i="38"/>
  <c r="V51" i="36"/>
  <c r="V51" i="32"/>
  <c r="V51" i="34"/>
  <c r="V51" i="35"/>
  <c r="V51" i="30"/>
  <c r="V51" i="22"/>
  <c r="V51" i="33"/>
  <c r="V51" i="26"/>
  <c r="V51" i="25"/>
  <c r="V51" i="29"/>
  <c r="V51" i="27"/>
  <c r="V51" i="24"/>
  <c r="V51" i="28"/>
  <c r="V51" i="23"/>
  <c r="V32" i="43"/>
  <c r="Y32" i="43" s="1"/>
  <c r="V32" i="42"/>
  <c r="V32" i="39"/>
  <c r="V32" i="41"/>
  <c r="V32" i="40"/>
  <c r="V32" i="38"/>
  <c r="V32" i="31"/>
  <c r="V32" i="34"/>
  <c r="V32" i="30"/>
  <c r="V32" i="29"/>
  <c r="V32" i="28"/>
  <c r="V32" i="36"/>
  <c r="V32" i="33"/>
  <c r="V32" i="37"/>
  <c r="V32" i="32"/>
  <c r="V32" i="27"/>
  <c r="V32" i="26"/>
  <c r="V32" i="25"/>
  <c r="V32" i="35"/>
  <c r="V32" i="23"/>
  <c r="V32" i="22"/>
  <c r="V32" i="24"/>
  <c r="V26" i="43"/>
  <c r="Y26" i="43" s="1"/>
  <c r="V26" i="41"/>
  <c r="V26" i="40"/>
  <c r="V26" i="39"/>
  <c r="V26" i="38"/>
  <c r="V26" i="42"/>
  <c r="V26" i="34"/>
  <c r="V26" i="33"/>
  <c r="V26" i="36"/>
  <c r="V26" i="37"/>
  <c r="V26" i="30"/>
  <c r="V26" i="28"/>
  <c r="V26" i="35"/>
  <c r="V26" i="32"/>
  <c r="V26" i="29"/>
  <c r="V26" i="26"/>
  <c r="V26" i="23"/>
  <c r="V26" i="31"/>
  <c r="V26" i="22"/>
  <c r="V26" i="24"/>
  <c r="V26" i="25"/>
  <c r="V26" i="27"/>
  <c r="V44" i="43"/>
  <c r="Y44" i="43" s="1"/>
  <c r="V44" i="42"/>
  <c r="V44" i="41"/>
  <c r="V44" i="40"/>
  <c r="V44" i="38"/>
  <c r="V44" i="33"/>
  <c r="V44" i="31"/>
  <c r="V44" i="39"/>
  <c r="V44" i="36"/>
  <c r="V44" i="35"/>
  <c r="V44" i="30"/>
  <c r="V44" i="34"/>
  <c r="V44" i="37"/>
  <c r="V44" i="22"/>
  <c r="V44" i="27"/>
  <c r="V44" i="32"/>
  <c r="V44" i="29"/>
  <c r="V44" i="26"/>
  <c r="V44" i="25"/>
  <c r="V44" i="28"/>
  <c r="V44" i="24"/>
  <c r="V44" i="23"/>
  <c r="V37" i="38"/>
  <c r="V37" i="23"/>
  <c r="V37" i="22"/>
  <c r="AH30" i="43"/>
  <c r="AB30" i="43"/>
  <c r="AM30" i="43"/>
  <c r="Z30" i="43"/>
  <c r="AJ30" i="43"/>
  <c r="AG30" i="43"/>
  <c r="AP30" i="43"/>
  <c r="AF30" i="43"/>
  <c r="F30" i="43"/>
  <c r="AD30" i="43"/>
  <c r="AE30" i="43"/>
  <c r="AK30" i="43"/>
  <c r="AA30" i="43"/>
  <c r="AL30" i="43"/>
  <c r="AO30" i="43"/>
  <c r="AN30" i="43"/>
  <c r="V63" i="43"/>
  <c r="Y63" i="43" s="1"/>
  <c r="V63" i="42"/>
  <c r="V63" i="41"/>
  <c r="V63" i="39"/>
  <c r="V63" i="40"/>
  <c r="V63" i="37"/>
  <c r="V63" i="33"/>
  <c r="V63" i="38"/>
  <c r="V63" i="31"/>
  <c r="V63" i="32"/>
  <c r="V63" i="35"/>
  <c r="V63" i="34"/>
  <c r="V63" i="29"/>
  <c r="V63" i="30"/>
  <c r="V63" i="27"/>
  <c r="V63" i="36"/>
  <c r="V63" i="26"/>
  <c r="V63" i="23"/>
  <c r="V63" i="28"/>
  <c r="V63" i="25"/>
  <c r="V63" i="22"/>
  <c r="V63" i="24"/>
  <c r="V64" i="43"/>
  <c r="Y64" i="43" s="1"/>
  <c r="V64" i="41"/>
  <c r="V64" i="42"/>
  <c r="V64" i="39"/>
  <c r="V64" i="40"/>
  <c r="V64" i="32"/>
  <c r="V64" i="36"/>
  <c r="V64" i="38"/>
  <c r="V64" i="33"/>
  <c r="V64" i="28"/>
  <c r="V64" i="37"/>
  <c r="V64" i="35"/>
  <c r="V64" i="34"/>
  <c r="V64" i="30"/>
  <c r="V64" i="27"/>
  <c r="V64" i="29"/>
  <c r="V64" i="24"/>
  <c r="V64" i="26"/>
  <c r="V64" i="23"/>
  <c r="V64" i="31"/>
  <c r="V64" i="25"/>
  <c r="V64" i="22"/>
  <c r="V80" i="43"/>
  <c r="Y80" i="43" s="1"/>
  <c r="V80" i="42"/>
  <c r="V80" i="41"/>
  <c r="V80" i="39"/>
  <c r="V80" i="40"/>
  <c r="V80" i="35"/>
  <c r="V80" i="31"/>
  <c r="V80" i="38"/>
  <c r="V80" i="32"/>
  <c r="V80" i="34"/>
  <c r="V80" i="36"/>
  <c r="V80" i="29"/>
  <c r="V80" i="27"/>
  <c r="V80" i="33"/>
  <c r="V80" i="37"/>
  <c r="V80" i="30"/>
  <c r="V80" i="28"/>
  <c r="V80" i="26"/>
  <c r="V80" i="25"/>
  <c r="V80" i="22"/>
  <c r="V80" i="24"/>
  <c r="V80" i="23"/>
  <c r="V18" i="43"/>
  <c r="Y18" i="43" s="1"/>
  <c r="V18" i="41"/>
  <c r="V18" i="40"/>
  <c r="V18" i="42"/>
  <c r="V18" i="33"/>
  <c r="V18" i="37"/>
  <c r="V18" i="35"/>
  <c r="V18" i="32"/>
  <c r="V18" i="29"/>
  <c r="V18" i="28"/>
  <c r="V18" i="36"/>
  <c r="V18" i="34"/>
  <c r="V18" i="30"/>
  <c r="V18" i="39"/>
  <c r="V18" i="25"/>
  <c r="V18" i="27"/>
  <c r="V18" i="38"/>
  <c r="V18" i="22"/>
  <c r="V18" i="31"/>
  <c r="V18" i="26"/>
  <c r="V18" i="24"/>
  <c r="V18" i="23"/>
  <c r="V47" i="43"/>
  <c r="Y47" i="43" s="1"/>
  <c r="V47" i="42"/>
  <c r="V47" i="40"/>
  <c r="V47" i="41"/>
  <c r="V47" i="39"/>
  <c r="V47" i="38"/>
  <c r="V47" i="35"/>
  <c r="V47" i="34"/>
  <c r="V47" i="33"/>
  <c r="V47" i="32"/>
  <c r="V47" i="37"/>
  <c r="V47" i="31"/>
  <c r="V47" i="22"/>
  <c r="V47" i="27"/>
  <c r="V47" i="26"/>
  <c r="V47" i="23"/>
  <c r="V47" i="36"/>
  <c r="V47" i="29"/>
  <c r="V47" i="25"/>
  <c r="V47" i="30"/>
  <c r="V47" i="28"/>
  <c r="V47" i="24"/>
  <c r="V59" i="43"/>
  <c r="Y59" i="43" s="1"/>
  <c r="V59" i="42"/>
  <c r="V59" i="39"/>
  <c r="V59" i="41"/>
  <c r="V59" i="40"/>
  <c r="V59" i="32"/>
  <c r="V59" i="36"/>
  <c r="V59" i="38"/>
  <c r="V59" i="37"/>
  <c r="V59" i="35"/>
  <c r="V59" i="30"/>
  <c r="V59" i="29"/>
  <c r="V59" i="31"/>
  <c r="V59" i="34"/>
  <c r="V59" i="27"/>
  <c r="V59" i="24"/>
  <c r="V59" i="28"/>
  <c r="V59" i="26"/>
  <c r="V59" i="33"/>
  <c r="V59" i="25"/>
  <c r="V59" i="23"/>
  <c r="V59" i="22"/>
  <c r="V15" i="36"/>
  <c r="V33" i="43"/>
  <c r="Y33" i="43" s="1"/>
  <c r="V33" i="42"/>
  <c r="V33" i="39"/>
  <c r="V33" i="40"/>
  <c r="V33" i="37"/>
  <c r="V33" i="35"/>
  <c r="V33" i="38"/>
  <c r="V33" i="34"/>
  <c r="V33" i="41"/>
  <c r="V33" i="30"/>
  <c r="V33" i="36"/>
  <c r="V33" i="31"/>
  <c r="V33" i="33"/>
  <c r="V33" i="32"/>
  <c r="V33" i="29"/>
  <c r="V33" i="24"/>
  <c r="V33" i="28"/>
  <c r="V33" i="27"/>
  <c r="V33" i="26"/>
  <c r="V33" i="25"/>
  <c r="V33" i="23"/>
  <c r="V33" i="22"/>
  <c r="V74" i="31"/>
  <c r="V73" i="43"/>
  <c r="Y73" i="43" s="1"/>
  <c r="V73" i="42"/>
  <c r="V73" i="39"/>
  <c r="V73" i="40"/>
  <c r="V73" i="35"/>
  <c r="V73" i="32"/>
  <c r="V73" i="33"/>
  <c r="V73" i="41"/>
  <c r="V73" i="36"/>
  <c r="V73" i="31"/>
  <c r="V73" i="34"/>
  <c r="V73" i="38"/>
  <c r="V73" i="27"/>
  <c r="V73" i="28"/>
  <c r="V73" i="30"/>
  <c r="V73" i="37"/>
  <c r="V73" i="22"/>
  <c r="V73" i="29"/>
  <c r="V73" i="24"/>
  <c r="V73" i="23"/>
  <c r="V73" i="26"/>
  <c r="V73" i="25"/>
  <c r="V25" i="43"/>
  <c r="Y25" i="43" s="1"/>
  <c r="V25" i="39"/>
  <c r="V25" i="42"/>
  <c r="V25" i="41"/>
  <c r="V25" i="34"/>
  <c r="V25" i="33"/>
  <c r="V25" i="36"/>
  <c r="V25" i="37"/>
  <c r="V25" i="40"/>
  <c r="V25" i="35"/>
  <c r="V25" i="38"/>
  <c r="V25" i="32"/>
  <c r="V25" i="31"/>
  <c r="V25" i="24"/>
  <c r="V25" i="30"/>
  <c r="V25" i="26"/>
  <c r="V25" i="25"/>
  <c r="V25" i="27"/>
  <c r="V25" i="29"/>
  <c r="V25" i="28"/>
  <c r="V25" i="23"/>
  <c r="V25" i="22"/>
  <c r="V55" i="43"/>
  <c r="Y55" i="43" s="1"/>
  <c r="V55" i="40"/>
  <c r="V55" i="39"/>
  <c r="V55" i="42"/>
  <c r="V55" i="41"/>
  <c r="V55" i="35"/>
  <c r="V55" i="32"/>
  <c r="V55" i="31"/>
  <c r="V55" i="33"/>
  <c r="V55" i="38"/>
  <c r="V55" i="36"/>
  <c r="V55" i="37"/>
  <c r="V55" i="28"/>
  <c r="V55" i="34"/>
  <c r="V55" i="30"/>
  <c r="V55" i="25"/>
  <c r="V55" i="24"/>
  <c r="V55" i="23"/>
  <c r="V55" i="27"/>
  <c r="V55" i="26"/>
  <c r="V55" i="29"/>
  <c r="V55" i="22"/>
  <c r="V86" i="43"/>
  <c r="Y86" i="43" s="1"/>
  <c r="V86" i="42"/>
  <c r="V86" i="39"/>
  <c r="V86" i="41"/>
  <c r="V86" i="31"/>
  <c r="V86" i="35"/>
  <c r="V86" i="34"/>
  <c r="V86" i="33"/>
  <c r="V86" i="36"/>
  <c r="V86" i="27"/>
  <c r="V86" i="38"/>
  <c r="V86" i="32"/>
  <c r="V86" i="37"/>
  <c r="V86" i="30"/>
  <c r="V86" i="40"/>
  <c r="V86" i="28"/>
  <c r="V86" i="23"/>
  <c r="V86" i="29"/>
  <c r="V86" i="22"/>
  <c r="V86" i="24"/>
  <c r="V86" i="25"/>
  <c r="V86" i="26"/>
  <c r="V68" i="43"/>
  <c r="Y68" i="43" s="1"/>
  <c r="V68" i="42"/>
  <c r="V68" i="39"/>
  <c r="V68" i="40"/>
  <c r="V68" i="41"/>
  <c r="V68" i="37"/>
  <c r="V68" i="33"/>
  <c r="V68" i="31"/>
  <c r="V68" i="38"/>
  <c r="V68" i="36"/>
  <c r="V68" i="32"/>
  <c r="V68" i="29"/>
  <c r="V68" i="35"/>
  <c r="V68" i="30"/>
  <c r="V68" i="34"/>
  <c r="V68" i="27"/>
  <c r="V68" i="28"/>
  <c r="V68" i="26"/>
  <c r="V68" i="25"/>
  <c r="V68" i="23"/>
  <c r="V68" i="22"/>
  <c r="V68" i="24"/>
  <c r="V41" i="43"/>
  <c r="Y41" i="43" s="1"/>
  <c r="V41" i="33"/>
  <c r="V41" i="38"/>
  <c r="V41" i="41"/>
  <c r="V41" i="39"/>
  <c r="V41" i="32"/>
  <c r="V41" i="42"/>
  <c r="V41" i="29"/>
  <c r="V41" i="28"/>
  <c r="V41" i="35"/>
  <c r="V41" i="40"/>
  <c r="V41" i="37"/>
  <c r="V41" i="34"/>
  <c r="V41" i="25"/>
  <c r="V41" i="36"/>
  <c r="V41" i="23"/>
  <c r="V41" i="30"/>
  <c r="V41" i="24"/>
  <c r="V41" i="22"/>
  <c r="V41" i="27"/>
  <c r="V41" i="31"/>
  <c r="V41" i="26"/>
  <c r="V50" i="43"/>
  <c r="Y50" i="43" s="1"/>
  <c r="V50" i="41"/>
  <c r="V50" i="39"/>
  <c r="V50" i="42"/>
  <c r="V50" i="36"/>
  <c r="V50" i="35"/>
  <c r="V50" i="32"/>
  <c r="V50" i="40"/>
  <c r="V50" i="38"/>
  <c r="V50" i="31"/>
  <c r="V50" i="34"/>
  <c r="V50" i="29"/>
  <c r="V50" i="28"/>
  <c r="V50" i="37"/>
  <c r="V50" i="30"/>
  <c r="V50" i="33"/>
  <c r="V50" i="25"/>
  <c r="V50" i="27"/>
  <c r="V50" i="24"/>
  <c r="V50" i="26"/>
  <c r="V50" i="23"/>
  <c r="V50" i="22"/>
  <c r="V42" i="28"/>
  <c r="AH14" i="43"/>
  <c r="AJ14" i="43"/>
  <c r="AA14" i="43"/>
  <c r="Z14" i="43"/>
  <c r="AL14" i="43"/>
  <c r="AB14" i="43"/>
  <c r="AG14" i="43"/>
  <c r="AK14" i="43"/>
  <c r="AD14" i="43"/>
  <c r="AM14" i="43"/>
  <c r="AE14" i="43"/>
  <c r="F14" i="43"/>
  <c r="AF14" i="43"/>
  <c r="AP14" i="43"/>
  <c r="AN14" i="43"/>
  <c r="AO14" i="43"/>
  <c r="F30" i="21"/>
  <c r="AP30" i="21"/>
  <c r="F14" i="20"/>
  <c r="AP14" i="20"/>
  <c r="F30" i="20"/>
  <c r="AP30" i="20"/>
  <c r="F14" i="21"/>
  <c r="AP14" i="21"/>
  <c r="AF30" i="21"/>
  <c r="AG30" i="21"/>
  <c r="T4" i="9"/>
  <c r="V4" i="9" s="1"/>
  <c r="S4" i="9"/>
  <c r="AF14" i="20"/>
  <c r="AG14" i="20"/>
  <c r="AF30" i="20"/>
  <c r="AG30" i="20"/>
  <c r="AF14" i="21"/>
  <c r="AG14" i="21"/>
  <c r="I21" i="5"/>
  <c r="K21" i="5"/>
  <c r="CP104" i="1"/>
  <c r="W104" i="1"/>
  <c r="X104" i="1" s="1"/>
  <c r="AC77" i="21"/>
  <c r="BF104" i="1"/>
  <c r="V68" i="21"/>
  <c r="V68" i="20"/>
  <c r="V45" i="21"/>
  <c r="V45" i="20"/>
  <c r="V19" i="21"/>
  <c r="V19" i="20"/>
  <c r="V66" i="21"/>
  <c r="V66" i="20"/>
  <c r="V84" i="21"/>
  <c r="V84" i="20"/>
  <c r="V54" i="21"/>
  <c r="V54" i="20"/>
  <c r="AC52" i="21"/>
  <c r="W3" i="9"/>
  <c r="V51" i="21"/>
  <c r="V51" i="20"/>
  <c r="V46" i="21"/>
  <c r="V46" i="20"/>
  <c r="V71" i="21"/>
  <c r="V71" i="20"/>
  <c r="V23" i="21"/>
  <c r="V23" i="20"/>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AC29" i="21"/>
  <c r="V69" i="21"/>
  <c r="V69" i="20"/>
  <c r="AC36" i="21"/>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AC39" i="21"/>
  <c r="V41" i="21"/>
  <c r="V41" i="20"/>
  <c r="V73" i="21"/>
  <c r="V73" i="20"/>
  <c r="V75" i="21"/>
  <c r="V75" i="20"/>
  <c r="V83" i="21"/>
  <c r="V83" i="20"/>
  <c r="V33" i="21"/>
  <c r="V33" i="20"/>
  <c r="V25" i="21"/>
  <c r="V25" i="20"/>
  <c r="V55" i="21"/>
  <c r="V55" i="20"/>
  <c r="V44" i="21"/>
  <c r="V44" i="20"/>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20" i="19"/>
  <c r="V20" i="18"/>
  <c r="V85" i="19"/>
  <c r="V85" i="18"/>
  <c r="V69" i="19"/>
  <c r="V69"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6" i="19"/>
  <c r="V26" i="18"/>
  <c r="V46" i="19"/>
  <c r="V46" i="18"/>
  <c r="V24" i="19"/>
  <c r="V24" i="18"/>
  <c r="V71" i="19"/>
  <c r="V71" i="18"/>
  <c r="V44" i="19"/>
  <c r="V44" i="18"/>
  <c r="AO77" i="19"/>
  <c r="AJ77" i="19"/>
  <c r="Z77" i="19"/>
  <c r="AH77" i="19"/>
  <c r="AD77" i="19"/>
  <c r="AE77" i="19"/>
  <c r="AB77" i="19"/>
  <c r="AM77" i="19"/>
  <c r="AA77" i="19"/>
  <c r="AK77" i="19"/>
  <c r="AL77" i="19"/>
  <c r="AN77" i="19"/>
  <c r="V66" i="19"/>
  <c r="V66" i="18"/>
  <c r="V63" i="19"/>
  <c r="V63" i="18"/>
  <c r="V87" i="19"/>
  <c r="V87"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63" i="13"/>
  <c r="V63" i="16"/>
  <c r="V63"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79" i="13"/>
  <c r="V79" i="15"/>
  <c r="V79" i="16"/>
  <c r="V20" i="13"/>
  <c r="V20" i="15"/>
  <c r="V20" i="16"/>
  <c r="V85" i="13"/>
  <c r="V85" i="15"/>
  <c r="V85" i="16"/>
  <c r="V43" i="15"/>
  <c r="V69" i="15"/>
  <c r="V69" i="16"/>
  <c r="V25" i="13"/>
  <c r="V25" i="15"/>
  <c r="V25" i="16"/>
  <c r="V45" i="13"/>
  <c r="V45" i="16"/>
  <c r="V45" i="15"/>
  <c r="AH45" i="15" s="1"/>
  <c r="V19" i="13"/>
  <c r="V19" i="16"/>
  <c r="V19" i="15"/>
  <c r="V66" i="13"/>
  <c r="V66" i="16"/>
  <c r="V66" i="15"/>
  <c r="V84" i="13"/>
  <c r="V84" i="15"/>
  <c r="V84" i="16"/>
  <c r="V54" i="13"/>
  <c r="V54" i="15"/>
  <c r="AH54" i="15" s="1"/>
  <c r="V54" i="16"/>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4" i="16"/>
  <c r="V44" i="15"/>
  <c r="V37" i="16"/>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T79" i="9"/>
  <c r="V79" i="9"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CO34" i="1"/>
  <c r="BF51" i="1"/>
  <c r="BI51" i="1" s="1"/>
  <c r="CO51" i="1"/>
  <c r="BF53" i="1"/>
  <c r="BI53" i="1" s="1"/>
  <c r="CO53" i="1"/>
  <c r="DA30" i="1"/>
  <c r="CW30" i="1"/>
  <c r="DE30" i="1"/>
  <c r="CZ30" i="1"/>
  <c r="CV30" i="1"/>
  <c r="CX30" i="1"/>
  <c r="CU30" i="1"/>
  <c r="CY30" i="1"/>
  <c r="DC30" i="1"/>
  <c r="CT30" i="1"/>
  <c r="DB30" i="1"/>
  <c r="DD30" i="1"/>
  <c r="BF85" i="1"/>
  <c r="BI85" i="1" s="1"/>
  <c r="CO85" i="1"/>
  <c r="BF80" i="1"/>
  <c r="BH80" i="1" s="1"/>
  <c r="BJ80" i="1" s="1"/>
  <c r="CO80" i="1"/>
  <c r="BF24" i="1"/>
  <c r="BH24" i="1" s="1"/>
  <c r="BJ24" i="1" s="1"/>
  <c r="CO24"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32" i="1"/>
  <c r="BI32" i="1" s="1"/>
  <c r="CO32"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46" i="1"/>
  <c r="BH46" i="1" s="1"/>
  <c r="BJ46" i="1" s="1"/>
  <c r="CO46" i="1"/>
  <c r="BF56" i="1"/>
  <c r="BH56" i="1" s="1"/>
  <c r="BJ56" i="1" s="1"/>
  <c r="CO56" i="1"/>
  <c r="BF59" i="1"/>
  <c r="BH59" i="1" s="1"/>
  <c r="BJ59" i="1" s="1"/>
  <c r="CO59" i="1"/>
  <c r="BF20" i="1"/>
  <c r="BH20" i="1" s="1"/>
  <c r="BJ20" i="1" s="1"/>
  <c r="CO20" i="1"/>
  <c r="CR89" i="1"/>
  <c r="CS89" i="1"/>
  <c r="BH116" i="1"/>
  <c r="BI116" i="1" s="1"/>
  <c r="BG116"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BH113" i="1"/>
  <c r="BI113" i="1" s="1"/>
  <c r="BG113" i="1"/>
  <c r="BG106" i="1"/>
  <c r="BH106" i="1"/>
  <c r="BI106" i="1" s="1"/>
  <c r="W23" i="1"/>
  <c r="Y23" i="1" s="1"/>
  <c r="BF23" i="1"/>
  <c r="W69" i="1"/>
  <c r="BF69" i="1"/>
  <c r="W44" i="1"/>
  <c r="BF44" i="1"/>
  <c r="BR30" i="1"/>
  <c r="BS30" i="1"/>
  <c r="BN30" i="1"/>
  <c r="BM30" i="1"/>
  <c r="BK30" i="1"/>
  <c r="BQ30" i="1"/>
  <c r="BV30" i="1"/>
  <c r="BT30" i="1"/>
  <c r="BL30" i="1"/>
  <c r="BP30" i="1"/>
  <c r="BU30" i="1"/>
  <c r="BO30" i="1"/>
  <c r="W73" i="1"/>
  <c r="BF73" i="1"/>
  <c r="BR48" i="1"/>
  <c r="BN77" i="1"/>
  <c r="BP77" i="1"/>
  <c r="AI65" i="1"/>
  <c r="W46" i="1"/>
  <c r="W63" i="1"/>
  <c r="W53" i="1"/>
  <c r="W87" i="1"/>
  <c r="AM30" i="1"/>
  <c r="AE30" i="1"/>
  <c r="AK30" i="1"/>
  <c r="AF30" i="1"/>
  <c r="AB30" i="1"/>
  <c r="AD30" i="1"/>
  <c r="AG30" i="1"/>
  <c r="AH30" i="1"/>
  <c r="AI30" i="1"/>
  <c r="AJ30" i="1"/>
  <c r="AC30" i="1"/>
  <c r="AL30" i="1"/>
  <c r="W71" i="1"/>
  <c r="W85" i="1"/>
  <c r="W51" i="1"/>
  <c r="W86" i="1"/>
  <c r="W18" i="1"/>
  <c r="W21" i="1"/>
  <c r="W90" i="1"/>
  <c r="W64" i="1"/>
  <c r="W75" i="1"/>
  <c r="W24" i="1"/>
  <c r="W56" i="1"/>
  <c r="W59" i="1"/>
  <c r="W25" i="1"/>
  <c r="W50" i="1"/>
  <c r="W15" i="1"/>
  <c r="W26" i="1"/>
  <c r="W80" i="1"/>
  <c r="W34" i="1"/>
  <c r="W83" i="1"/>
  <c r="W79" i="1"/>
  <c r="W41" i="1"/>
  <c r="W20" i="1"/>
  <c r="W74" i="1"/>
  <c r="W32" i="1"/>
  <c r="W47" i="1"/>
  <c r="W33" i="1"/>
  <c r="W55" i="1"/>
  <c r="W82" i="1"/>
  <c r="W68" i="1"/>
  <c r="W45" i="1"/>
  <c r="W19" i="1"/>
  <c r="W66" i="1"/>
  <c r="W84" i="1"/>
  <c r="W54" i="1"/>
  <c r="W40" i="1"/>
  <c r="W31" i="1"/>
  <c r="AE14" i="1"/>
  <c r="AJ14" i="1"/>
  <c r="AK14" i="1"/>
  <c r="AB14" i="1"/>
  <c r="AI14" i="1"/>
  <c r="AH14" i="1"/>
  <c r="AL14" i="1"/>
  <c r="AM14" i="1"/>
  <c r="AF14" i="1"/>
  <c r="AG14" i="1"/>
  <c r="AC14" i="1"/>
  <c r="K22" i="5"/>
  <c r="I13" i="5"/>
  <c r="U22" i="9"/>
  <c r="V34" i="35" s="1"/>
  <c r="W69" i="9"/>
  <c r="S25" i="9"/>
  <c r="I18" i="5"/>
  <c r="W25" i="9"/>
  <c r="K18" i="5"/>
  <c r="U25" i="9"/>
  <c r="V37" i="33" s="1"/>
  <c r="V80" i="9"/>
  <c r="S69" i="9"/>
  <c r="U9" i="9"/>
  <c r="V21" i="44" s="1"/>
  <c r="V45" i="9"/>
  <c r="S80" i="9"/>
  <c r="I22" i="5"/>
  <c r="K13" i="5"/>
  <c r="U5" i="9"/>
  <c r="V17" i="41" s="1"/>
  <c r="S22" i="9"/>
  <c r="U69" i="9"/>
  <c r="S45" i="9"/>
  <c r="AG66" i="9"/>
  <c r="AH66" i="9" s="1"/>
  <c r="Q66" i="9"/>
  <c r="R66" i="9" s="1"/>
  <c r="O66" i="9"/>
  <c r="U3" i="9"/>
  <c r="CO15" i="1" s="1"/>
  <c r="U31" i="9"/>
  <c r="V43" i="36" s="1"/>
  <c r="W57" i="9"/>
  <c r="V60" i="9"/>
  <c r="W61" i="9"/>
  <c r="W24" i="9"/>
  <c r="U48" i="9"/>
  <c r="CO60" i="1" s="1"/>
  <c r="U30" i="9"/>
  <c r="CO42" i="1" s="1"/>
  <c r="W17" i="9"/>
  <c r="S17" i="9"/>
  <c r="U62" i="9"/>
  <c r="W11" i="9"/>
  <c r="W32" i="9"/>
  <c r="V46" i="9"/>
  <c r="U37" i="9"/>
  <c r="V49" i="42" s="1"/>
  <c r="S76" i="9"/>
  <c r="U76" i="9"/>
  <c r="W88" i="1" s="1"/>
  <c r="U49" i="9"/>
  <c r="R27" i="9"/>
  <c r="W27" i="9"/>
  <c r="S15" i="9"/>
  <c r="U19" i="9"/>
  <c r="AG10" i="9"/>
  <c r="AH10" i="9" s="1"/>
  <c r="Q10" i="9"/>
  <c r="O10" i="9"/>
  <c r="X22" i="46" s="1"/>
  <c r="AG58" i="9"/>
  <c r="AH58" i="9" s="1"/>
  <c r="O58" i="9"/>
  <c r="Q58" i="9"/>
  <c r="R58" i="9" s="1"/>
  <c r="T58" i="9" s="1"/>
  <c r="W73" i="9"/>
  <c r="V15" i="9"/>
  <c r="W28" i="9"/>
  <c r="S77" i="9"/>
  <c r="V55" i="9"/>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BT48" i="1" l="1"/>
  <c r="BH48" i="1"/>
  <c r="BJ48" i="1" s="1"/>
  <c r="BM48" i="1"/>
  <c r="BI29" i="1"/>
  <c r="BU48" i="1"/>
  <c r="BK48" i="1"/>
  <c r="Y37" i="47"/>
  <c r="BO48" i="1"/>
  <c r="BN48" i="1"/>
  <c r="BS48" i="1"/>
  <c r="BV48" i="1"/>
  <c r="BL48" i="1"/>
  <c r="BP48" i="1"/>
  <c r="X47" i="46"/>
  <c r="Y47" i="46"/>
  <c r="Y63" i="46"/>
  <c r="X63" i="46"/>
  <c r="X81" i="46"/>
  <c r="Y81" i="46"/>
  <c r="X87" i="46"/>
  <c r="Y87" i="46"/>
  <c r="X20" i="46"/>
  <c r="Y20" i="46"/>
  <c r="X54" i="46"/>
  <c r="AH54" i="46" s="1"/>
  <c r="Y54" i="46"/>
  <c r="X79" i="46"/>
  <c r="Y79" i="46"/>
  <c r="X44" i="46"/>
  <c r="Y44" i="46"/>
  <c r="X90" i="46"/>
  <c r="Y90" i="46"/>
  <c r="X34" i="46"/>
  <c r="AJ34" i="46" s="1"/>
  <c r="Y34" i="46"/>
  <c r="X55" i="46"/>
  <c r="Y55" i="46"/>
  <c r="V27" i="47"/>
  <c r="V27" i="46"/>
  <c r="V57" i="47"/>
  <c r="V57" i="46"/>
  <c r="X60" i="46"/>
  <c r="AK60" i="46" s="1"/>
  <c r="Y60" i="46"/>
  <c r="X19" i="46"/>
  <c r="Y19" i="46"/>
  <c r="X61" i="46"/>
  <c r="Y61" i="46"/>
  <c r="X84" i="46"/>
  <c r="Y84" i="46"/>
  <c r="X40" i="46"/>
  <c r="AE40" i="46" s="1"/>
  <c r="Y40" i="46"/>
  <c r="V58" i="47"/>
  <c r="V58" i="46"/>
  <c r="X18" i="46"/>
  <c r="Y18" i="46"/>
  <c r="X53" i="46"/>
  <c r="Y53" i="46"/>
  <c r="X86" i="46"/>
  <c r="AC86" i="46" s="1"/>
  <c r="Y86" i="46"/>
  <c r="X75" i="46"/>
  <c r="Y75" i="46"/>
  <c r="X41" i="46"/>
  <c r="Y41" i="46"/>
  <c r="X25" i="46"/>
  <c r="Y25" i="46"/>
  <c r="V72" i="46"/>
  <c r="V72" i="47"/>
  <c r="X32" i="46"/>
  <c r="Y32" i="46"/>
  <c r="X23" i="46"/>
  <c r="Y23" i="46"/>
  <c r="X42" i="46"/>
  <c r="Y42" i="46"/>
  <c r="X71" i="46"/>
  <c r="AD71" i="46" s="1"/>
  <c r="Y71" i="46"/>
  <c r="X66" i="46"/>
  <c r="Y66" i="46"/>
  <c r="X69" i="46"/>
  <c r="Y69" i="46"/>
  <c r="V92" i="47"/>
  <c r="V92" i="46"/>
  <c r="V91" i="47"/>
  <c r="V91" i="46"/>
  <c r="X80" i="46"/>
  <c r="Y80" i="46"/>
  <c r="X51" i="46"/>
  <c r="Y51" i="46"/>
  <c r="X45" i="46"/>
  <c r="Y45" i="46"/>
  <c r="X50" i="46"/>
  <c r="AA50" i="46" s="1"/>
  <c r="Y50" i="46"/>
  <c r="X33" i="46"/>
  <c r="Y33" i="46"/>
  <c r="V16" i="46"/>
  <c r="V16" i="47"/>
  <c r="X88" i="46"/>
  <c r="Y88" i="46"/>
  <c r="X31" i="46"/>
  <c r="AK31" i="46" s="1"/>
  <c r="Y31" i="46"/>
  <c r="X73" i="46"/>
  <c r="Y73" i="46"/>
  <c r="X24" i="46"/>
  <c r="Y24" i="46"/>
  <c r="X82" i="46"/>
  <c r="Y82" i="46"/>
  <c r="X21" i="46"/>
  <c r="AH21" i="46" s="1"/>
  <c r="Y21" i="46"/>
  <c r="X56" i="46"/>
  <c r="Y56" i="46"/>
  <c r="X43" i="46"/>
  <c r="Y43" i="46"/>
  <c r="Y59" i="46"/>
  <c r="X59" i="46"/>
  <c r="X74" i="46"/>
  <c r="AF74" i="46" s="1"/>
  <c r="Y74" i="46"/>
  <c r="X15" i="46"/>
  <c r="AL15" i="46" s="1"/>
  <c r="Y15" i="46"/>
  <c r="X17" i="46"/>
  <c r="Y17" i="46"/>
  <c r="X83" i="46"/>
  <c r="Y83" i="46"/>
  <c r="V67" i="47"/>
  <c r="V67" i="46"/>
  <c r="X64" i="46"/>
  <c r="Y64" i="46"/>
  <c r="X26" i="46"/>
  <c r="Y26" i="46"/>
  <c r="Y46" i="46"/>
  <c r="X46" i="46"/>
  <c r="X37" i="46"/>
  <c r="AH37" i="46" s="1"/>
  <c r="Y37" i="46"/>
  <c r="X68" i="46"/>
  <c r="Y68" i="46"/>
  <c r="X85" i="46"/>
  <c r="Y85" i="46"/>
  <c r="Y54" i="47"/>
  <c r="X54" i="47"/>
  <c r="Y26" i="47"/>
  <c r="X26" i="47"/>
  <c r="BI65" i="1"/>
  <c r="BN65" i="1" s="1"/>
  <c r="AK39" i="46"/>
  <c r="Y21" i="47"/>
  <c r="X21" i="47"/>
  <c r="X82" i="47"/>
  <c r="Y82" i="47"/>
  <c r="BS77" i="1"/>
  <c r="BT77" i="1"/>
  <c r="BH77" i="1"/>
  <c r="BJ77" i="1" s="1"/>
  <c r="Y22" i="47"/>
  <c r="AN39" i="46"/>
  <c r="AA39" i="46"/>
  <c r="AB39" i="46"/>
  <c r="AN29" i="46"/>
  <c r="AM29" i="46"/>
  <c r="AC29" i="46"/>
  <c r="AN48" i="47"/>
  <c r="F48" i="47"/>
  <c r="AI48" i="47"/>
  <c r="AC48" i="47"/>
  <c r="AL48" i="47"/>
  <c r="AO48" i="47"/>
  <c r="AA48" i="47"/>
  <c r="AB48" i="47"/>
  <c r="AH48" i="47"/>
  <c r="AJ48" i="47"/>
  <c r="Z48" i="47"/>
  <c r="AK48" i="47"/>
  <c r="AM48" i="47"/>
  <c r="AG48" i="47"/>
  <c r="AD48" i="47"/>
  <c r="AP48" i="47"/>
  <c r="AE48" i="47"/>
  <c r="AF48" i="47"/>
  <c r="Y41" i="47"/>
  <c r="X41" i="47"/>
  <c r="X90" i="47"/>
  <c r="Y90" i="47"/>
  <c r="Y63" i="47"/>
  <c r="X63" i="47"/>
  <c r="Y60" i="47"/>
  <c r="X60" i="47"/>
  <c r="X32" i="47"/>
  <c r="Y32" i="47"/>
  <c r="Y79" i="47"/>
  <c r="X79" i="47"/>
  <c r="Y64" i="47"/>
  <c r="X64" i="47"/>
  <c r="Y104" i="1"/>
  <c r="X80" i="47"/>
  <c r="Y80" i="47"/>
  <c r="Y53" i="47"/>
  <c r="X53" i="47"/>
  <c r="Y73" i="47"/>
  <c r="X73" i="47"/>
  <c r="BV77" i="1"/>
  <c r="AO39" i="46"/>
  <c r="AD39" i="46"/>
  <c r="AG39" i="46"/>
  <c r="AA29" i="46"/>
  <c r="AB29" i="46"/>
  <c r="AP29" i="46"/>
  <c r="AD88" i="47"/>
  <c r="AK88" i="47"/>
  <c r="AJ88" i="47"/>
  <c r="F88" i="47"/>
  <c r="AP88" i="47"/>
  <c r="AB88" i="47"/>
  <c r="AG88" i="47"/>
  <c r="AI88" i="47"/>
  <c r="AE88" i="47"/>
  <c r="AL88" i="47"/>
  <c r="AA88" i="47"/>
  <c r="AH88" i="47"/>
  <c r="AM88" i="47"/>
  <c r="Z88" i="47"/>
  <c r="AC88" i="47"/>
  <c r="AO88" i="47"/>
  <c r="AF88" i="47"/>
  <c r="AN88" i="47"/>
  <c r="AI36" i="47"/>
  <c r="AL36" i="47"/>
  <c r="AA36" i="47"/>
  <c r="AF36" i="47"/>
  <c r="AO36" i="47"/>
  <c r="AG36" i="47"/>
  <c r="AM36" i="47"/>
  <c r="AH36" i="47"/>
  <c r="AD36" i="47"/>
  <c r="AK36" i="47"/>
  <c r="Z36" i="47"/>
  <c r="AB36" i="47"/>
  <c r="AN36" i="47"/>
  <c r="AE36" i="47"/>
  <c r="AC36" i="47"/>
  <c r="AP36" i="47"/>
  <c r="F36" i="47"/>
  <c r="AJ36" i="47"/>
  <c r="Y85" i="47"/>
  <c r="X85" i="47"/>
  <c r="Y33" i="47"/>
  <c r="X33" i="47"/>
  <c r="Y74" i="47"/>
  <c r="X74" i="47"/>
  <c r="X46" i="47"/>
  <c r="Y46" i="47"/>
  <c r="X86" i="47"/>
  <c r="Y86" i="47"/>
  <c r="Y25" i="47"/>
  <c r="X25" i="47"/>
  <c r="BL77" i="1"/>
  <c r="AM39" i="46"/>
  <c r="AE39" i="46"/>
  <c r="AH29" i="46"/>
  <c r="AE29" i="46"/>
  <c r="Y17" i="47"/>
  <c r="X17" i="47"/>
  <c r="Y68" i="47"/>
  <c r="X68" i="47"/>
  <c r="X59" i="47"/>
  <c r="Y59" i="47"/>
  <c r="X81" i="47"/>
  <c r="Y19" i="47"/>
  <c r="X19" i="47"/>
  <c r="X34" i="47"/>
  <c r="AF77" i="47"/>
  <c r="AD77" i="47"/>
  <c r="AP77" i="47"/>
  <c r="AC77" i="47"/>
  <c r="AH77" i="47"/>
  <c r="AG77" i="47"/>
  <c r="AJ77" i="47"/>
  <c r="Z77" i="47"/>
  <c r="AE77" i="47"/>
  <c r="AB77" i="47"/>
  <c r="F77" i="47"/>
  <c r="AI77" i="47"/>
  <c r="AA77" i="47"/>
  <c r="AM77" i="47"/>
  <c r="AK77" i="47"/>
  <c r="AL77" i="47"/>
  <c r="AO77" i="47"/>
  <c r="AN77" i="47"/>
  <c r="Y23" i="47"/>
  <c r="X23" i="47"/>
  <c r="Y51" i="47"/>
  <c r="X51" i="47"/>
  <c r="Y84" i="47"/>
  <c r="X84" i="47"/>
  <c r="AF37" i="47"/>
  <c r="AJ37" i="47"/>
  <c r="AI37" i="47"/>
  <c r="AG37" i="47"/>
  <c r="F37" i="47"/>
  <c r="AE37" i="47"/>
  <c r="AB37" i="47"/>
  <c r="Z37" i="47"/>
  <c r="AM37" i="47"/>
  <c r="AD37" i="47"/>
  <c r="AH37" i="47"/>
  <c r="AP37" i="47"/>
  <c r="AA37" i="47"/>
  <c r="AC37" i="47"/>
  <c r="AK37" i="47"/>
  <c r="AO37" i="47"/>
  <c r="AL37" i="47"/>
  <c r="AN37" i="47"/>
  <c r="BM77" i="1"/>
  <c r="BQ77" i="1"/>
  <c r="AK52" i="45"/>
  <c r="AP39" i="46"/>
  <c r="AC39" i="46"/>
  <c r="F29" i="46"/>
  <c r="AD29" i="46"/>
  <c r="X45" i="47"/>
  <c r="Y45" i="47"/>
  <c r="Y69" i="47"/>
  <c r="X69" i="47"/>
  <c r="AG89" i="47"/>
  <c r="AJ89" i="47"/>
  <c r="AH89" i="47"/>
  <c r="AB89" i="47"/>
  <c r="AD89" i="47"/>
  <c r="Z89" i="47"/>
  <c r="AL89" i="47"/>
  <c r="AK89" i="47"/>
  <c r="AO89" i="47"/>
  <c r="F89" i="47"/>
  <c r="AE89" i="47"/>
  <c r="AA89" i="47"/>
  <c r="AF89" i="47"/>
  <c r="AI89" i="47"/>
  <c r="AC89" i="47"/>
  <c r="AP89" i="47"/>
  <c r="AM89" i="47"/>
  <c r="AN89" i="47"/>
  <c r="Y83" i="47"/>
  <c r="X83" i="47"/>
  <c r="Y87" i="47"/>
  <c r="X87" i="47"/>
  <c r="X61" i="47"/>
  <c r="Y61" i="47"/>
  <c r="Y20" i="47"/>
  <c r="X20" i="47"/>
  <c r="Y50" i="47"/>
  <c r="X50" i="47"/>
  <c r="Y15" i="47"/>
  <c r="X15" i="47"/>
  <c r="AF39" i="46"/>
  <c r="AL29" i="46"/>
  <c r="Y43" i="47"/>
  <c r="X43" i="47"/>
  <c r="X24" i="47"/>
  <c r="Y24" i="47"/>
  <c r="BR77" i="1"/>
  <c r="AI39" i="46"/>
  <c r="Z39" i="46"/>
  <c r="AJ29" i="46"/>
  <c r="AF29" i="46"/>
  <c r="Y40" i="47"/>
  <c r="X40" i="47"/>
  <c r="Y56" i="47"/>
  <c r="X56" i="47"/>
  <c r="Y18" i="47"/>
  <c r="X18" i="47"/>
  <c r="Y75" i="47"/>
  <c r="X75" i="47"/>
  <c r="BO77" i="1"/>
  <c r="AI29" i="46"/>
  <c r="X44" i="47"/>
  <c r="Y44" i="47"/>
  <c r="AO22" i="46"/>
  <c r="X22" i="47"/>
  <c r="BU77" i="1"/>
  <c r="F39" i="46"/>
  <c r="AG29" i="46"/>
  <c r="F39" i="47"/>
  <c r="AL39" i="47"/>
  <c r="AG39" i="47"/>
  <c r="AF39" i="47"/>
  <c r="AK39" i="47"/>
  <c r="AE39" i="47"/>
  <c r="AJ39" i="47"/>
  <c r="AC39" i="47"/>
  <c r="AI39" i="47"/>
  <c r="AM39" i="47"/>
  <c r="AO39" i="47"/>
  <c r="AH39" i="47"/>
  <c r="AA39" i="47"/>
  <c r="AB39" i="47"/>
  <c r="AD39" i="47"/>
  <c r="Z39" i="47"/>
  <c r="AP39" i="47"/>
  <c r="AN39" i="47"/>
  <c r="AH29" i="47"/>
  <c r="F29" i="47"/>
  <c r="Z29" i="47"/>
  <c r="AM29" i="47"/>
  <c r="AB29" i="47"/>
  <c r="AI29" i="47"/>
  <c r="AK29" i="47"/>
  <c r="AG29" i="47"/>
  <c r="AD29" i="47"/>
  <c r="AC29" i="47"/>
  <c r="AF29" i="47"/>
  <c r="AJ29" i="47"/>
  <c r="AA29" i="47"/>
  <c r="AE29" i="47"/>
  <c r="AL29" i="47"/>
  <c r="AO29" i="47"/>
  <c r="AP29" i="47"/>
  <c r="AN29" i="47"/>
  <c r="X55" i="47"/>
  <c r="Y55" i="47"/>
  <c r="Y47" i="47"/>
  <c r="X47" i="47"/>
  <c r="Y66" i="47"/>
  <c r="X66" i="47"/>
  <c r="Y42" i="47"/>
  <c r="X42" i="47"/>
  <c r="X31" i="47"/>
  <c r="Y31" i="47"/>
  <c r="Y71" i="47"/>
  <c r="X71" i="47"/>
  <c r="CQ65" i="1"/>
  <c r="CS65" i="1" s="1"/>
  <c r="BI89" i="1"/>
  <c r="BV89" i="1" s="1"/>
  <c r="AI89" i="44"/>
  <c r="AO77" i="45"/>
  <c r="CQ52" i="1"/>
  <c r="CS52" i="1" s="1"/>
  <c r="AJ79" i="46"/>
  <c r="AM79" i="46"/>
  <c r="AO79" i="46"/>
  <c r="AH79" i="46"/>
  <c r="AG79" i="46"/>
  <c r="AP79" i="46"/>
  <c r="AF79" i="46"/>
  <c r="AK79" i="46"/>
  <c r="AE79" i="46"/>
  <c r="AB79" i="46"/>
  <c r="AL79" i="46"/>
  <c r="AA79" i="46"/>
  <c r="AC79" i="46"/>
  <c r="Z79" i="46"/>
  <c r="AI79" i="46"/>
  <c r="F79" i="46"/>
  <c r="AD79" i="46"/>
  <c r="AN79" i="46"/>
  <c r="AG49" i="46"/>
  <c r="AC49" i="46"/>
  <c r="AI49" i="46"/>
  <c r="AM49" i="46"/>
  <c r="AA49" i="46"/>
  <c r="AJ49" i="46"/>
  <c r="AB49" i="46"/>
  <c r="AF49" i="46"/>
  <c r="AD49" i="46"/>
  <c r="F49" i="46"/>
  <c r="Z49" i="46"/>
  <c r="AE49" i="46"/>
  <c r="AH49" i="46"/>
  <c r="AL49" i="46"/>
  <c r="AK49" i="46"/>
  <c r="AO49" i="46"/>
  <c r="AP49" i="46"/>
  <c r="AN49" i="46"/>
  <c r="AK90" i="46"/>
  <c r="AO90" i="46"/>
  <c r="AD90" i="46"/>
  <c r="AH90" i="46"/>
  <c r="AP90" i="46"/>
  <c r="AG90" i="46"/>
  <c r="AC90" i="46"/>
  <c r="AF90" i="46"/>
  <c r="AM90" i="46"/>
  <c r="AJ90" i="46"/>
  <c r="AA90" i="46"/>
  <c r="F90" i="46"/>
  <c r="Z90" i="46"/>
  <c r="AE90" i="46"/>
  <c r="AB90" i="46"/>
  <c r="AI90" i="46"/>
  <c r="AL90" i="46"/>
  <c r="AN90" i="46"/>
  <c r="AJ43" i="46"/>
  <c r="AF43" i="46"/>
  <c r="AD43" i="46"/>
  <c r="AC43" i="46"/>
  <c r="AB43" i="46"/>
  <c r="AO43" i="46"/>
  <c r="AI43" i="46"/>
  <c r="AA43" i="46"/>
  <c r="AH43" i="46"/>
  <c r="AL43" i="46"/>
  <c r="Z43" i="46"/>
  <c r="F43" i="46"/>
  <c r="AG43" i="46"/>
  <c r="AE43" i="46"/>
  <c r="AP43" i="46"/>
  <c r="AK43" i="46"/>
  <c r="AM43" i="46"/>
  <c r="AN43" i="46"/>
  <c r="AF25" i="46"/>
  <c r="AH25" i="46"/>
  <c r="Z25" i="46"/>
  <c r="AE25" i="46"/>
  <c r="AC25" i="46"/>
  <c r="AJ25" i="46"/>
  <c r="F25" i="46"/>
  <c r="AK25" i="46"/>
  <c r="AB25" i="46"/>
  <c r="AI25" i="46"/>
  <c r="AA25" i="46"/>
  <c r="AG25" i="46"/>
  <c r="AD25" i="46"/>
  <c r="AL25" i="46"/>
  <c r="AO25" i="46"/>
  <c r="AP25" i="46"/>
  <c r="AM25" i="46"/>
  <c r="AN25" i="46"/>
  <c r="AC87" i="46"/>
  <c r="Z87" i="46"/>
  <c r="AJ87" i="46"/>
  <c r="AF87" i="46"/>
  <c r="AK87" i="46"/>
  <c r="AE87" i="46"/>
  <c r="AB87" i="46"/>
  <c r="F87" i="46"/>
  <c r="AM87" i="46"/>
  <c r="AI87" i="46"/>
  <c r="AD87" i="46"/>
  <c r="AH87" i="46"/>
  <c r="AP87" i="46"/>
  <c r="AL87" i="46"/>
  <c r="AO87" i="46"/>
  <c r="AA87" i="46"/>
  <c r="AG87" i="46"/>
  <c r="AN87" i="46"/>
  <c r="AO24" i="46"/>
  <c r="AD24" i="46"/>
  <c r="AE24" i="46"/>
  <c r="AI24" i="46"/>
  <c r="AM24" i="46"/>
  <c r="AA24" i="46"/>
  <c r="F24" i="46"/>
  <c r="AP24" i="46"/>
  <c r="AL24" i="46"/>
  <c r="AF24" i="46"/>
  <c r="AC24" i="46"/>
  <c r="AK24" i="46"/>
  <c r="AH24" i="46"/>
  <c r="AG24" i="46"/>
  <c r="AB24" i="46"/>
  <c r="AJ24" i="46"/>
  <c r="Z24" i="46"/>
  <c r="AN24" i="46"/>
  <c r="AO40" i="46"/>
  <c r="AD40" i="46"/>
  <c r="AD84" i="46"/>
  <c r="AJ84" i="46"/>
  <c r="AE84" i="46"/>
  <c r="AP84" i="46"/>
  <c r="AM84" i="46"/>
  <c r="AI84" i="46"/>
  <c r="AB84" i="46"/>
  <c r="AA84" i="46"/>
  <c r="AC84" i="46"/>
  <c r="AK84" i="46"/>
  <c r="AH84" i="46"/>
  <c r="Z84" i="46"/>
  <c r="AF84" i="46"/>
  <c r="AL84" i="46"/>
  <c r="AG84" i="46"/>
  <c r="F84" i="46"/>
  <c r="AO84" i="46"/>
  <c r="AN84" i="46"/>
  <c r="AM56" i="46"/>
  <c r="AJ56" i="46"/>
  <c r="AF56" i="46"/>
  <c r="AO56" i="46"/>
  <c r="AK56" i="46"/>
  <c r="AI56" i="46"/>
  <c r="F56" i="46"/>
  <c r="AD56" i="46"/>
  <c r="AP56" i="46"/>
  <c r="AB56" i="46"/>
  <c r="AC56" i="46"/>
  <c r="AL56" i="46"/>
  <c r="AH56" i="46"/>
  <c r="AE56" i="46"/>
  <c r="AG56" i="46"/>
  <c r="Z56" i="46"/>
  <c r="AA56" i="46"/>
  <c r="AN56" i="46"/>
  <c r="AF85" i="46"/>
  <c r="AK85" i="46"/>
  <c r="AH85" i="46"/>
  <c r="AG85" i="46"/>
  <c r="Z85" i="46"/>
  <c r="AI85" i="46"/>
  <c r="AE85" i="46"/>
  <c r="AD85" i="46"/>
  <c r="AC85" i="46"/>
  <c r="F85" i="46"/>
  <c r="AJ85" i="46"/>
  <c r="AB85" i="46"/>
  <c r="AM85" i="46"/>
  <c r="AA85" i="46"/>
  <c r="AO85" i="46"/>
  <c r="AL85" i="46"/>
  <c r="AN85" i="46"/>
  <c r="AP85" i="46"/>
  <c r="AI23" i="46"/>
  <c r="AJ23" i="46"/>
  <c r="AH23" i="46"/>
  <c r="Z23" i="46"/>
  <c r="AB23" i="46"/>
  <c r="AD23" i="46"/>
  <c r="AG23" i="46"/>
  <c r="AK23" i="46"/>
  <c r="AM23" i="46"/>
  <c r="AC23" i="46"/>
  <c r="F23" i="46"/>
  <c r="AL23" i="46"/>
  <c r="AE23" i="46"/>
  <c r="AA23" i="46"/>
  <c r="AF23" i="46"/>
  <c r="AP23" i="46"/>
  <c r="AN23" i="46"/>
  <c r="AO23" i="46"/>
  <c r="AF59" i="46"/>
  <c r="AJ59" i="46"/>
  <c r="AB59" i="46"/>
  <c r="AA59" i="46"/>
  <c r="AL59" i="46"/>
  <c r="AC59" i="46"/>
  <c r="AH59" i="46"/>
  <c r="AG59" i="46"/>
  <c r="AD59" i="46"/>
  <c r="AI59" i="46"/>
  <c r="Z59" i="46"/>
  <c r="AE59" i="46"/>
  <c r="F59" i="46"/>
  <c r="AP59" i="46"/>
  <c r="AM59" i="46"/>
  <c r="AO59" i="46"/>
  <c r="AK59" i="46"/>
  <c r="AN59" i="46"/>
  <c r="AI53" i="46"/>
  <c r="AB53" i="46"/>
  <c r="Z53" i="46"/>
  <c r="AH53" i="46"/>
  <c r="AP53" i="46"/>
  <c r="AD53" i="46"/>
  <c r="AC53" i="46"/>
  <c r="F53" i="46"/>
  <c r="AG53" i="46"/>
  <c r="AE53" i="46"/>
  <c r="AF53" i="46"/>
  <c r="AA53" i="46"/>
  <c r="AJ53" i="46"/>
  <c r="AL53" i="46"/>
  <c r="AM53" i="46"/>
  <c r="AO53" i="46"/>
  <c r="AK53" i="46"/>
  <c r="AN53" i="46"/>
  <c r="AP71" i="46"/>
  <c r="AJ71" i="46"/>
  <c r="AA71" i="46"/>
  <c r="AI73" i="46"/>
  <c r="AJ73" i="46"/>
  <c r="AO73" i="46"/>
  <c r="AH73" i="46"/>
  <c r="AA73" i="46"/>
  <c r="AB73" i="46"/>
  <c r="AD73" i="46"/>
  <c r="AK73" i="46"/>
  <c r="Z73" i="46"/>
  <c r="AG73" i="46"/>
  <c r="F73" i="46"/>
  <c r="AF73" i="46"/>
  <c r="AC73" i="46"/>
  <c r="AE73" i="46"/>
  <c r="AL73" i="46"/>
  <c r="AM73" i="46"/>
  <c r="AP73" i="46"/>
  <c r="AN73" i="46"/>
  <c r="AG46" i="46"/>
  <c r="AH46" i="46"/>
  <c r="Z46" i="46"/>
  <c r="AK46" i="46"/>
  <c r="AF46" i="46"/>
  <c r="AD46" i="46"/>
  <c r="AE46" i="46"/>
  <c r="AJ46" i="46"/>
  <c r="F46" i="46"/>
  <c r="AC46" i="46"/>
  <c r="AA46" i="46"/>
  <c r="AB46" i="46"/>
  <c r="AI46" i="46"/>
  <c r="AP46" i="46"/>
  <c r="AO46" i="46"/>
  <c r="AM46" i="46"/>
  <c r="AL46" i="46"/>
  <c r="AN46" i="46"/>
  <c r="Z75" i="46"/>
  <c r="AH75" i="46"/>
  <c r="AD75" i="46"/>
  <c r="AM75" i="46"/>
  <c r="AO75" i="46"/>
  <c r="AA75" i="46"/>
  <c r="AG75" i="46"/>
  <c r="AF75" i="46"/>
  <c r="AJ75" i="46"/>
  <c r="AE75" i="46"/>
  <c r="AL75" i="46"/>
  <c r="F75" i="46"/>
  <c r="AB75" i="46"/>
  <c r="AC75" i="46"/>
  <c r="AI75" i="46"/>
  <c r="AP75" i="46"/>
  <c r="AK75" i="46"/>
  <c r="AN75" i="46"/>
  <c r="AJ26" i="46"/>
  <c r="AB26" i="46"/>
  <c r="AH26" i="46"/>
  <c r="AA26" i="46"/>
  <c r="AO26" i="46"/>
  <c r="Z26" i="46"/>
  <c r="AN26" i="46"/>
  <c r="AG26" i="46"/>
  <c r="AK26" i="46"/>
  <c r="AM26" i="46"/>
  <c r="F26" i="46"/>
  <c r="AC26" i="46"/>
  <c r="AF26" i="46"/>
  <c r="AI26" i="46"/>
  <c r="AL26" i="46"/>
  <c r="AE26" i="46"/>
  <c r="AD26" i="46"/>
  <c r="AP26" i="46"/>
  <c r="AK50" i="46"/>
  <c r="AH50" i="46"/>
  <c r="AJ81" i="46"/>
  <c r="AB81" i="46"/>
  <c r="AD81" i="46"/>
  <c r="AE81" i="46"/>
  <c r="AC81" i="46"/>
  <c r="F81" i="46"/>
  <c r="AL81" i="46"/>
  <c r="AK81" i="46"/>
  <c r="AI81" i="46"/>
  <c r="AG81" i="46"/>
  <c r="AO81" i="46"/>
  <c r="AH81" i="46"/>
  <c r="AA81" i="46"/>
  <c r="Z81" i="46"/>
  <c r="AF81" i="46"/>
  <c r="AP81" i="46"/>
  <c r="AM81" i="46"/>
  <c r="AN81" i="46"/>
  <c r="AD64" i="46"/>
  <c r="AP64" i="46"/>
  <c r="AH64" i="46"/>
  <c r="AK64" i="46"/>
  <c r="AG64" i="46"/>
  <c r="AJ64" i="46"/>
  <c r="AC64" i="46"/>
  <c r="AF64" i="46"/>
  <c r="F64" i="46"/>
  <c r="AA64" i="46"/>
  <c r="AB64" i="46"/>
  <c r="AO64" i="46"/>
  <c r="AI64" i="46"/>
  <c r="Z64" i="46"/>
  <c r="AE64" i="46"/>
  <c r="AM64" i="46"/>
  <c r="AL64" i="46"/>
  <c r="AN64" i="46"/>
  <c r="AI20" i="46"/>
  <c r="AH20" i="46"/>
  <c r="F20" i="46"/>
  <c r="AE20" i="46"/>
  <c r="AA20" i="46"/>
  <c r="Z20" i="46"/>
  <c r="AD20" i="46"/>
  <c r="AC20" i="46"/>
  <c r="AL20" i="46"/>
  <c r="AB20" i="46"/>
  <c r="AK20" i="46"/>
  <c r="AO20" i="46"/>
  <c r="AG20" i="46"/>
  <c r="AJ20" i="46"/>
  <c r="AF20" i="46"/>
  <c r="AM20" i="46"/>
  <c r="AN20" i="46"/>
  <c r="AP20" i="46"/>
  <c r="AO74" i="46"/>
  <c r="AK74" i="46"/>
  <c r="AD33" i="46"/>
  <c r="AA33" i="46"/>
  <c r="Z33" i="46"/>
  <c r="AG33" i="46"/>
  <c r="F33" i="46"/>
  <c r="AO33" i="46"/>
  <c r="AF33" i="46"/>
  <c r="AI33" i="46"/>
  <c r="AC33" i="46"/>
  <c r="AP33" i="46"/>
  <c r="AH33" i="46"/>
  <c r="AL33" i="46"/>
  <c r="AB33" i="46"/>
  <c r="AJ33" i="46"/>
  <c r="AM33" i="46"/>
  <c r="AK33" i="46"/>
  <c r="AE33" i="46"/>
  <c r="AN33" i="46"/>
  <c r="AI37" i="46"/>
  <c r="AE37" i="46"/>
  <c r="AO37" i="46"/>
  <c r="AB86" i="46"/>
  <c r="AL86" i="46"/>
  <c r="AI69" i="46"/>
  <c r="AF69" i="46"/>
  <c r="AK69" i="46"/>
  <c r="AG69" i="46"/>
  <c r="AE69" i="46"/>
  <c r="AD69" i="46"/>
  <c r="AH69" i="46"/>
  <c r="F69" i="46"/>
  <c r="AA69" i="46"/>
  <c r="AJ69" i="46"/>
  <c r="AM69" i="46"/>
  <c r="Z69" i="46"/>
  <c r="AC69" i="46"/>
  <c r="AB69" i="46"/>
  <c r="AL69" i="46"/>
  <c r="AP69" i="46"/>
  <c r="AO69" i="46"/>
  <c r="AN69" i="46"/>
  <c r="AP51" i="46"/>
  <c r="AC51" i="46"/>
  <c r="AM51" i="46"/>
  <c r="Z51" i="46"/>
  <c r="AG51" i="46"/>
  <c r="AI51" i="46"/>
  <c r="AH51" i="46"/>
  <c r="AO51" i="46"/>
  <c r="AE51" i="46"/>
  <c r="AF51" i="46"/>
  <c r="AD51" i="46"/>
  <c r="AL51" i="46"/>
  <c r="AJ51" i="46"/>
  <c r="AA51" i="46"/>
  <c r="F51" i="46"/>
  <c r="AB51" i="46"/>
  <c r="AK51" i="46"/>
  <c r="AN51" i="46"/>
  <c r="AI63" i="46"/>
  <c r="AJ63" i="46"/>
  <c r="AB63" i="46"/>
  <c r="AK63" i="46"/>
  <c r="AM63" i="46"/>
  <c r="AC63" i="46"/>
  <c r="AL63" i="46"/>
  <c r="Z63" i="46"/>
  <c r="AE63" i="46"/>
  <c r="AF63" i="46"/>
  <c r="AG63" i="46"/>
  <c r="AH63" i="46"/>
  <c r="AA63" i="46"/>
  <c r="AD63" i="46"/>
  <c r="F63" i="46"/>
  <c r="AN63" i="46"/>
  <c r="AP63" i="46"/>
  <c r="AO63" i="46"/>
  <c r="AC19" i="46"/>
  <c r="AJ19" i="46"/>
  <c r="AD19" i="46"/>
  <c r="AP19" i="46"/>
  <c r="AE19" i="46"/>
  <c r="AM19" i="46"/>
  <c r="AO19" i="46"/>
  <c r="AA19" i="46"/>
  <c r="AH19" i="46"/>
  <c r="Z19" i="46"/>
  <c r="AL19" i="46"/>
  <c r="AG19" i="46"/>
  <c r="AF19" i="46"/>
  <c r="AK19" i="46"/>
  <c r="F19" i="46"/>
  <c r="AI19" i="46"/>
  <c r="AB19" i="46"/>
  <c r="AN19" i="46"/>
  <c r="AG54" i="46"/>
  <c r="AF54" i="46"/>
  <c r="AD66" i="46"/>
  <c r="AC66" i="46"/>
  <c r="AI66" i="46"/>
  <c r="AK66" i="46"/>
  <c r="AA66" i="46"/>
  <c r="AO66" i="46"/>
  <c r="AH66" i="46"/>
  <c r="Z66" i="46"/>
  <c r="AG66" i="46"/>
  <c r="AB66" i="46"/>
  <c r="F66" i="46"/>
  <c r="AM66" i="46"/>
  <c r="AJ66" i="46"/>
  <c r="AE66" i="46"/>
  <c r="AF66" i="46"/>
  <c r="AL66" i="46"/>
  <c r="AP66" i="46"/>
  <c r="AN66" i="46"/>
  <c r="AI21" i="46"/>
  <c r="AC21" i="46"/>
  <c r="AL21" i="46"/>
  <c r="AC41" i="46"/>
  <c r="F41" i="46"/>
  <c r="AL41" i="46"/>
  <c r="AJ41" i="46"/>
  <c r="Z41" i="46"/>
  <c r="AM41" i="46"/>
  <c r="AB41" i="46"/>
  <c r="AP41" i="46"/>
  <c r="AO41" i="46"/>
  <c r="AI41" i="46"/>
  <c r="AD41" i="46"/>
  <c r="AA41" i="46"/>
  <c r="AH41" i="46"/>
  <c r="AF41" i="46"/>
  <c r="AG41" i="46"/>
  <c r="AE41" i="46"/>
  <c r="AK41" i="46"/>
  <c r="AN41" i="46"/>
  <c r="AH47" i="46"/>
  <c r="AJ47" i="46"/>
  <c r="AD47" i="46"/>
  <c r="AG47" i="46"/>
  <c r="AB47" i="46"/>
  <c r="AI47" i="46"/>
  <c r="Z47" i="46"/>
  <c r="AK47" i="46"/>
  <c r="AC47" i="46"/>
  <c r="AL47" i="46"/>
  <c r="AA47" i="46"/>
  <c r="AE47" i="46"/>
  <c r="F47" i="46"/>
  <c r="AF47" i="46"/>
  <c r="AP47" i="46"/>
  <c r="AO47" i="46"/>
  <c r="AM47" i="46"/>
  <c r="AN47" i="46"/>
  <c r="AH42" i="46"/>
  <c r="AK42" i="46"/>
  <c r="AB42" i="46"/>
  <c r="AO42" i="46"/>
  <c r="AL42" i="46"/>
  <c r="AJ42" i="46"/>
  <c r="AG42" i="46"/>
  <c r="AC42" i="46"/>
  <c r="AD42" i="46"/>
  <c r="AI42" i="46"/>
  <c r="Z42" i="46"/>
  <c r="AA42" i="46"/>
  <c r="AM42" i="46"/>
  <c r="F42" i="46"/>
  <c r="AF42" i="46"/>
  <c r="AE42" i="46"/>
  <c r="AP42" i="46"/>
  <c r="AN42" i="46"/>
  <c r="AG80" i="46"/>
  <c r="AD80" i="46"/>
  <c r="AA80" i="46"/>
  <c r="AK80" i="46"/>
  <c r="AH80" i="46"/>
  <c r="AB80" i="46"/>
  <c r="Z80" i="46"/>
  <c r="AE80" i="46"/>
  <c r="AF80" i="46"/>
  <c r="AC80" i="46"/>
  <c r="F80" i="46"/>
  <c r="AJ80" i="46"/>
  <c r="AI80" i="46"/>
  <c r="AM80" i="46"/>
  <c r="AO80" i="46"/>
  <c r="AP80" i="46"/>
  <c r="AL80" i="46"/>
  <c r="AN80" i="46"/>
  <c r="AI61" i="46"/>
  <c r="Z61" i="46"/>
  <c r="AJ61" i="46"/>
  <c r="AH61" i="46"/>
  <c r="AB61" i="46"/>
  <c r="AE61" i="46"/>
  <c r="AL61" i="46"/>
  <c r="AP61" i="46"/>
  <c r="AC61" i="46"/>
  <c r="F61" i="46"/>
  <c r="AA61" i="46"/>
  <c r="AD61" i="46"/>
  <c r="AF61" i="46"/>
  <c r="AG61" i="46"/>
  <c r="AO61" i="46"/>
  <c r="AK61" i="46"/>
  <c r="AM61" i="46"/>
  <c r="AN61" i="46"/>
  <c r="AI15" i="46"/>
  <c r="AF44" i="46"/>
  <c r="AH44" i="46"/>
  <c r="AD44" i="46"/>
  <c r="Z44" i="46"/>
  <c r="AI44" i="46"/>
  <c r="AJ44" i="46"/>
  <c r="AK44" i="46"/>
  <c r="AA44" i="46"/>
  <c r="AG44" i="46"/>
  <c r="AE44" i="46"/>
  <c r="AB44" i="46"/>
  <c r="F44" i="46"/>
  <c r="AC44" i="46"/>
  <c r="AM44" i="46"/>
  <c r="AO44" i="46"/>
  <c r="AL44" i="46"/>
  <c r="AN44" i="46"/>
  <c r="AP44" i="46"/>
  <c r="AH68" i="46"/>
  <c r="AF68" i="46"/>
  <c r="Z68" i="46"/>
  <c r="AO68" i="46"/>
  <c r="AK68" i="46"/>
  <c r="AD68" i="46"/>
  <c r="AI68" i="46"/>
  <c r="AA68" i="46"/>
  <c r="AG68" i="46"/>
  <c r="F68" i="46"/>
  <c r="AE68" i="46"/>
  <c r="AJ68" i="46"/>
  <c r="AB68" i="46"/>
  <c r="AC68" i="46"/>
  <c r="AL68" i="46"/>
  <c r="AP68" i="46"/>
  <c r="AM68" i="46"/>
  <c r="AN68" i="46"/>
  <c r="AH55" i="46"/>
  <c r="AF55" i="46"/>
  <c r="AI55" i="46"/>
  <c r="AB55" i="46"/>
  <c r="AA55" i="46"/>
  <c r="Z55" i="46"/>
  <c r="AK55" i="46"/>
  <c r="AG55" i="46"/>
  <c r="AM55" i="46"/>
  <c r="AJ55" i="46"/>
  <c r="AL55" i="46"/>
  <c r="AD55" i="46"/>
  <c r="AE55" i="46"/>
  <c r="F55" i="46"/>
  <c r="AC55" i="46"/>
  <c r="AP55" i="46"/>
  <c r="AN55" i="46"/>
  <c r="AO55" i="46"/>
  <c r="AB45" i="46"/>
  <c r="Z45" i="46"/>
  <c r="AI45" i="46"/>
  <c r="AH45" i="46"/>
  <c r="AA45" i="46"/>
  <c r="AE45" i="46"/>
  <c r="AP45" i="46"/>
  <c r="AJ45" i="46"/>
  <c r="AC45" i="46"/>
  <c r="F45" i="46"/>
  <c r="AF45" i="46"/>
  <c r="AD45" i="46"/>
  <c r="AG45" i="46"/>
  <c r="AL45" i="46"/>
  <c r="AO45" i="46"/>
  <c r="AM45" i="46"/>
  <c r="AK45" i="46"/>
  <c r="AN45" i="46"/>
  <c r="AG34" i="46"/>
  <c r="AH34" i="46"/>
  <c r="AP22" i="46"/>
  <c r="AE32" i="46"/>
  <c r="F32" i="46"/>
  <c r="AH32" i="46"/>
  <c r="AI32" i="46"/>
  <c r="Z32" i="46"/>
  <c r="AG32" i="46"/>
  <c r="AC32" i="46"/>
  <c r="AF32" i="46"/>
  <c r="AD32" i="46"/>
  <c r="AK32" i="46"/>
  <c r="AM32" i="46"/>
  <c r="AJ32" i="46"/>
  <c r="AA32" i="46"/>
  <c r="AO32" i="46"/>
  <c r="AB32" i="46"/>
  <c r="AP32" i="46"/>
  <c r="AN32" i="46"/>
  <c r="AL32" i="46"/>
  <c r="AJ82" i="46"/>
  <c r="AD82" i="46"/>
  <c r="AI82" i="46"/>
  <c r="AE82" i="46"/>
  <c r="AH82" i="46"/>
  <c r="Z82" i="46"/>
  <c r="AC82" i="46"/>
  <c r="AG82" i="46"/>
  <c r="AO82" i="46"/>
  <c r="AF82" i="46"/>
  <c r="AB82" i="46"/>
  <c r="AM82" i="46"/>
  <c r="AA82" i="46"/>
  <c r="F82" i="46"/>
  <c r="AP82" i="46"/>
  <c r="AL82" i="46"/>
  <c r="AK82" i="46"/>
  <c r="AN82" i="46"/>
  <c r="AH83" i="46"/>
  <c r="Z83" i="46"/>
  <c r="AL83" i="46"/>
  <c r="AO83" i="46"/>
  <c r="AB83" i="46"/>
  <c r="AC83" i="46"/>
  <c r="AI83" i="46"/>
  <c r="AA83" i="46"/>
  <c r="AD83" i="46"/>
  <c r="AF83" i="46"/>
  <c r="AG83" i="46"/>
  <c r="AE83" i="46"/>
  <c r="AM83" i="46"/>
  <c r="F83" i="46"/>
  <c r="AJ83" i="46"/>
  <c r="AP83" i="46"/>
  <c r="AK83" i="46"/>
  <c r="AN83" i="46"/>
  <c r="AH17" i="46"/>
  <c r="AF17" i="46"/>
  <c r="Z17" i="46"/>
  <c r="AE17" i="46"/>
  <c r="F17" i="46"/>
  <c r="AB17" i="46"/>
  <c r="AC17" i="46"/>
  <c r="AI17" i="46"/>
  <c r="AP17" i="46"/>
  <c r="AJ17" i="46"/>
  <c r="AD17" i="46"/>
  <c r="AG17" i="46"/>
  <c r="AA17" i="46"/>
  <c r="AM17" i="46"/>
  <c r="AK17" i="46"/>
  <c r="AO17" i="46"/>
  <c r="AL17" i="46"/>
  <c r="AN17" i="46"/>
  <c r="AJ18" i="46"/>
  <c r="AI18" i="46"/>
  <c r="AC18" i="46"/>
  <c r="AB18" i="46"/>
  <c r="AD18" i="46"/>
  <c r="AA18" i="46"/>
  <c r="AL18" i="46"/>
  <c r="AK18" i="46"/>
  <c r="AM18" i="46"/>
  <c r="AO18" i="46"/>
  <c r="AH18" i="46"/>
  <c r="AG18" i="46"/>
  <c r="Z18" i="46"/>
  <c r="AF18" i="46"/>
  <c r="AE18" i="46"/>
  <c r="F18" i="46"/>
  <c r="AP18" i="46"/>
  <c r="AN18" i="46"/>
  <c r="F31" i="46"/>
  <c r="AM31" i="46"/>
  <c r="AD88" i="46"/>
  <c r="Z88" i="46"/>
  <c r="AH88" i="46"/>
  <c r="AK88" i="46"/>
  <c r="AE88" i="46"/>
  <c r="AF88" i="46"/>
  <c r="F88" i="46"/>
  <c r="AJ88" i="46"/>
  <c r="AC88" i="46"/>
  <c r="AB88" i="46"/>
  <c r="AI88" i="46"/>
  <c r="AA88" i="46"/>
  <c r="AG88" i="46"/>
  <c r="AP88" i="46"/>
  <c r="AO88" i="46"/>
  <c r="AM88" i="46"/>
  <c r="AL88" i="46"/>
  <c r="AN88" i="46"/>
  <c r="AL30" i="44"/>
  <c r="F30" i="44"/>
  <c r="AI75" i="44"/>
  <c r="AN55" i="44"/>
  <c r="AL52" i="44"/>
  <c r="AF59" i="44"/>
  <c r="AI53" i="44"/>
  <c r="AK30" i="44"/>
  <c r="AE30" i="44"/>
  <c r="AK56" i="44"/>
  <c r="AO30" i="44"/>
  <c r="AF30" i="44"/>
  <c r="AC63" i="44"/>
  <c r="AP30" i="44"/>
  <c r="AG30" i="44"/>
  <c r="AH30" i="44"/>
  <c r="AC30" i="44"/>
  <c r="AB18" i="44"/>
  <c r="Z30" i="44"/>
  <c r="AJ30" i="44"/>
  <c r="AI51" i="44"/>
  <c r="AN30" i="44"/>
  <c r="AB30" i="44"/>
  <c r="AA30" i="44"/>
  <c r="AI20" i="44"/>
  <c r="AC46" i="44"/>
  <c r="AI21" i="44"/>
  <c r="V31" i="43"/>
  <c r="Y31" i="43" s="1"/>
  <c r="V31" i="31"/>
  <c r="V31" i="29"/>
  <c r="V31" i="21"/>
  <c r="V31" i="41"/>
  <c r="V31" i="28"/>
  <c r="V31" i="24"/>
  <c r="V31" i="20"/>
  <c r="V31" i="40"/>
  <c r="V31" i="33"/>
  <c r="V31" i="23"/>
  <c r="V31" i="19"/>
  <c r="V31" i="39"/>
  <c r="V31" i="36"/>
  <c r="V31" i="34"/>
  <c r="V31" i="18"/>
  <c r="V31" i="13"/>
  <c r="V31" i="44"/>
  <c r="V31" i="42"/>
  <c r="V31" i="32"/>
  <c r="V31" i="26"/>
  <c r="V31" i="16"/>
  <c r="BF31" i="1"/>
  <c r="BI31" i="1" s="1"/>
  <c r="BK31" i="1" s="1"/>
  <c r="V31" i="38"/>
  <c r="V31" i="27"/>
  <c r="V31" i="25"/>
  <c r="V31" i="15"/>
  <c r="CO31" i="1"/>
  <c r="CQ31" i="1" s="1"/>
  <c r="CS31" i="1" s="1"/>
  <c r="V31" i="35"/>
  <c r="V31" i="30"/>
  <c r="W42" i="1"/>
  <c r="Y42" i="1" s="1"/>
  <c r="CQ48" i="1"/>
  <c r="CS48" i="1" s="1"/>
  <c r="V15" i="20"/>
  <c r="V42" i="31"/>
  <c r="V15" i="41"/>
  <c r="V17" i="24"/>
  <c r="V60" i="29"/>
  <c r="V88" i="23"/>
  <c r="AI71" i="44"/>
  <c r="AM48" i="45"/>
  <c r="CQ77" i="1"/>
  <c r="CS77" i="1" s="1"/>
  <c r="CR77" i="1"/>
  <c r="CU77" i="1" s="1"/>
  <c r="V21" i="40"/>
  <c r="V21" i="31"/>
  <c r="V21" i="24"/>
  <c r="V21" i="20"/>
  <c r="V21" i="34"/>
  <c r="V21" i="42"/>
  <c r="V21" i="22"/>
  <c r="V21" i="13"/>
  <c r="V21" i="37"/>
  <c r="V21" i="26"/>
  <c r="V21" i="16"/>
  <c r="BF21" i="1"/>
  <c r="BH21" i="1" s="1"/>
  <c r="BJ21" i="1" s="1"/>
  <c r="V21" i="39"/>
  <c r="V21" i="28"/>
  <c r="V21" i="15"/>
  <c r="CO21" i="1"/>
  <c r="CQ21" i="1" s="1"/>
  <c r="CS21" i="1" s="1"/>
  <c r="V21" i="43"/>
  <c r="Y21" i="43" s="1"/>
  <c r="V21" i="36"/>
  <c r="V21" i="25"/>
  <c r="V21" i="19"/>
  <c r="V21" i="41"/>
  <c r="V21" i="33"/>
  <c r="V21" i="29"/>
  <c r="V21" i="18"/>
  <c r="V21" i="35"/>
  <c r="V21" i="30"/>
  <c r="V21" i="23"/>
  <c r="V42" i="42"/>
  <c r="V17" i="28"/>
  <c r="V60" i="34"/>
  <c r="V88" i="39"/>
  <c r="V81" i="43"/>
  <c r="Y81" i="43" s="1"/>
  <c r="V81" i="36"/>
  <c r="V81" i="23"/>
  <c r="V81" i="41"/>
  <c r="V81" i="34"/>
  <c r="V81" i="30"/>
  <c r="V81" i="42"/>
  <c r="V81" i="32"/>
  <c r="V81" i="26"/>
  <c r="V81" i="19"/>
  <c r="V81" i="13"/>
  <c r="BF81" i="1"/>
  <c r="BI81" i="1" s="1"/>
  <c r="BK81" i="1" s="1"/>
  <c r="W81" i="1"/>
  <c r="Y81" i="1" s="1"/>
  <c r="V81" i="44"/>
  <c r="V81" i="39"/>
  <c r="V81" i="37"/>
  <c r="V81" i="27"/>
  <c r="V81" i="18"/>
  <c r="V81" i="16"/>
  <c r="CO81" i="1"/>
  <c r="CR81" i="1" s="1"/>
  <c r="V81" i="40"/>
  <c r="V81" i="33"/>
  <c r="V81" i="25"/>
  <c r="V81" i="15"/>
  <c r="V81" i="35"/>
  <c r="V81" i="29"/>
  <c r="V81" i="22"/>
  <c r="V81" i="31"/>
  <c r="V81" i="28"/>
  <c r="V81" i="21"/>
  <c r="V17" i="16"/>
  <c r="V42" i="16"/>
  <c r="V31" i="22"/>
  <c r="V43" i="28"/>
  <c r="V88" i="41"/>
  <c r="V60" i="32"/>
  <c r="V60" i="22"/>
  <c r="V60" i="19"/>
  <c r="V60" i="44"/>
  <c r="V60" i="37"/>
  <c r="V60" i="27"/>
  <c r="V60" i="18"/>
  <c r="V60" i="43"/>
  <c r="Y60" i="43" s="1"/>
  <c r="V60" i="31"/>
  <c r="V60" i="28"/>
  <c r="V60" i="42"/>
  <c r="V60" i="36"/>
  <c r="V60" i="38"/>
  <c r="V60" i="39"/>
  <c r="V60" i="33"/>
  <c r="V60" i="24"/>
  <c r="V60" i="21"/>
  <c r="V60" i="13"/>
  <c r="V60" i="41"/>
  <c r="V60" i="35"/>
  <c r="V60" i="26"/>
  <c r="V60" i="20"/>
  <c r="V60" i="16"/>
  <c r="V60" i="40"/>
  <c r="V60" i="30"/>
  <c r="V60" i="25"/>
  <c r="V60" i="15"/>
  <c r="BF60" i="1"/>
  <c r="BH60" i="1" s="1"/>
  <c r="BJ60" i="1" s="1"/>
  <c r="V31" i="37"/>
  <c r="AI59" i="44"/>
  <c r="AE59" i="44"/>
  <c r="AB59" i="44"/>
  <c r="AO59" i="44"/>
  <c r="AG64" i="44"/>
  <c r="V36" i="44"/>
  <c r="V36" i="43"/>
  <c r="Y36" i="43" s="1"/>
  <c r="V36" i="38"/>
  <c r="V36" i="32"/>
  <c r="V36" i="28"/>
  <c r="V36" i="39"/>
  <c r="V36" i="29"/>
  <c r="V36" i="40"/>
  <c r="V36" i="36"/>
  <c r="V36" i="25"/>
  <c r="V36" i="37"/>
  <c r="V36" i="41"/>
  <c r="V36" i="35"/>
  <c r="V36" i="33"/>
  <c r="V36" i="30"/>
  <c r="V36" i="27"/>
  <c r="V36" i="42"/>
  <c r="V36" i="34"/>
  <c r="V36" i="31"/>
  <c r="V36" i="22"/>
  <c r="V36" i="23"/>
  <c r="V36" i="26"/>
  <c r="V36" i="24"/>
  <c r="V36" i="21"/>
  <c r="V36" i="20"/>
  <c r="V36" i="19"/>
  <c r="V36" i="18"/>
  <c r="V36" i="16"/>
  <c r="V36" i="15"/>
  <c r="V36" i="13"/>
  <c r="CO36" i="1"/>
  <c r="BF36" i="1"/>
  <c r="W36" i="1"/>
  <c r="Y36" i="1" s="1"/>
  <c r="V74" i="43"/>
  <c r="Y74" i="43" s="1"/>
  <c r="V74" i="32"/>
  <c r="V74" i="25"/>
  <c r="V74" i="21"/>
  <c r="V74" i="16"/>
  <c r="BF74" i="1"/>
  <c r="BI74" i="1" s="1"/>
  <c r="BR74" i="1" s="1"/>
  <c r="V74" i="41"/>
  <c r="V74" i="33"/>
  <c r="V74" i="22"/>
  <c r="V74" i="20"/>
  <c r="V74" i="15"/>
  <c r="CO74" i="1"/>
  <c r="CQ74" i="1" s="1"/>
  <c r="CS74" i="1" s="1"/>
  <c r="V74" i="42"/>
  <c r="V74" i="36"/>
  <c r="V74" i="24"/>
  <c r="V74" i="39"/>
  <c r="V74" i="27"/>
  <c r="V74" i="23"/>
  <c r="V74" i="44"/>
  <c r="V74" i="38"/>
  <c r="V74" i="40"/>
  <c r="V74" i="28"/>
  <c r="V74" i="19"/>
  <c r="V74" i="35"/>
  <c r="V74" i="37"/>
  <c r="V74" i="26"/>
  <c r="V74" i="18"/>
  <c r="V74" i="34"/>
  <c r="V74" i="30"/>
  <c r="V61" i="39"/>
  <c r="V61" i="40"/>
  <c r="V61" i="28"/>
  <c r="V61" i="38"/>
  <c r="V61" i="34"/>
  <c r="V61" i="22"/>
  <c r="V61" i="44"/>
  <c r="V61" i="35"/>
  <c r="V61" i="33"/>
  <c r="V61" i="24"/>
  <c r="V61" i="19"/>
  <c r="V61" i="31"/>
  <c r="V61" i="30"/>
  <c r="V61" i="23"/>
  <c r="V61" i="18"/>
  <c r="W61" i="1"/>
  <c r="Y61" i="1" s="1"/>
  <c r="V61" i="41"/>
  <c r="V61" i="26"/>
  <c r="V61" i="21"/>
  <c r="V61" i="13"/>
  <c r="V61" i="32"/>
  <c r="V61" i="27"/>
  <c r="V61" i="20"/>
  <c r="V61" i="16"/>
  <c r="V61" i="43"/>
  <c r="Y61" i="43" s="1"/>
  <c r="V61" i="37"/>
  <c r="V61" i="25"/>
  <c r="V61" i="15"/>
  <c r="BF61" i="1"/>
  <c r="BH61" i="1" s="1"/>
  <c r="BJ61" i="1" s="1"/>
  <c r="V43" i="41"/>
  <c r="V43" i="35"/>
  <c r="V43" i="29"/>
  <c r="V43" i="19"/>
  <c r="V43" i="16"/>
  <c r="V43" i="40"/>
  <c r="V43" i="37"/>
  <c r="V43" i="33"/>
  <c r="V43" i="18"/>
  <c r="W43" i="1"/>
  <c r="Y43" i="1" s="1"/>
  <c r="V43" i="39"/>
  <c r="V43" i="32"/>
  <c r="V43" i="23"/>
  <c r="BF43" i="1"/>
  <c r="BI43" i="1" s="1"/>
  <c r="BQ43" i="1" s="1"/>
  <c r="V43" i="38"/>
  <c r="V43" i="22"/>
  <c r="V43" i="24"/>
  <c r="CO43" i="1"/>
  <c r="CQ43" i="1" s="1"/>
  <c r="CS43" i="1" s="1"/>
  <c r="V43" i="34"/>
  <c r="V43" i="27"/>
  <c r="V43" i="44"/>
  <c r="V43" i="31"/>
  <c r="V43" i="26"/>
  <c r="V43" i="21"/>
  <c r="V43" i="43"/>
  <c r="Y43" i="43" s="1"/>
  <c r="V43" i="30"/>
  <c r="V43" i="25"/>
  <c r="V43" i="20"/>
  <c r="V43" i="13"/>
  <c r="V17" i="40"/>
  <c r="V17" i="30"/>
  <c r="V17" i="26"/>
  <c r="V17" i="15"/>
  <c r="V17" i="42"/>
  <c r="V17" i="31"/>
  <c r="V17" i="23"/>
  <c r="V17" i="36"/>
  <c r="V17" i="39"/>
  <c r="V17" i="29"/>
  <c r="V17" i="32"/>
  <c r="V17" i="33"/>
  <c r="V17" i="27"/>
  <c r="V17" i="35"/>
  <c r="V17" i="22"/>
  <c r="V17" i="19"/>
  <c r="BF17" i="1"/>
  <c r="BH17" i="1" s="1"/>
  <c r="BJ17" i="1" s="1"/>
  <c r="V17" i="44"/>
  <c r="V17" i="34"/>
  <c r="V17" i="38"/>
  <c r="V17" i="21"/>
  <c r="V17" i="18"/>
  <c r="CO17" i="1"/>
  <c r="CQ17" i="1" s="1"/>
  <c r="CS17" i="1" s="1"/>
  <c r="V17" i="43"/>
  <c r="Y17" i="43" s="1"/>
  <c r="V17" i="37"/>
  <c r="V17" i="25"/>
  <c r="V17" i="20"/>
  <c r="V17" i="13"/>
  <c r="W17" i="1"/>
  <c r="Y17" i="1" s="1"/>
  <c r="CO61" i="1"/>
  <c r="CR61" i="1" s="1"/>
  <c r="V74" i="13"/>
  <c r="V43" i="42"/>
  <c r="V49" i="44"/>
  <c r="V49" i="40"/>
  <c r="V49" i="28"/>
  <c r="V49" i="26"/>
  <c r="BF49" i="1"/>
  <c r="BI49" i="1" s="1"/>
  <c r="BQ49" i="1" s="1"/>
  <c r="V49" i="41"/>
  <c r="V49" i="30"/>
  <c r="V49" i="29"/>
  <c r="V49" i="13"/>
  <c r="CO49" i="1"/>
  <c r="CR49" i="1" s="1"/>
  <c r="V49" i="32"/>
  <c r="V49" i="39"/>
  <c r="V49" i="25"/>
  <c r="V49" i="21"/>
  <c r="V49" i="16"/>
  <c r="V49" i="37"/>
  <c r="V49" i="36"/>
  <c r="V49" i="23"/>
  <c r="V49" i="20"/>
  <c r="V49" i="15"/>
  <c r="AH49" i="15" s="1"/>
  <c r="V49" i="38"/>
  <c r="V49" i="27"/>
  <c r="V49" i="34"/>
  <c r="V49" i="31"/>
  <c r="W49" i="1"/>
  <c r="Y49" i="1" s="1"/>
  <c r="V49" i="43"/>
  <c r="Y49" i="43" s="1"/>
  <c r="V49" i="33"/>
  <c r="V49" i="24"/>
  <c r="V49" i="19"/>
  <c r="V88" i="40"/>
  <c r="V88" i="31"/>
  <c r="V88" i="26"/>
  <c r="V88" i="21"/>
  <c r="V88" i="19"/>
  <c r="V88" i="32"/>
  <c r="V88" i="29"/>
  <c r="V88" i="22"/>
  <c r="V88" i="20"/>
  <c r="V88" i="18"/>
  <c r="V88" i="13"/>
  <c r="V88" i="34"/>
  <c r="V88" i="30"/>
  <c r="V88" i="24"/>
  <c r="V88" i="15"/>
  <c r="V88" i="33"/>
  <c r="V88" i="27"/>
  <c r="V88" i="25"/>
  <c r="V88" i="16"/>
  <c r="V88" i="38"/>
  <c r="V88" i="37"/>
  <c r="BF88" i="1"/>
  <c r="BH88" i="1" s="1"/>
  <c r="BJ88" i="1" s="1"/>
  <c r="V88" i="44"/>
  <c r="V88" i="42"/>
  <c r="V88" i="36"/>
  <c r="CO88" i="1"/>
  <c r="CQ88" i="1" s="1"/>
  <c r="CS88" i="1" s="1"/>
  <c r="V88" i="43"/>
  <c r="Y88" i="43" s="1"/>
  <c r="V88" i="35"/>
  <c r="V88" i="28"/>
  <c r="V15" i="37"/>
  <c r="V15" i="39"/>
  <c r="V15" i="23"/>
  <c r="V15" i="44"/>
  <c r="V15" i="34"/>
  <c r="V15" i="38"/>
  <c r="V15" i="22"/>
  <c r="V15" i="13"/>
  <c r="V15" i="35"/>
  <c r="V15" i="26"/>
  <c r="V15" i="19"/>
  <c r="V15" i="15"/>
  <c r="V15" i="32"/>
  <c r="V15" i="28"/>
  <c r="V15" i="18"/>
  <c r="V15" i="16"/>
  <c r="V15" i="43"/>
  <c r="Y15" i="43" s="1"/>
  <c r="V15" i="30"/>
  <c r="V15" i="25"/>
  <c r="V15" i="42"/>
  <c r="V15" i="31"/>
  <c r="V15" i="24"/>
  <c r="V15" i="21"/>
  <c r="V15" i="40"/>
  <c r="V15" i="33"/>
  <c r="V15" i="29"/>
  <c r="BF15" i="1"/>
  <c r="BH15" i="1" s="1"/>
  <c r="BJ15" i="1" s="1"/>
  <c r="V21" i="21"/>
  <c r="V21" i="27"/>
  <c r="V81" i="24"/>
  <c r="V61" i="29"/>
  <c r="V49" i="35"/>
  <c r="V60" i="23"/>
  <c r="V42" i="41"/>
  <c r="V42" i="34"/>
  <c r="V42" i="23"/>
  <c r="V42" i="15"/>
  <c r="V42" i="40"/>
  <c r="V42" i="30"/>
  <c r="V42" i="27"/>
  <c r="V42" i="39"/>
  <c r="V42" i="35"/>
  <c r="V42" i="22"/>
  <c r="V42" i="21"/>
  <c r="V42" i="36"/>
  <c r="V42" i="37"/>
  <c r="V42" i="24"/>
  <c r="V42" i="20"/>
  <c r="V42" i="32"/>
  <c r="V42" i="26"/>
  <c r="V42" i="19"/>
  <c r="V42" i="38"/>
  <c r="V42" i="25"/>
  <c r="V42" i="18"/>
  <c r="V42" i="44"/>
  <c r="V42" i="43"/>
  <c r="Y42" i="43" s="1"/>
  <c r="V42" i="33"/>
  <c r="V42" i="29"/>
  <c r="V42" i="13"/>
  <c r="BF42" i="1"/>
  <c r="BH42" i="1" s="1"/>
  <c r="BJ42" i="1" s="1"/>
  <c r="W60" i="1"/>
  <c r="Y60" i="1" s="1"/>
  <c r="V49" i="18"/>
  <c r="V74" i="29"/>
  <c r="V15" i="27"/>
  <c r="V49" i="22"/>
  <c r="V21" i="32"/>
  <c r="V81" i="38"/>
  <c r="V61" i="36"/>
  <c r="AI41" i="44"/>
  <c r="AI90" i="44"/>
  <c r="AI19" i="44"/>
  <c r="AI82" i="44"/>
  <c r="BF34" i="1"/>
  <c r="BI34" i="1" s="1"/>
  <c r="BQ34" i="1" s="1"/>
  <c r="V37" i="13"/>
  <c r="V37" i="21"/>
  <c r="AC37" i="21" s="1"/>
  <c r="V37" i="30"/>
  <c r="V37" i="29"/>
  <c r="V37" i="31"/>
  <c r="V34" i="23"/>
  <c r="V34" i="32"/>
  <c r="V34" i="39"/>
  <c r="W37" i="1"/>
  <c r="Y37" i="1" s="1"/>
  <c r="V34" i="15"/>
  <c r="V34" i="18"/>
  <c r="V37" i="37"/>
  <c r="V37" i="36"/>
  <c r="V37" i="32"/>
  <c r="V34" i="25"/>
  <c r="V34" i="30"/>
  <c r="V34" i="42"/>
  <c r="V34" i="44"/>
  <c r="V34" i="16"/>
  <c r="V34" i="19"/>
  <c r="V34" i="20"/>
  <c r="V37" i="27"/>
  <c r="V37" i="34"/>
  <c r="V37" i="41"/>
  <c r="V34" i="26"/>
  <c r="V34" i="36"/>
  <c r="V34" i="40"/>
  <c r="CO37" i="1"/>
  <c r="CR37" i="1" s="1"/>
  <c r="V34" i="13"/>
  <c r="V37" i="18"/>
  <c r="V34" i="21"/>
  <c r="AC34" i="21" s="1"/>
  <c r="V37" i="24"/>
  <c r="V37" i="35"/>
  <c r="V37" i="39"/>
  <c r="V34" i="28"/>
  <c r="V34" i="33"/>
  <c r="V34" i="41"/>
  <c r="BF37" i="1"/>
  <c r="BH37" i="1" s="1"/>
  <c r="BJ37" i="1" s="1"/>
  <c r="V37" i="19"/>
  <c r="V37" i="25"/>
  <c r="V37" i="42"/>
  <c r="V37" i="43"/>
  <c r="Y37" i="43" s="1"/>
  <c r="V34" i="24"/>
  <c r="V34" i="34"/>
  <c r="V34" i="43"/>
  <c r="Y34" i="43" s="1"/>
  <c r="V37" i="44"/>
  <c r="V37" i="26"/>
  <c r="V37" i="40"/>
  <c r="V34" i="29"/>
  <c r="V34" i="31"/>
  <c r="BH14" i="1"/>
  <c r="BJ14" i="1" s="1"/>
  <c r="BI14" i="1"/>
  <c r="V37" i="15"/>
  <c r="V37" i="28"/>
  <c r="V34" i="27"/>
  <c r="AD52" i="44"/>
  <c r="CQ14" i="1"/>
  <c r="CS14" i="1" s="1"/>
  <c r="CR14" i="1"/>
  <c r="AE23" i="44"/>
  <c r="AA23" i="44"/>
  <c r="AL23" i="44"/>
  <c r="AI69" i="44"/>
  <c r="AH55" i="44"/>
  <c r="AI80" i="44"/>
  <c r="AF53" i="44"/>
  <c r="BH121" i="1"/>
  <c r="BI121" i="1" s="1"/>
  <c r="AD55" i="44"/>
  <c r="AK53" i="44"/>
  <c r="Z55" i="44"/>
  <c r="AI40" i="44"/>
  <c r="F53" i="44"/>
  <c r="AE53" i="44"/>
  <c r="AC53" i="44"/>
  <c r="AP53" i="44"/>
  <c r="AH53" i="44"/>
  <c r="AI44" i="44"/>
  <c r="AL65" i="44"/>
  <c r="AD65" i="44"/>
  <c r="AJ32" i="44"/>
  <c r="AP23" i="44"/>
  <c r="AC23" i="44"/>
  <c r="AC83" i="44"/>
  <c r="AM83" i="44"/>
  <c r="AO83" i="44"/>
  <c r="AP65" i="44"/>
  <c r="AH65" i="44"/>
  <c r="AC65" i="44"/>
  <c r="AM23" i="44"/>
  <c r="AJ23" i="44"/>
  <c r="AG83" i="44"/>
  <c r="AB83" i="44"/>
  <c r="AN65" i="44"/>
  <c r="AK65" i="44"/>
  <c r="AA83" i="44"/>
  <c r="F83" i="44"/>
  <c r="AE65" i="44"/>
  <c r="AA65" i="44"/>
  <c r="AG23" i="44"/>
  <c r="AO23" i="44"/>
  <c r="AK83" i="44"/>
  <c r="AL83" i="44"/>
  <c r="AG65" i="44"/>
  <c r="AM65" i="44"/>
  <c r="Z23" i="44"/>
  <c r="AF23" i="44"/>
  <c r="Z83" i="44"/>
  <c r="AE83" i="44"/>
  <c r="F65" i="44"/>
  <c r="AB65" i="44"/>
  <c r="F23" i="44"/>
  <c r="AK23" i="44"/>
  <c r="AJ83" i="44"/>
  <c r="AN83" i="44"/>
  <c r="AP73" i="44"/>
  <c r="AF65" i="44"/>
  <c r="AJ65" i="44"/>
  <c r="AH83" i="44"/>
  <c r="AF83" i="44"/>
  <c r="AB26" i="44"/>
  <c r="AF26" i="44"/>
  <c r="AB20" i="44"/>
  <c r="AM56" i="44"/>
  <c r="AC26" i="44"/>
  <c r="Z26" i="44"/>
  <c r="AC18" i="44"/>
  <c r="AM26" i="44"/>
  <c r="AD26" i="44"/>
  <c r="AH75" i="44"/>
  <c r="AI87" i="44"/>
  <c r="AK18" i="44"/>
  <c r="AN26" i="44"/>
  <c r="AP26" i="44"/>
  <c r="AJ26" i="44"/>
  <c r="AP75" i="44"/>
  <c r="AP79" i="44"/>
  <c r="AA20" i="44"/>
  <c r="AI85" i="44"/>
  <c r="AL26" i="44"/>
  <c r="AG26" i="44"/>
  <c r="AO75" i="44"/>
  <c r="AO26" i="44"/>
  <c r="F26" i="44"/>
  <c r="AE20" i="44"/>
  <c r="AM75" i="44"/>
  <c r="AH26" i="44"/>
  <c r="AE26" i="44"/>
  <c r="AP20" i="44"/>
  <c r="AI84" i="44"/>
  <c r="AN53" i="44"/>
  <c r="AA53" i="44"/>
  <c r="AI25" i="44"/>
  <c r="AJ53" i="44"/>
  <c r="AG53" i="44"/>
  <c r="AI86" i="44"/>
  <c r="Z53" i="44"/>
  <c r="AL53" i="44"/>
  <c r="AB53" i="44"/>
  <c r="AM53" i="44"/>
  <c r="AO53" i="44"/>
  <c r="AD53" i="44"/>
  <c r="AI15" i="44"/>
  <c r="AK63" i="44"/>
  <c r="Z63" i="44"/>
  <c r="AI47" i="44"/>
  <c r="AI17" i="44"/>
  <c r="AI68" i="44"/>
  <c r="AM24" i="44"/>
  <c r="AD63" i="44"/>
  <c r="AP24" i="44"/>
  <c r="AE63" i="44"/>
  <c r="AI33" i="44"/>
  <c r="AD24" i="44"/>
  <c r="AI45" i="44"/>
  <c r="F63" i="44"/>
  <c r="AC24" i="44"/>
  <c r="Z24" i="44"/>
  <c r="AK59" i="44"/>
  <c r="F59" i="44"/>
  <c r="AL64" i="44"/>
  <c r="Z32" i="44"/>
  <c r="AF32" i="44"/>
  <c r="AN20" i="44"/>
  <c r="AF20" i="44"/>
  <c r="AG20" i="44"/>
  <c r="AN75" i="44"/>
  <c r="AB75" i="44"/>
  <c r="AL75" i="44"/>
  <c r="AH51" i="44"/>
  <c r="V67" i="44"/>
  <c r="X121" i="1"/>
  <c r="AI50" i="44"/>
  <c r="AI6" i="44" s="1"/>
  <c r="AK24" i="44"/>
  <c r="AG24" i="44"/>
  <c r="AH59" i="44"/>
  <c r="AG59" i="44"/>
  <c r="Z64" i="44"/>
  <c r="AC32" i="44"/>
  <c r="AM32" i="44"/>
  <c r="AK20" i="44"/>
  <c r="Z20" i="44"/>
  <c r="AJ75" i="44"/>
  <c r="AC75" i="44"/>
  <c r="AJ52" i="45"/>
  <c r="AD52" i="45"/>
  <c r="AN52" i="45"/>
  <c r="AF77" i="45"/>
  <c r="AN77" i="45"/>
  <c r="V72" i="44"/>
  <c r="F24" i="44"/>
  <c r="AH24" i="44"/>
  <c r="Z59" i="44"/>
  <c r="AL59" i="44"/>
  <c r="AN32" i="44"/>
  <c r="AH32" i="44"/>
  <c r="AD32" i="44"/>
  <c r="AO20" i="44"/>
  <c r="AL20" i="44"/>
  <c r="Z75" i="44"/>
  <c r="F75" i="44"/>
  <c r="AJ89" i="45"/>
  <c r="AI89" i="45"/>
  <c r="AC89" i="45"/>
  <c r="AA89" i="45"/>
  <c r="AE89" i="45"/>
  <c r="F89" i="45"/>
  <c r="AO89" i="45"/>
  <c r="AH89" i="45"/>
  <c r="AF89" i="45"/>
  <c r="Z89" i="45"/>
  <c r="AB89" i="45"/>
  <c r="AG89" i="45"/>
  <c r="AD89" i="45"/>
  <c r="AK89" i="45"/>
  <c r="AL89" i="45"/>
  <c r="AM89" i="45"/>
  <c r="AN89" i="45"/>
  <c r="AP89" i="45"/>
  <c r="AP32" i="44"/>
  <c r="AI81" i="44"/>
  <c r="AN24" i="44"/>
  <c r="AB24" i="44"/>
  <c r="AJ24" i="44"/>
  <c r="AM59" i="44"/>
  <c r="AD59" i="44"/>
  <c r="AK32" i="44"/>
  <c r="AB32" i="44"/>
  <c r="AM20" i="44"/>
  <c r="AH20" i="44"/>
  <c r="AF75" i="44"/>
  <c r="AE75" i="44"/>
  <c r="V92" i="44"/>
  <c r="AE32" i="44"/>
  <c r="V57" i="44"/>
  <c r="AL24" i="44"/>
  <c r="AE24" i="44"/>
  <c r="AN59" i="44"/>
  <c r="AA59" i="44"/>
  <c r="AC59" i="44"/>
  <c r="AO32" i="44"/>
  <c r="AA32" i="44"/>
  <c r="AD20" i="44"/>
  <c r="AC20" i="44"/>
  <c r="AG75" i="44"/>
  <c r="AD75" i="44"/>
  <c r="AB51" i="44"/>
  <c r="AG29" i="45"/>
  <c r="AF29" i="45"/>
  <c r="AD29" i="45"/>
  <c r="F29" i="45"/>
  <c r="AB29" i="45"/>
  <c r="AI29" i="45"/>
  <c r="AJ29" i="45"/>
  <c r="AA29" i="45"/>
  <c r="AK29" i="45"/>
  <c r="AH29" i="45"/>
  <c r="AE29" i="45"/>
  <c r="Z29" i="45"/>
  <c r="AC29" i="45"/>
  <c r="AL29" i="45"/>
  <c r="AP29" i="45"/>
  <c r="AM29" i="45"/>
  <c r="AO29" i="45"/>
  <c r="AN29" i="45"/>
  <c r="V27" i="44"/>
  <c r="V58" i="44"/>
  <c r="AO24" i="44"/>
  <c r="AF24" i="44"/>
  <c r="AP59" i="44"/>
  <c r="AJ59" i="44"/>
  <c r="AL32" i="44"/>
  <c r="F32" i="44"/>
  <c r="AI43" i="44"/>
  <c r="F20" i="44"/>
  <c r="AJ20" i="44"/>
  <c r="AA75" i="44"/>
  <c r="AK75" i="44"/>
  <c r="Z73" i="44"/>
  <c r="BH99" i="1"/>
  <c r="BI99" i="1" s="1"/>
  <c r="BK99" i="1" s="1"/>
  <c r="BP99" i="1" s="1"/>
  <c r="AI73" i="44"/>
  <c r="AC48" i="43"/>
  <c r="AI48" i="43"/>
  <c r="AC65" i="43"/>
  <c r="AI65" i="43"/>
  <c r="AC39" i="43"/>
  <c r="AI39" i="43"/>
  <c r="AC89" i="43"/>
  <c r="AI89" i="43"/>
  <c r="AC36" i="43"/>
  <c r="AI36" i="43"/>
  <c r="AC52" i="43"/>
  <c r="AI52" i="43"/>
  <c r="AC29" i="43"/>
  <c r="AI29" i="43"/>
  <c r="AC77" i="43"/>
  <c r="AI77" i="43"/>
  <c r="AK73" i="44"/>
  <c r="W4" i="9"/>
  <c r="F73" i="44"/>
  <c r="AL44" i="44"/>
  <c r="AP44" i="44"/>
  <c r="AC44" i="44"/>
  <c r="AH44" i="44"/>
  <c r="AG44" i="44"/>
  <c r="AF44" i="44"/>
  <c r="AE44" i="44"/>
  <c r="AJ44" i="44"/>
  <c r="AD44" i="44"/>
  <c r="AO44" i="44"/>
  <c r="AA44" i="44"/>
  <c r="Z44" i="44"/>
  <c r="AB44" i="44"/>
  <c r="F44" i="44"/>
  <c r="AM44" i="44"/>
  <c r="AK44" i="44"/>
  <c r="AN44" i="44"/>
  <c r="AO68" i="44"/>
  <c r="AJ80" i="44"/>
  <c r="AM80" i="44"/>
  <c r="AL80" i="44"/>
  <c r="AD80" i="44"/>
  <c r="AP80" i="44"/>
  <c r="AE80" i="44"/>
  <c r="AC80" i="44"/>
  <c r="AA80" i="44"/>
  <c r="AG80" i="44"/>
  <c r="AN80" i="44"/>
  <c r="AO80" i="44"/>
  <c r="AB80" i="44"/>
  <c r="Z80" i="44"/>
  <c r="AF80" i="44"/>
  <c r="F80" i="44"/>
  <c r="AH80" i="44"/>
  <c r="AK80" i="44"/>
  <c r="AJ84" i="44"/>
  <c r="AP84" i="44"/>
  <c r="AD89" i="44"/>
  <c r="AE89" i="44"/>
  <c r="AP89" i="44"/>
  <c r="AC89" i="44"/>
  <c r="F89" i="44"/>
  <c r="AJ89" i="44"/>
  <c r="AB89" i="44"/>
  <c r="AN89" i="44"/>
  <c r="AA89" i="44"/>
  <c r="AO89" i="44"/>
  <c r="Z89" i="44"/>
  <c r="AG89" i="44"/>
  <c r="AF89" i="44"/>
  <c r="AL89" i="44"/>
  <c r="AK89" i="44"/>
  <c r="AM89" i="44"/>
  <c r="AH89" i="44"/>
  <c r="AF50" i="44"/>
  <c r="AE86" i="44"/>
  <c r="F86" i="44"/>
  <c r="AA86" i="44"/>
  <c r="AM86" i="44"/>
  <c r="AO69" i="44"/>
  <c r="AA69" i="44"/>
  <c r="AJ29" i="44"/>
  <c r="AB29" i="44"/>
  <c r="AA29" i="44"/>
  <c r="AF29" i="44"/>
  <c r="AK29" i="44"/>
  <c r="AO29" i="44"/>
  <c r="F29" i="44"/>
  <c r="Z29" i="44"/>
  <c r="AG29" i="44"/>
  <c r="AH29" i="44"/>
  <c r="AC29" i="44"/>
  <c r="AE29" i="44"/>
  <c r="AP29" i="44"/>
  <c r="AD29" i="44"/>
  <c r="AL29" i="44"/>
  <c r="AM29" i="44"/>
  <c r="AN29" i="44"/>
  <c r="AD45" i="44"/>
  <c r="AB45" i="44"/>
  <c r="AL82" i="44"/>
  <c r="AN82" i="44"/>
  <c r="F82" i="44"/>
  <c r="AH40" i="44"/>
  <c r="AC40" i="44"/>
  <c r="AA17" i="44"/>
  <c r="AL17" i="44"/>
  <c r="Z87" i="44"/>
  <c r="AK87" i="44"/>
  <c r="AK21" i="44"/>
  <c r="AH21" i="44"/>
  <c r="AP21" i="44"/>
  <c r="AG21" i="44"/>
  <c r="AO25" i="44"/>
  <c r="AL25" i="44"/>
  <c r="AK25" i="44"/>
  <c r="AD25" i="44"/>
  <c r="AJ25" i="44"/>
  <c r="AN25" i="44"/>
  <c r="AM25" i="44"/>
  <c r="AP25" i="44"/>
  <c r="AA25" i="44"/>
  <c r="F25" i="44"/>
  <c r="AF25" i="44"/>
  <c r="AE25" i="44"/>
  <c r="AC25" i="44"/>
  <c r="Z25" i="44"/>
  <c r="AG25" i="44"/>
  <c r="AH25" i="44"/>
  <c r="AB25" i="44"/>
  <c r="AA41" i="44"/>
  <c r="AF41" i="44"/>
  <c r="AC41" i="44"/>
  <c r="AO41" i="44"/>
  <c r="AN33" i="44"/>
  <c r="AP33" i="44"/>
  <c r="AM71" i="44"/>
  <c r="AL71" i="44"/>
  <c r="AP71" i="44"/>
  <c r="AB71" i="44"/>
  <c r="AA71" i="44"/>
  <c r="AO71" i="44"/>
  <c r="F71" i="44"/>
  <c r="AN71" i="44"/>
  <c r="AH71" i="44"/>
  <c r="AK71" i="44"/>
  <c r="AG71" i="44"/>
  <c r="AJ71" i="44"/>
  <c r="AF71" i="44"/>
  <c r="AC71" i="44"/>
  <c r="AD71" i="44"/>
  <c r="AE71" i="44"/>
  <c r="Z71" i="44"/>
  <c r="AP48" i="21"/>
  <c r="AC48" i="21"/>
  <c r="AP65" i="21"/>
  <c r="AC65" i="21"/>
  <c r="AK65" i="21"/>
  <c r="V92" i="43"/>
  <c r="Y92" i="43" s="1"/>
  <c r="V92" i="41"/>
  <c r="V92" i="40"/>
  <c r="V92" i="33"/>
  <c r="V92" i="38"/>
  <c r="V92" i="42"/>
  <c r="V92" i="37"/>
  <c r="V92" i="34"/>
  <c r="V92" i="31"/>
  <c r="V92" i="30"/>
  <c r="V92" i="29"/>
  <c r="V92" i="39"/>
  <c r="V92" i="35"/>
  <c r="V92" i="27"/>
  <c r="V92" i="26"/>
  <c r="V92" i="36"/>
  <c r="V92" i="28"/>
  <c r="V92" i="25"/>
  <c r="V92" i="24"/>
  <c r="V92" i="23"/>
  <c r="V92" i="22"/>
  <c r="V92" i="32"/>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Y67" i="43" s="1"/>
  <c r="V67" i="42"/>
  <c r="V67" i="39"/>
  <c r="V67" i="40"/>
  <c r="V67" i="41"/>
  <c r="V67" i="37"/>
  <c r="V67" i="35"/>
  <c r="V67" i="38"/>
  <c r="V67" i="33"/>
  <c r="V67" i="31"/>
  <c r="V67" i="29"/>
  <c r="V67" i="32"/>
  <c r="V67" i="34"/>
  <c r="V67" i="30"/>
  <c r="V67" i="36"/>
  <c r="V67" i="28"/>
  <c r="V67" i="27"/>
  <c r="V67" i="25"/>
  <c r="V67" i="24"/>
  <c r="V67" i="22"/>
  <c r="V67" i="26"/>
  <c r="V67" i="23"/>
  <c r="V27" i="43"/>
  <c r="Y27" i="43" s="1"/>
  <c r="V27" i="41"/>
  <c r="V27" i="40"/>
  <c r="V27" i="39"/>
  <c r="V27" i="37"/>
  <c r="V27" i="42"/>
  <c r="V27" i="38"/>
  <c r="V27" i="36"/>
  <c r="V27" i="31"/>
  <c r="V27" i="34"/>
  <c r="V27" i="30"/>
  <c r="V27" i="29"/>
  <c r="V27" i="28"/>
  <c r="V27" i="35"/>
  <c r="V27" i="33"/>
  <c r="V27" i="32"/>
  <c r="V27" i="27"/>
  <c r="V27" i="22"/>
  <c r="V27" i="26"/>
  <c r="V27" i="23"/>
  <c r="V27" i="24"/>
  <c r="V27" i="25"/>
  <c r="V58" i="43"/>
  <c r="Y58" i="43" s="1"/>
  <c r="V58" i="39"/>
  <c r="V58" i="41"/>
  <c r="V58" i="40"/>
  <c r="V58" i="33"/>
  <c r="V58" i="37"/>
  <c r="V58" i="36"/>
  <c r="V58" i="38"/>
  <c r="V58" i="29"/>
  <c r="V58" i="42"/>
  <c r="V58" i="31"/>
  <c r="V58" i="30"/>
  <c r="V58" i="34"/>
  <c r="V58" i="35"/>
  <c r="V58" i="28"/>
  <c r="V58" i="27"/>
  <c r="V58" i="32"/>
  <c r="V58" i="22"/>
  <c r="V58" i="26"/>
  <c r="V58" i="25"/>
  <c r="V58" i="23"/>
  <c r="V58" i="24"/>
  <c r="V57" i="43"/>
  <c r="Y57" i="43" s="1"/>
  <c r="V57" i="38"/>
  <c r="V57" i="37"/>
  <c r="V57" i="40"/>
  <c r="V57" i="39"/>
  <c r="V57" i="31"/>
  <c r="V57" i="42"/>
  <c r="V57" i="41"/>
  <c r="V57" i="36"/>
  <c r="V57" i="34"/>
  <c r="V57" i="30"/>
  <c r="V57" i="33"/>
  <c r="V57" i="35"/>
  <c r="V57" i="32"/>
  <c r="V57" i="29"/>
  <c r="V57" i="28"/>
  <c r="V57" i="27"/>
  <c r="V57" i="22"/>
  <c r="V57" i="26"/>
  <c r="V57" i="25"/>
  <c r="V57" i="23"/>
  <c r="V57" i="24"/>
  <c r="AE77" i="43"/>
  <c r="AB77" i="43"/>
  <c r="AK77" i="43"/>
  <c r="AD77" i="43"/>
  <c r="AF77" i="43"/>
  <c r="F77" i="43"/>
  <c r="AO77" i="43"/>
  <c r="AH77" i="43"/>
  <c r="AG77" i="43"/>
  <c r="AA77" i="43"/>
  <c r="AM77" i="43"/>
  <c r="AP77" i="43"/>
  <c r="AJ77" i="43"/>
  <c r="Z77" i="43"/>
  <c r="AN77" i="43"/>
  <c r="AL77"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Y72" i="43" s="1"/>
  <c r="V72" i="42"/>
  <c r="V72" i="39"/>
  <c r="V72" i="40"/>
  <c r="V72" i="41"/>
  <c r="V72" i="36"/>
  <c r="V72" i="38"/>
  <c r="V72" i="35"/>
  <c r="V72" i="33"/>
  <c r="V72" i="28"/>
  <c r="V72" i="27"/>
  <c r="V72" i="29"/>
  <c r="V72" i="37"/>
  <c r="V72" i="32"/>
  <c r="V72" i="30"/>
  <c r="V72" i="31"/>
  <c r="V72" i="24"/>
  <c r="V72" i="34"/>
  <c r="V72" i="25"/>
  <c r="V72" i="26"/>
  <c r="V72" i="23"/>
  <c r="V72" i="22"/>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16" s="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V91" i="15"/>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V91" i="44" s="1"/>
  <c r="BH54" i="1"/>
  <c r="BJ54" i="1" s="1"/>
  <c r="BI59" i="1"/>
  <c r="BV59" i="1" s="1"/>
  <c r="BO52" i="1"/>
  <c r="BN52" i="1"/>
  <c r="BH86" i="1"/>
  <c r="BJ86" i="1" s="1"/>
  <c r="BI84" i="1"/>
  <c r="BT84" i="1" s="1"/>
  <c r="BM65" i="1"/>
  <c r="BV65" i="1"/>
  <c r="BU65" i="1"/>
  <c r="BL65" i="1"/>
  <c r="BS65" i="1"/>
  <c r="BQ65" i="1"/>
  <c r="CV77" i="1"/>
  <c r="BT65" i="1"/>
  <c r="BP65" i="1"/>
  <c r="BI41" i="1"/>
  <c r="BN41" i="1" s="1"/>
  <c r="BO65" i="1"/>
  <c r="BR65" i="1"/>
  <c r="BK65" i="1"/>
  <c r="BI45" i="1"/>
  <c r="BQ45"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I40" i="1"/>
  <c r="BP40" i="1" s="1"/>
  <c r="BI33" i="1"/>
  <c r="BN33" i="1" s="1"/>
  <c r="BH66" i="1"/>
  <c r="BJ66" i="1" s="1"/>
  <c r="BH51" i="1"/>
  <c r="BJ51" i="1" s="1"/>
  <c r="BH47" i="1"/>
  <c r="BJ47" i="1" s="1"/>
  <c r="BH82" i="1"/>
  <c r="BJ82" i="1" s="1"/>
  <c r="BI25" i="1"/>
  <c r="BK25" i="1" s="1"/>
  <c r="BI64" i="1"/>
  <c r="BS64" i="1" s="1"/>
  <c r="BH85" i="1"/>
  <c r="BJ85" i="1" s="1"/>
  <c r="BI83" i="1"/>
  <c r="BL83" i="1" s="1"/>
  <c r="BH90" i="1"/>
  <c r="BJ90" i="1" s="1"/>
  <c r="BI18" i="1"/>
  <c r="BT18" i="1" s="1"/>
  <c r="BI19" i="1"/>
  <c r="BS19" i="1" s="1"/>
  <c r="BI46" i="1"/>
  <c r="BK46" i="1" s="1"/>
  <c r="BI71" i="1"/>
  <c r="BL71" i="1" s="1"/>
  <c r="BH53" i="1"/>
  <c r="BJ53" i="1" s="1"/>
  <c r="BI20" i="1"/>
  <c r="BV20" i="1" s="1"/>
  <c r="BH32" i="1"/>
  <c r="BJ32" i="1" s="1"/>
  <c r="BH50" i="1"/>
  <c r="BJ50" i="1" s="1"/>
  <c r="BI24" i="1"/>
  <c r="BO24" i="1" s="1"/>
  <c r="CX109" i="1"/>
  <c r="CT109" i="1"/>
  <c r="CY109" i="1" s="1"/>
  <c r="CT122" i="1"/>
  <c r="CY122" i="1" s="1"/>
  <c r="CX122" i="1"/>
  <c r="CP102" i="1"/>
  <c r="CQ102" i="1"/>
  <c r="CR102" i="1" s="1"/>
  <c r="CR95" i="1" s="1"/>
  <c r="CT96" i="1"/>
  <c r="CX96" i="1"/>
  <c r="CT105" i="1"/>
  <c r="CY105" i="1" s="1"/>
  <c r="CX105" i="1"/>
  <c r="CX101" i="1"/>
  <c r="CT101" i="1"/>
  <c r="CY101"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R40" i="1"/>
  <c r="CQ40" i="1"/>
  <c r="CS40" i="1" s="1"/>
  <c r="CQ82" i="1"/>
  <c r="CS82" i="1" s="1"/>
  <c r="CR82" i="1"/>
  <c r="CV52" i="1"/>
  <c r="DA52" i="1"/>
  <c r="CY52" i="1"/>
  <c r="CW52" i="1"/>
  <c r="DE52" i="1"/>
  <c r="DC52" i="1"/>
  <c r="CU52" i="1"/>
  <c r="CZ52" i="1"/>
  <c r="CT52" i="1"/>
  <c r="DB52" i="1"/>
  <c r="CX52" i="1"/>
  <c r="DD52" i="1"/>
  <c r="CR64" i="1"/>
  <c r="CQ64" i="1"/>
  <c r="CS64"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3" i="1"/>
  <c r="CQ33" i="1"/>
  <c r="CS33" i="1" s="1"/>
  <c r="BF92" i="1"/>
  <c r="BH92" i="1" s="1"/>
  <c r="BJ92" i="1" s="1"/>
  <c r="CO92" i="1"/>
  <c r="CQ20" i="1"/>
  <c r="CS20" i="1" s="1"/>
  <c r="CR20" i="1"/>
  <c r="CR46" i="1"/>
  <c r="CQ46" i="1"/>
  <c r="CS46" i="1" s="1"/>
  <c r="CR50" i="1"/>
  <c r="CQ50" i="1"/>
  <c r="CS50" i="1" s="1"/>
  <c r="CQ18" i="1"/>
  <c r="CS18" i="1" s="1"/>
  <c r="CR18" i="1"/>
  <c r="CR32" i="1"/>
  <c r="CQ32" i="1"/>
  <c r="CS32" i="1" s="1"/>
  <c r="CQ15" i="1"/>
  <c r="CS15" i="1" s="1"/>
  <c r="CR15" i="1"/>
  <c r="CQ85" i="1"/>
  <c r="CS85" i="1" s="1"/>
  <c r="CR85" i="1"/>
  <c r="CQ54" i="1"/>
  <c r="CS54" i="1" s="1"/>
  <c r="CR54" i="1"/>
  <c r="CR45" i="1"/>
  <c r="CQ45" i="1"/>
  <c r="CS45" i="1" s="1"/>
  <c r="DA65" i="1"/>
  <c r="CY65" i="1"/>
  <c r="DE65" i="1"/>
  <c r="CX65" i="1"/>
  <c r="CW65" i="1"/>
  <c r="DC65" i="1"/>
  <c r="CT65" i="1"/>
  <c r="CV65" i="1"/>
  <c r="CZ65" i="1"/>
  <c r="CU65" i="1"/>
  <c r="DB65" i="1"/>
  <c r="DD65" i="1"/>
  <c r="CR83" i="1"/>
  <c r="CQ83" i="1"/>
  <c r="CS83" i="1" s="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R34" i="1"/>
  <c r="BS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P66" i="1"/>
  <c r="BV66" i="1"/>
  <c r="BT66" i="1"/>
  <c r="BN66" i="1"/>
  <c r="BK66" i="1"/>
  <c r="BO66" i="1"/>
  <c r="BR66" i="1"/>
  <c r="BM66" i="1"/>
  <c r="BQ66" i="1"/>
  <c r="BS66" i="1"/>
  <c r="BU66" i="1"/>
  <c r="BL66" i="1"/>
  <c r="BI73" i="1"/>
  <c r="BH73" i="1"/>
  <c r="BJ73" i="1" s="1"/>
  <c r="BI44" i="1"/>
  <c r="BH44" i="1"/>
  <c r="BJ44" i="1" s="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P31" i="1"/>
  <c r="BT31" i="1"/>
  <c r="BL31" i="1"/>
  <c r="BI69" i="1"/>
  <c r="BH69" i="1"/>
  <c r="BJ69" i="1" s="1"/>
  <c r="BH23" i="1"/>
  <c r="BJ23" i="1" s="1"/>
  <c r="BI23" i="1"/>
  <c r="BK89" i="1"/>
  <c r="BT32" i="1"/>
  <c r="BS32" i="1"/>
  <c r="BQ32" i="1"/>
  <c r="BM32" i="1"/>
  <c r="BV32" i="1"/>
  <c r="BN32" i="1"/>
  <c r="BP32" i="1"/>
  <c r="BR32" i="1"/>
  <c r="BK32" i="1"/>
  <c r="BO32" i="1"/>
  <c r="BL32" i="1"/>
  <c r="BU32" i="1"/>
  <c r="BL49" i="1"/>
  <c r="BR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21" i="1"/>
  <c r="Y51" i="1"/>
  <c r="Y74" i="1"/>
  <c r="W67" i="1"/>
  <c r="W72" i="1"/>
  <c r="Y41" i="1"/>
  <c r="Y80" i="1"/>
  <c r="Y5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47" i="1"/>
  <c r="AK52" i="1"/>
  <c r="AJ52" i="1"/>
  <c r="AE52" i="1"/>
  <c r="AB52" i="1"/>
  <c r="AF52" i="1"/>
  <c r="AH52" i="1"/>
  <c r="AI52" i="1"/>
  <c r="AG52" i="1"/>
  <c r="AD52" i="1"/>
  <c r="AM52" i="1"/>
  <c r="AC52" i="1"/>
  <c r="AL52" i="1"/>
  <c r="Y18" i="1"/>
  <c r="Y63" i="1"/>
  <c r="Y79" i="1"/>
  <c r="Y50" i="1"/>
  <c r="Y56" i="1"/>
  <c r="Y75" i="1"/>
  <c r="Y46" i="1"/>
  <c r="Y88" i="1"/>
  <c r="W27"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U58" i="9"/>
  <c r="W55" i="9"/>
  <c r="U23" i="9"/>
  <c r="V23" i="9"/>
  <c r="U26" i="9"/>
  <c r="V26" i="9"/>
  <c r="U16" i="9"/>
  <c r="V16" i="9"/>
  <c r="V50" i="9"/>
  <c r="U50" i="9"/>
  <c r="V64" i="9"/>
  <c r="U64" i="9"/>
  <c r="BM89" i="1" l="1"/>
  <c r="AD31" i="46"/>
  <c r="AJ31" i="46"/>
  <c r="AD34" i="46"/>
  <c r="AI34" i="46"/>
  <c r="AK21" i="46"/>
  <c r="AG21" i="46"/>
  <c r="AB54" i="46"/>
  <c r="AA54" i="46"/>
  <c r="F86" i="46"/>
  <c r="AJ86" i="46"/>
  <c r="AK37" i="46"/>
  <c r="AG37" i="46"/>
  <c r="AA74" i="46"/>
  <c r="AP74" i="46"/>
  <c r="AN50" i="46"/>
  <c r="AB50" i="46"/>
  <c r="AB60" i="46"/>
  <c r="AF60" i="46"/>
  <c r="AI71" i="46"/>
  <c r="AE71" i="46"/>
  <c r="AL40" i="46"/>
  <c r="AM40" i="46"/>
  <c r="AC60" i="46"/>
  <c r="BT89" i="1"/>
  <c r="AH31" i="46"/>
  <c r="AE31" i="46"/>
  <c r="AN34" i="46"/>
  <c r="AP34" i="46"/>
  <c r="F34" i="46"/>
  <c r="AM21" i="46"/>
  <c r="AP21" i="46"/>
  <c r="AJ54" i="46"/>
  <c r="F54" i="46"/>
  <c r="AH86" i="46"/>
  <c r="AE86" i="46"/>
  <c r="AL37" i="46"/>
  <c r="AC37" i="46"/>
  <c r="AE74" i="46"/>
  <c r="AG74" i="46"/>
  <c r="AF50" i="46"/>
  <c r="AC50" i="46"/>
  <c r="AH60" i="46"/>
  <c r="F60" i="46"/>
  <c r="AO71" i="46"/>
  <c r="AF71" i="46"/>
  <c r="AA40" i="46"/>
  <c r="AP40" i="46"/>
  <c r="BU89" i="1"/>
  <c r="BL89" i="1"/>
  <c r="AF31" i="46"/>
  <c r="Z31" i="46"/>
  <c r="AL34" i="46"/>
  <c r="AB34" i="46"/>
  <c r="AE34" i="46"/>
  <c r="AO21" i="46"/>
  <c r="AE21" i="46"/>
  <c r="AN54" i="46"/>
  <c r="AI54" i="46"/>
  <c r="AE54" i="46"/>
  <c r="AD86" i="46"/>
  <c r="AM86" i="46"/>
  <c r="AP37" i="46"/>
  <c r="AB37" i="46"/>
  <c r="AN74" i="46"/>
  <c r="AB74" i="46"/>
  <c r="AH74" i="46"/>
  <c r="AP50" i="46"/>
  <c r="Z50" i="46"/>
  <c r="AM50" i="46"/>
  <c r="AO60" i="46"/>
  <c r="AG60" i="46"/>
  <c r="AB71" i="46"/>
  <c r="AK71" i="46"/>
  <c r="AC40" i="46"/>
  <c r="AJ40" i="46"/>
  <c r="BP89" i="1"/>
  <c r="BN89" i="1"/>
  <c r="AA31" i="46"/>
  <c r="AB31" i="46"/>
  <c r="AK34" i="46"/>
  <c r="AO34" i="46"/>
  <c r="AF21" i="46"/>
  <c r="AJ21" i="46"/>
  <c r="AK54" i="46"/>
  <c r="AC54" i="46"/>
  <c r="AM54" i="46"/>
  <c r="Z86" i="46"/>
  <c r="AA86" i="46"/>
  <c r="F37" i="46"/>
  <c r="AM37" i="46"/>
  <c r="F74" i="46"/>
  <c r="AM74" i="46"/>
  <c r="AJ74" i="46"/>
  <c r="AO50" i="46"/>
  <c r="F50" i="46"/>
  <c r="AE50" i="46"/>
  <c r="AD60" i="46"/>
  <c r="AE60" i="46"/>
  <c r="AG71" i="46"/>
  <c r="AM71" i="46"/>
  <c r="AB40" i="46"/>
  <c r="AH40" i="46"/>
  <c r="AJ60" i="46"/>
  <c r="BO89" i="1"/>
  <c r="BQ89" i="1"/>
  <c r="AN31" i="46"/>
  <c r="AL31" i="46"/>
  <c r="AC31" i="46"/>
  <c r="AM34" i="46"/>
  <c r="AF34" i="46"/>
  <c r="AA21" i="46"/>
  <c r="Z21" i="46"/>
  <c r="AL54" i="46"/>
  <c r="AD54" i="46"/>
  <c r="AO86" i="46"/>
  <c r="AK86" i="46"/>
  <c r="AI86" i="46"/>
  <c r="AD37" i="46"/>
  <c r="Z37" i="46"/>
  <c r="Z74" i="46"/>
  <c r="AC74" i="46"/>
  <c r="AG50" i="46"/>
  <c r="AL50" i="46"/>
  <c r="AN60" i="46"/>
  <c r="Z60" i="46"/>
  <c r="AA60" i="46"/>
  <c r="AH71" i="46"/>
  <c r="Z71" i="46"/>
  <c r="F40" i="46"/>
  <c r="AF40" i="46"/>
  <c r="AN40" i="46"/>
  <c r="BS89" i="1"/>
  <c r="BR89" i="1"/>
  <c r="AP31" i="46"/>
  <c r="AI31" i="46"/>
  <c r="AG31" i="46"/>
  <c r="AA34" i="46"/>
  <c r="Z34" i="46"/>
  <c r="F21" i="46"/>
  <c r="AB21" i="46"/>
  <c r="AP54" i="46"/>
  <c r="Z54" i="46"/>
  <c r="AP86" i="46"/>
  <c r="AF86" i="46"/>
  <c r="AG86" i="46"/>
  <c r="AJ37" i="46"/>
  <c r="AF37" i="46"/>
  <c r="AI74" i="46"/>
  <c r="AL74" i="46"/>
  <c r="AI50" i="46"/>
  <c r="AJ50" i="46"/>
  <c r="AP60" i="46"/>
  <c r="AM60" i="46"/>
  <c r="AI60" i="46"/>
  <c r="AL71" i="46"/>
  <c r="AC71" i="46"/>
  <c r="AI40" i="46"/>
  <c r="AG40" i="46"/>
  <c r="AK40" i="46"/>
  <c r="AO31" i="46"/>
  <c r="AC34" i="46"/>
  <c r="AN21" i="46"/>
  <c r="AD21" i="46"/>
  <c r="AO54" i="46"/>
  <c r="AN86" i="46"/>
  <c r="AN37" i="46"/>
  <c r="AA37" i="46"/>
  <c r="AD74" i="46"/>
  <c r="AD50" i="46"/>
  <c r="AL60" i="46"/>
  <c r="AN71" i="46"/>
  <c r="F71" i="46"/>
  <c r="Z40" i="46"/>
  <c r="V70" i="46"/>
  <c r="V70" i="47"/>
  <c r="X16" i="46"/>
  <c r="Y16" i="46"/>
  <c r="V28" i="47"/>
  <c r="V28" i="46"/>
  <c r="X58" i="46"/>
  <c r="Y58" i="46"/>
  <c r="V38" i="46"/>
  <c r="V38" i="47"/>
  <c r="X67" i="46"/>
  <c r="Y67" i="46"/>
  <c r="X91" i="46"/>
  <c r="Y91" i="46"/>
  <c r="V35" i="47"/>
  <c r="V35" i="46"/>
  <c r="X72" i="46"/>
  <c r="Y72" i="46"/>
  <c r="V76" i="47"/>
  <c r="V76" i="46"/>
  <c r="X92" i="46"/>
  <c r="Y92" i="46"/>
  <c r="X57" i="46"/>
  <c r="Y57" i="46"/>
  <c r="V62" i="46"/>
  <c r="V62" i="47"/>
  <c r="X27" i="46"/>
  <c r="Y27" i="46"/>
  <c r="AL6" i="46"/>
  <c r="BT74" i="1"/>
  <c r="CY77" i="1"/>
  <c r="AM22" i="46"/>
  <c r="AB15" i="46"/>
  <c r="AA22" i="46"/>
  <c r="AD15" i="46"/>
  <c r="AE6" i="46"/>
  <c r="CZ77" i="1"/>
  <c r="AF22" i="46"/>
  <c r="CT77" i="1"/>
  <c r="AK22" i="46"/>
  <c r="AJ22" i="46"/>
  <c r="CX77" i="1"/>
  <c r="AD22" i="46"/>
  <c r="AG22" i="46"/>
  <c r="AI22" i="46"/>
  <c r="Z22" i="46"/>
  <c r="AN22" i="46"/>
  <c r="AH22" i="46"/>
  <c r="F22" i="46"/>
  <c r="AL22" i="46"/>
  <c r="AB22" i="46"/>
  <c r="AE22" i="46"/>
  <c r="AO6" i="46"/>
  <c r="AC22" i="46"/>
  <c r="F15" i="46"/>
  <c r="X72" i="47"/>
  <c r="Y72" i="47"/>
  <c r="BM34" i="1"/>
  <c r="CQ61" i="1"/>
  <c r="CS61" i="1" s="1"/>
  <c r="BH34" i="1"/>
  <c r="BJ34" i="1" s="1"/>
  <c r="AE77" i="45"/>
  <c r="AK77" i="45"/>
  <c r="AH52" i="45"/>
  <c r="AO52" i="45"/>
  <c r="AE15" i="46"/>
  <c r="AF15" i="46"/>
  <c r="AG55" i="47"/>
  <c r="AE55" i="47"/>
  <c r="AB55" i="47"/>
  <c r="F55" i="47"/>
  <c r="AA55" i="47"/>
  <c r="AD55" i="47"/>
  <c r="AK55" i="47"/>
  <c r="AJ55" i="47"/>
  <c r="AC55" i="47"/>
  <c r="AM55" i="47"/>
  <c r="AF55" i="47"/>
  <c r="AH55" i="47"/>
  <c r="AI55" i="47"/>
  <c r="Z55" i="47"/>
  <c r="AL55" i="47"/>
  <c r="AO55" i="47"/>
  <c r="AP55" i="47"/>
  <c r="AN55" i="47"/>
  <c r="AF22" i="47"/>
  <c r="AG22" i="47"/>
  <c r="AB22" i="47"/>
  <c r="AE22" i="47"/>
  <c r="AH22" i="47"/>
  <c r="Z22" i="47"/>
  <c r="AP22" i="47"/>
  <c r="AJ22" i="47"/>
  <c r="F22" i="47"/>
  <c r="AA22" i="47"/>
  <c r="AD22" i="47"/>
  <c r="AI22" i="47"/>
  <c r="AC22" i="47"/>
  <c r="AK22" i="47"/>
  <c r="AM22" i="47"/>
  <c r="AL22" i="47"/>
  <c r="AO22" i="47"/>
  <c r="AN22" i="47"/>
  <c r="AA87" i="47"/>
  <c r="AJ87" i="47"/>
  <c r="AM87" i="47"/>
  <c r="AH87" i="47"/>
  <c r="AD87" i="47"/>
  <c r="AK87" i="47"/>
  <c r="Z87" i="47"/>
  <c r="AG87" i="47"/>
  <c r="AC87" i="47"/>
  <c r="AL87" i="47"/>
  <c r="F87" i="47"/>
  <c r="AF87" i="47"/>
  <c r="AE87" i="47"/>
  <c r="AO87" i="47"/>
  <c r="AP87" i="47"/>
  <c r="AI87" i="47"/>
  <c r="AB87" i="47"/>
  <c r="AN87" i="47"/>
  <c r="X92" i="47"/>
  <c r="Y92" i="47"/>
  <c r="AF84" i="47"/>
  <c r="AH84" i="47"/>
  <c r="AG84" i="47"/>
  <c r="AC84" i="47"/>
  <c r="AA84" i="47"/>
  <c r="Z84" i="47"/>
  <c r="AI84" i="47"/>
  <c r="AM84" i="47"/>
  <c r="AO84" i="47"/>
  <c r="AJ84" i="47"/>
  <c r="AL84" i="47"/>
  <c r="AB84" i="47"/>
  <c r="F84" i="47"/>
  <c r="AE84" i="47"/>
  <c r="AD84" i="47"/>
  <c r="AP84" i="47"/>
  <c r="AK84" i="47"/>
  <c r="AN84" i="47"/>
  <c r="AG81" i="47"/>
  <c r="AC81" i="47"/>
  <c r="AB81" i="47"/>
  <c r="Z81" i="47"/>
  <c r="AD81" i="47"/>
  <c r="AK81" i="47"/>
  <c r="AJ81" i="47"/>
  <c r="AH81" i="47"/>
  <c r="AO81" i="47"/>
  <c r="AN81" i="47"/>
  <c r="AL81" i="47"/>
  <c r="AI81" i="47"/>
  <c r="F81" i="47"/>
  <c r="AE81" i="47"/>
  <c r="AM81" i="47"/>
  <c r="AA81" i="47"/>
  <c r="AF81" i="47"/>
  <c r="AP81" i="47"/>
  <c r="AJ53" i="47"/>
  <c r="AD53" i="47"/>
  <c r="AE53" i="47"/>
  <c r="AC53" i="47"/>
  <c r="AA53" i="47"/>
  <c r="AM53" i="47"/>
  <c r="AP53" i="47"/>
  <c r="Z53" i="47"/>
  <c r="AO53" i="47"/>
  <c r="AI53" i="47"/>
  <c r="F53" i="47"/>
  <c r="AB53" i="47"/>
  <c r="AH53" i="47"/>
  <c r="AG53" i="47"/>
  <c r="AL53" i="47"/>
  <c r="AK53" i="47"/>
  <c r="AF53" i="47"/>
  <c r="AN53" i="47"/>
  <c r="AH32" i="47"/>
  <c r="AB32" i="47"/>
  <c r="Z32" i="47"/>
  <c r="AC32" i="47"/>
  <c r="AI32" i="47"/>
  <c r="AJ32" i="47"/>
  <c r="AA32" i="47"/>
  <c r="AM32" i="47"/>
  <c r="AG32" i="47"/>
  <c r="F32" i="47"/>
  <c r="AF32" i="47"/>
  <c r="AD32" i="47"/>
  <c r="AK32" i="47"/>
  <c r="AE32" i="47"/>
  <c r="AP32" i="47"/>
  <c r="AL32" i="47"/>
  <c r="AN32" i="47"/>
  <c r="AO32" i="47"/>
  <c r="AF69" i="47"/>
  <c r="AG69" i="47"/>
  <c r="AB69" i="47"/>
  <c r="AH69" i="47"/>
  <c r="Z69" i="47"/>
  <c r="AM69" i="47"/>
  <c r="AC69" i="47"/>
  <c r="F69" i="47"/>
  <c r="AK69" i="47"/>
  <c r="AD69" i="47"/>
  <c r="AE69" i="47"/>
  <c r="AO69" i="47"/>
  <c r="AI69" i="47"/>
  <c r="AA69" i="47"/>
  <c r="AJ69" i="47"/>
  <c r="AP69" i="47"/>
  <c r="AL69" i="47"/>
  <c r="AN69" i="47"/>
  <c r="AG19" i="47"/>
  <c r="AA19" i="47"/>
  <c r="Z19" i="47"/>
  <c r="AI19" i="47"/>
  <c r="AC19" i="47"/>
  <c r="AF19" i="47"/>
  <c r="AL19" i="47"/>
  <c r="AE19" i="47"/>
  <c r="AP19" i="47"/>
  <c r="AK19" i="47"/>
  <c r="AD19" i="47"/>
  <c r="F19" i="47"/>
  <c r="AJ19" i="47"/>
  <c r="AH19" i="47"/>
  <c r="AB19" i="47"/>
  <c r="AO19" i="47"/>
  <c r="AM19" i="47"/>
  <c r="AN19" i="47"/>
  <c r="AA90" i="47"/>
  <c r="AE90" i="47"/>
  <c r="AH90" i="47"/>
  <c r="AC90" i="47"/>
  <c r="AO90" i="47"/>
  <c r="Z90" i="47"/>
  <c r="AJ90" i="47"/>
  <c r="AP90" i="47"/>
  <c r="AG90" i="47"/>
  <c r="AL90" i="47"/>
  <c r="AD90" i="47"/>
  <c r="AB90" i="47"/>
  <c r="AF90" i="47"/>
  <c r="AN90" i="47"/>
  <c r="AM90" i="47"/>
  <c r="AK90" i="47"/>
  <c r="AI90" i="47"/>
  <c r="F90" i="47"/>
  <c r="BP34" i="1"/>
  <c r="AC52" i="45"/>
  <c r="AK51" i="47"/>
  <c r="AM51" i="47"/>
  <c r="AL51" i="47"/>
  <c r="AN51" i="47"/>
  <c r="AG51" i="47"/>
  <c r="AF51" i="47"/>
  <c r="AP51" i="47"/>
  <c r="AJ51" i="47"/>
  <c r="AH51" i="47"/>
  <c r="AE51" i="47"/>
  <c r="Z51" i="47"/>
  <c r="AC51" i="47"/>
  <c r="AB51" i="47"/>
  <c r="AO51" i="47"/>
  <c r="AA51" i="47"/>
  <c r="AI51" i="47"/>
  <c r="AD51" i="47"/>
  <c r="F51" i="47"/>
  <c r="AD64" i="47"/>
  <c r="AH64" i="47"/>
  <c r="AF64" i="47"/>
  <c r="Z64" i="47"/>
  <c r="AI64" i="47"/>
  <c r="AA64" i="47"/>
  <c r="AG64" i="47"/>
  <c r="AL64" i="47"/>
  <c r="AE64" i="47"/>
  <c r="AJ64" i="47"/>
  <c r="AB64" i="47"/>
  <c r="AC64" i="47"/>
  <c r="F64" i="47"/>
  <c r="AO64" i="47"/>
  <c r="AP64" i="47"/>
  <c r="AM64" i="47"/>
  <c r="AK64" i="47"/>
  <c r="AN64" i="47"/>
  <c r="BT34" i="1"/>
  <c r="Z77" i="45"/>
  <c r="AI77" i="45"/>
  <c r="AG77" i="45"/>
  <c r="AM52" i="45"/>
  <c r="AP52" i="45"/>
  <c r="AM15" i="46"/>
  <c r="AP15" i="46"/>
  <c r="AF42" i="47"/>
  <c r="Z42" i="47"/>
  <c r="AI42" i="47"/>
  <c r="AH42" i="47"/>
  <c r="AG42" i="47"/>
  <c r="AC42" i="47"/>
  <c r="AA42" i="47"/>
  <c r="AD42" i="47"/>
  <c r="F42" i="47"/>
  <c r="AE42" i="47"/>
  <c r="AM42" i="47"/>
  <c r="AB42" i="47"/>
  <c r="AJ42" i="47"/>
  <c r="AK42" i="47"/>
  <c r="AP42" i="47"/>
  <c r="AO42" i="47"/>
  <c r="AL42" i="47"/>
  <c r="AN42" i="47"/>
  <c r="AF75" i="47"/>
  <c r="AH75" i="47"/>
  <c r="AD75" i="47"/>
  <c r="Z75" i="47"/>
  <c r="AB75" i="47"/>
  <c r="AI75" i="47"/>
  <c r="AJ75" i="47"/>
  <c r="AA75" i="47"/>
  <c r="AG75" i="47"/>
  <c r="AM75" i="47"/>
  <c r="AE75" i="47"/>
  <c r="F75" i="47"/>
  <c r="AC75" i="47"/>
  <c r="AP75" i="47"/>
  <c r="AL75" i="47"/>
  <c r="AK75" i="47"/>
  <c r="AO75" i="47"/>
  <c r="AN75" i="47"/>
  <c r="AL56" i="47"/>
  <c r="AK56" i="47"/>
  <c r="Z56" i="47"/>
  <c r="AC56" i="47"/>
  <c r="AO56" i="47"/>
  <c r="AP56" i="47"/>
  <c r="F56" i="47"/>
  <c r="AI56" i="47"/>
  <c r="AH56" i="47"/>
  <c r="AF56" i="47"/>
  <c r="AG56" i="47"/>
  <c r="AE56" i="47"/>
  <c r="AM56" i="47"/>
  <c r="AJ56" i="47"/>
  <c r="AA56" i="47"/>
  <c r="AB56" i="47"/>
  <c r="AD56" i="47"/>
  <c r="AN56" i="47"/>
  <c r="AE61" i="47"/>
  <c r="AJ61" i="47"/>
  <c r="AO61" i="47"/>
  <c r="AB61" i="47"/>
  <c r="AI61" i="47"/>
  <c r="AA61" i="47"/>
  <c r="F61" i="47"/>
  <c r="AH61" i="47"/>
  <c r="AG61" i="47"/>
  <c r="Z61" i="47"/>
  <c r="AD61" i="47"/>
  <c r="AC61" i="47"/>
  <c r="AF61" i="47"/>
  <c r="AK61" i="47"/>
  <c r="AL61" i="47"/>
  <c r="AP61" i="47"/>
  <c r="AM61" i="47"/>
  <c r="AN61" i="47"/>
  <c r="AJ45" i="47"/>
  <c r="AA45" i="47"/>
  <c r="AK45" i="47"/>
  <c r="AG45" i="47"/>
  <c r="AM45" i="47"/>
  <c r="AF45" i="47"/>
  <c r="AD45" i="47"/>
  <c r="AI45" i="47"/>
  <c r="AE45" i="47"/>
  <c r="F45" i="47"/>
  <c r="Z45" i="47"/>
  <c r="AB45" i="47"/>
  <c r="AL45" i="47"/>
  <c r="AC45" i="47"/>
  <c r="AH45" i="47"/>
  <c r="AO45" i="47"/>
  <c r="AN45" i="47"/>
  <c r="AP45" i="47"/>
  <c r="AF23" i="47"/>
  <c r="AP23" i="47"/>
  <c r="AK23" i="47"/>
  <c r="AG23" i="47"/>
  <c r="AE23" i="47"/>
  <c r="AM23" i="47"/>
  <c r="AL23" i="47"/>
  <c r="AB23" i="47"/>
  <c r="AC23" i="47"/>
  <c r="Z23" i="47"/>
  <c r="AJ23" i="47"/>
  <c r="AI23" i="47"/>
  <c r="F23" i="47"/>
  <c r="AD23" i="47"/>
  <c r="AO23" i="47"/>
  <c r="AA23" i="47"/>
  <c r="AH23" i="47"/>
  <c r="AN23" i="47"/>
  <c r="AO25" i="47"/>
  <c r="AD25" i="47"/>
  <c r="AM25" i="47"/>
  <c r="AB25" i="47"/>
  <c r="AK25" i="47"/>
  <c r="AG25" i="47"/>
  <c r="AA25" i="47"/>
  <c r="AH25" i="47"/>
  <c r="AI25" i="47"/>
  <c r="AP25" i="47"/>
  <c r="AF25" i="47"/>
  <c r="AJ25" i="47"/>
  <c r="AL25" i="47"/>
  <c r="AC25" i="47"/>
  <c r="F25" i="47"/>
  <c r="AE25" i="47"/>
  <c r="Z25" i="47"/>
  <c r="AN25" i="47"/>
  <c r="AP79" i="47"/>
  <c r="AC79" i="47"/>
  <c r="AH79" i="47"/>
  <c r="AB79" i="47"/>
  <c r="Z79" i="47"/>
  <c r="AK79" i="47"/>
  <c r="AG79" i="47"/>
  <c r="AM79" i="47"/>
  <c r="AF79" i="47"/>
  <c r="AO79" i="47"/>
  <c r="AL79" i="47"/>
  <c r="AE79" i="47"/>
  <c r="F79" i="47"/>
  <c r="AA79" i="47"/>
  <c r="AD79" i="47"/>
  <c r="AI79" i="47"/>
  <c r="AJ79" i="47"/>
  <c r="AN79" i="47"/>
  <c r="AC60" i="47"/>
  <c r="AP60" i="47"/>
  <c r="AD60" i="47"/>
  <c r="AB60" i="47"/>
  <c r="AL60" i="47"/>
  <c r="Z60" i="47"/>
  <c r="AI60" i="47"/>
  <c r="AJ60" i="47"/>
  <c r="AA60" i="47"/>
  <c r="AH60" i="47"/>
  <c r="AG60" i="47"/>
  <c r="AM60" i="47"/>
  <c r="AO60" i="47"/>
  <c r="AF60" i="47"/>
  <c r="F60" i="47"/>
  <c r="AE60" i="47"/>
  <c r="AK60" i="47"/>
  <c r="AN60" i="47"/>
  <c r="X27" i="47"/>
  <c r="Y27" i="47"/>
  <c r="AJ26" i="47"/>
  <c r="AL26" i="47"/>
  <c r="AH26" i="47"/>
  <c r="AF26" i="47"/>
  <c r="AB26" i="47"/>
  <c r="AP26" i="47"/>
  <c r="AG26" i="47"/>
  <c r="AE26" i="47"/>
  <c r="AN26" i="47"/>
  <c r="AK26" i="47"/>
  <c r="AD26" i="47"/>
  <c r="AO26" i="47"/>
  <c r="Z26" i="47"/>
  <c r="AA26" i="47"/>
  <c r="AI26" i="47"/>
  <c r="AC26" i="47"/>
  <c r="F26" i="47"/>
  <c r="AM26" i="47"/>
  <c r="AP46" i="47"/>
  <c r="AL46" i="47"/>
  <c r="AM46" i="47"/>
  <c r="AF46" i="47"/>
  <c r="AJ46" i="47"/>
  <c r="AE46" i="47"/>
  <c r="AK46" i="47"/>
  <c r="AB46" i="47"/>
  <c r="AD46" i="47"/>
  <c r="AI46" i="47"/>
  <c r="AC46" i="47"/>
  <c r="AH46" i="47"/>
  <c r="AO46" i="47"/>
  <c r="AA46" i="47"/>
  <c r="F46" i="47"/>
  <c r="AG46" i="47"/>
  <c r="Z46" i="47"/>
  <c r="AN46" i="47"/>
  <c r="BK34" i="1"/>
  <c r="F18" i="47"/>
  <c r="AI18" i="47"/>
  <c r="AO18" i="47"/>
  <c r="AG18" i="47"/>
  <c r="AD18" i="47"/>
  <c r="AP18" i="47"/>
  <c r="AF18" i="47"/>
  <c r="AE18" i="47"/>
  <c r="AA18" i="47"/>
  <c r="AC18" i="47"/>
  <c r="Z18" i="47"/>
  <c r="AH18" i="47"/>
  <c r="AB18" i="47"/>
  <c r="AJ18" i="47"/>
  <c r="AK18" i="47"/>
  <c r="AL18" i="47"/>
  <c r="AM18" i="47"/>
  <c r="AN18" i="47"/>
  <c r="BL34" i="1"/>
  <c r="AM77" i="45"/>
  <c r="AL77" i="45"/>
  <c r="AP77" i="45"/>
  <c r="AA52" i="45"/>
  <c r="AI52" i="45"/>
  <c r="AJ15" i="46"/>
  <c r="AJ2" i="46" s="1"/>
  <c r="AH15" i="46"/>
  <c r="Y67" i="47"/>
  <c r="X67" i="47"/>
  <c r="AP15" i="47"/>
  <c r="AH15" i="47"/>
  <c r="AK15" i="47"/>
  <c r="AM15" i="47"/>
  <c r="AC15" i="47"/>
  <c r="Z15" i="47"/>
  <c r="AB15" i="47"/>
  <c r="AG15" i="47"/>
  <c r="AO15" i="47"/>
  <c r="AF15" i="47"/>
  <c r="AJ15" i="47"/>
  <c r="AE15" i="47"/>
  <c r="F15" i="47"/>
  <c r="AL15" i="47"/>
  <c r="AA15" i="47"/>
  <c r="AD15" i="47"/>
  <c r="AI15" i="47"/>
  <c r="AN15" i="47"/>
  <c r="AE83" i="47"/>
  <c r="Z83" i="47"/>
  <c r="F83" i="47"/>
  <c r="AB83" i="47"/>
  <c r="AI83" i="47"/>
  <c r="AA83" i="47"/>
  <c r="AM83" i="47"/>
  <c r="AG83" i="47"/>
  <c r="AF83" i="47"/>
  <c r="AJ83" i="47"/>
  <c r="AH83" i="47"/>
  <c r="AD83" i="47"/>
  <c r="AC83" i="47"/>
  <c r="AL83" i="47"/>
  <c r="AP83" i="47"/>
  <c r="AK83" i="47"/>
  <c r="AO83" i="47"/>
  <c r="AN83" i="47"/>
  <c r="AI59" i="47"/>
  <c r="AA59" i="47"/>
  <c r="Z59" i="47"/>
  <c r="AK59" i="47"/>
  <c r="AJ59" i="47"/>
  <c r="AD59" i="47"/>
  <c r="F59" i="47"/>
  <c r="AF59" i="47"/>
  <c r="AE59" i="47"/>
  <c r="AG59" i="47"/>
  <c r="AC59" i="47"/>
  <c r="AM59" i="47"/>
  <c r="AH59" i="47"/>
  <c r="AB59" i="47"/>
  <c r="AO59" i="47"/>
  <c r="AP59" i="47"/>
  <c r="AN59" i="47"/>
  <c r="AL59" i="47"/>
  <c r="X16" i="47"/>
  <c r="Y16" i="47"/>
  <c r="AD31" i="47"/>
  <c r="AC31" i="47"/>
  <c r="AG31" i="47"/>
  <c r="AH31" i="47"/>
  <c r="AE31" i="47"/>
  <c r="AM31" i="47"/>
  <c r="AO31" i="47"/>
  <c r="AJ31" i="47"/>
  <c r="AB31" i="47"/>
  <c r="AI31" i="47"/>
  <c r="AA31" i="47"/>
  <c r="AL31" i="47"/>
  <c r="AP31" i="47"/>
  <c r="AF31" i="47"/>
  <c r="Z31" i="47"/>
  <c r="F31" i="47"/>
  <c r="AK31" i="47"/>
  <c r="AN31" i="47"/>
  <c r="AJ43" i="47"/>
  <c r="AF43" i="47"/>
  <c r="AB43" i="47"/>
  <c r="Z43" i="47"/>
  <c r="AO43" i="47"/>
  <c r="AG43" i="47"/>
  <c r="AP43" i="47"/>
  <c r="AE43" i="47"/>
  <c r="F43" i="47"/>
  <c r="AC43" i="47"/>
  <c r="AI43" i="47"/>
  <c r="AH43" i="47"/>
  <c r="AA43" i="47"/>
  <c r="AD43" i="47"/>
  <c r="AL43" i="47"/>
  <c r="AK43" i="47"/>
  <c r="AM43" i="47"/>
  <c r="AN43" i="47"/>
  <c r="Z85" i="47"/>
  <c r="AG85" i="47"/>
  <c r="F85" i="47"/>
  <c r="AP85" i="47"/>
  <c r="AD85" i="47"/>
  <c r="AB85" i="47"/>
  <c r="AI85" i="47"/>
  <c r="AH85" i="47"/>
  <c r="AF85" i="47"/>
  <c r="AC85" i="47"/>
  <c r="AA85" i="47"/>
  <c r="AE85" i="47"/>
  <c r="AJ85" i="47"/>
  <c r="AL85" i="47"/>
  <c r="AM85" i="47"/>
  <c r="AO85" i="47"/>
  <c r="AK85" i="47"/>
  <c r="AN85" i="47"/>
  <c r="AG52" i="45"/>
  <c r="Y58" i="47"/>
  <c r="X58" i="47"/>
  <c r="BV34" i="1"/>
  <c r="AJ77" i="45"/>
  <c r="F77" i="45"/>
  <c r="AL52" i="45"/>
  <c r="F52" i="45"/>
  <c r="Z15" i="46"/>
  <c r="AG15" i="46"/>
  <c r="AC71" i="47"/>
  <c r="AK71" i="47"/>
  <c r="AA71" i="47"/>
  <c r="AH71" i="47"/>
  <c r="AG71" i="47"/>
  <c r="AJ71" i="47"/>
  <c r="Z71" i="47"/>
  <c r="AF71" i="47"/>
  <c r="AE71" i="47"/>
  <c r="AD71" i="47"/>
  <c r="AO71" i="47"/>
  <c r="AB71" i="47"/>
  <c r="AP71" i="47"/>
  <c r="AM71" i="47"/>
  <c r="F71" i="47"/>
  <c r="AI71" i="47"/>
  <c r="AL71" i="47"/>
  <c r="AN71" i="47"/>
  <c r="AD66" i="47"/>
  <c r="AJ66" i="47"/>
  <c r="AE66" i="47"/>
  <c r="F66" i="47"/>
  <c r="AB66" i="47"/>
  <c r="AP66" i="47"/>
  <c r="AI66" i="47"/>
  <c r="AA66" i="47"/>
  <c r="AF66" i="47"/>
  <c r="AH66" i="47"/>
  <c r="AC66" i="47"/>
  <c r="AG66" i="47"/>
  <c r="Z66" i="47"/>
  <c r="AL66" i="47"/>
  <c r="AK66" i="47"/>
  <c r="AO66" i="47"/>
  <c r="AM66" i="47"/>
  <c r="AN66" i="47"/>
  <c r="AL40" i="47"/>
  <c r="AP40" i="47"/>
  <c r="AI40" i="47"/>
  <c r="AH40" i="47"/>
  <c r="AF40" i="47"/>
  <c r="AO40" i="47"/>
  <c r="AD40" i="47"/>
  <c r="AE40" i="47"/>
  <c r="AK40" i="47"/>
  <c r="AG40" i="47"/>
  <c r="AC40" i="47"/>
  <c r="AJ40" i="47"/>
  <c r="AA40" i="47"/>
  <c r="F40" i="47"/>
  <c r="AB40" i="47"/>
  <c r="Z40" i="47"/>
  <c r="AN40" i="47"/>
  <c r="AM40" i="47"/>
  <c r="Z68" i="47"/>
  <c r="AC68" i="47"/>
  <c r="AD68" i="47"/>
  <c r="AP68" i="47"/>
  <c r="AG68" i="47"/>
  <c r="AF68" i="47"/>
  <c r="AA68" i="47"/>
  <c r="AM68" i="47"/>
  <c r="AL68" i="47"/>
  <c r="AK68" i="47"/>
  <c r="F68" i="47"/>
  <c r="AJ68" i="47"/>
  <c r="AE68" i="47"/>
  <c r="AB68" i="47"/>
  <c r="AI68" i="47"/>
  <c r="AH68" i="47"/>
  <c r="AN68" i="47"/>
  <c r="AO68" i="47"/>
  <c r="F80" i="47"/>
  <c r="AG80" i="47"/>
  <c r="AD80" i="47"/>
  <c r="AE80" i="47"/>
  <c r="AK80" i="47"/>
  <c r="AO80" i="47"/>
  <c r="AH80" i="47"/>
  <c r="Z80" i="47"/>
  <c r="AC80" i="47"/>
  <c r="AF80" i="47"/>
  <c r="AL80" i="47"/>
  <c r="AJ80" i="47"/>
  <c r="AI80" i="47"/>
  <c r="AB80" i="47"/>
  <c r="AA80" i="47"/>
  <c r="AP80" i="47"/>
  <c r="AM80" i="47"/>
  <c r="AN80" i="47"/>
  <c r="AD63" i="47"/>
  <c r="AO63" i="47"/>
  <c r="AG63" i="47"/>
  <c r="AF63" i="47"/>
  <c r="AK63" i="47"/>
  <c r="AP63" i="47"/>
  <c r="AB63" i="47"/>
  <c r="F63" i="47"/>
  <c r="AJ63" i="47"/>
  <c r="AI63" i="47"/>
  <c r="AE63" i="47"/>
  <c r="AL63" i="47"/>
  <c r="AA63" i="47"/>
  <c r="AC63" i="47"/>
  <c r="Z63" i="47"/>
  <c r="AH63" i="47"/>
  <c r="AM63" i="47"/>
  <c r="AN63" i="47"/>
  <c r="AG54" i="47"/>
  <c r="Z54" i="47"/>
  <c r="AK54" i="47"/>
  <c r="F54" i="47"/>
  <c r="AI54" i="47"/>
  <c r="AD54" i="47"/>
  <c r="AF54" i="47"/>
  <c r="AA54" i="47"/>
  <c r="AL54" i="47"/>
  <c r="AC54" i="47"/>
  <c r="AH54" i="47"/>
  <c r="AM54" i="47"/>
  <c r="AB54" i="47"/>
  <c r="AE54" i="47"/>
  <c r="AJ54" i="47"/>
  <c r="AO54" i="47"/>
  <c r="AN54" i="47"/>
  <c r="AP54" i="47"/>
  <c r="AA77" i="45"/>
  <c r="AF52" i="45"/>
  <c r="AK15" i="46"/>
  <c r="BU34" i="1"/>
  <c r="BN34" i="1"/>
  <c r="AH77" i="45"/>
  <c r="AB77" i="45"/>
  <c r="AB52" i="45"/>
  <c r="Z52" i="45"/>
  <c r="AA15" i="46"/>
  <c r="AC15" i="46"/>
  <c r="Z50" i="47"/>
  <c r="F50" i="47"/>
  <c r="AC50" i="47"/>
  <c r="AG50" i="47"/>
  <c r="AF50" i="47"/>
  <c r="AB50" i="47"/>
  <c r="AH50" i="47"/>
  <c r="AL50" i="47"/>
  <c r="AD50" i="47"/>
  <c r="AP50" i="47"/>
  <c r="AM50" i="47"/>
  <c r="AK50" i="47"/>
  <c r="AI50" i="47"/>
  <c r="AJ50" i="47"/>
  <c r="AE50" i="47"/>
  <c r="AA50" i="47"/>
  <c r="AO50" i="47"/>
  <c r="AN50" i="47"/>
  <c r="Y91" i="47"/>
  <c r="X91" i="47"/>
  <c r="AI86" i="47"/>
  <c r="AD86" i="47"/>
  <c r="AG86" i="47"/>
  <c r="AA86" i="47"/>
  <c r="AL86" i="47"/>
  <c r="AK86" i="47"/>
  <c r="AJ86" i="47"/>
  <c r="AM86" i="47"/>
  <c r="Z86" i="47"/>
  <c r="AF86" i="47"/>
  <c r="AE86" i="47"/>
  <c r="F86" i="47"/>
  <c r="AB86" i="47"/>
  <c r="AC86" i="47"/>
  <c r="AH86" i="47"/>
  <c r="AO86" i="47"/>
  <c r="AP86" i="47"/>
  <c r="AN86" i="47"/>
  <c r="AJ33" i="47"/>
  <c r="AD33" i="47"/>
  <c r="Z33" i="47"/>
  <c r="AM33" i="47"/>
  <c r="AL33" i="47"/>
  <c r="AL6" i="47" s="1"/>
  <c r="F33" i="47"/>
  <c r="AF33" i="47"/>
  <c r="AC33" i="47"/>
  <c r="AA33" i="47"/>
  <c r="AH33" i="47"/>
  <c r="AO33" i="47"/>
  <c r="AK33" i="47"/>
  <c r="AB33" i="47"/>
  <c r="AI33" i="47"/>
  <c r="AE33" i="47"/>
  <c r="AG33" i="47"/>
  <c r="AP33" i="47"/>
  <c r="AN33" i="47"/>
  <c r="AK82" i="47"/>
  <c r="AO82" i="47"/>
  <c r="AD82" i="47"/>
  <c r="AJ82" i="47"/>
  <c r="AB82" i="47"/>
  <c r="F82" i="47"/>
  <c r="AI82" i="47"/>
  <c r="AC82" i="47"/>
  <c r="AL82" i="47"/>
  <c r="AA82" i="47"/>
  <c r="AE82" i="47"/>
  <c r="AH82" i="47"/>
  <c r="Z82" i="47"/>
  <c r="AG82" i="47"/>
  <c r="AP82" i="47"/>
  <c r="AM82" i="47"/>
  <c r="AF82" i="47"/>
  <c r="AN82" i="47"/>
  <c r="AG20" i="47"/>
  <c r="AF20" i="47"/>
  <c r="AA20" i="47"/>
  <c r="AD20" i="47"/>
  <c r="AC20" i="47"/>
  <c r="AB20" i="47"/>
  <c r="AJ20" i="47"/>
  <c r="AL20" i="47"/>
  <c r="AH20" i="47"/>
  <c r="AP20" i="47"/>
  <c r="Z20" i="47"/>
  <c r="AM20" i="47"/>
  <c r="AE20" i="47"/>
  <c r="F20" i="47"/>
  <c r="AI20" i="47"/>
  <c r="AK20" i="47"/>
  <c r="AN20" i="47"/>
  <c r="AO20" i="47"/>
  <c r="AC77" i="45"/>
  <c r="AO74" i="47"/>
  <c r="AD74" i="47"/>
  <c r="AJ74" i="47"/>
  <c r="AG74" i="47"/>
  <c r="AK74" i="47"/>
  <c r="AF74" i="47"/>
  <c r="AL74" i="47"/>
  <c r="AP74" i="47"/>
  <c r="AB74" i="47"/>
  <c r="F74" i="47"/>
  <c r="AI74" i="47"/>
  <c r="AE74" i="47"/>
  <c r="AA74" i="47"/>
  <c r="AC74" i="47"/>
  <c r="Z74" i="47"/>
  <c r="AH74" i="47"/>
  <c r="AM74" i="47"/>
  <c r="AN74" i="47"/>
  <c r="AE41" i="47"/>
  <c r="AH41" i="47"/>
  <c r="AF41" i="47"/>
  <c r="AD41" i="47"/>
  <c r="F41" i="47"/>
  <c r="AC41" i="47"/>
  <c r="Z41" i="47"/>
  <c r="AK41" i="47"/>
  <c r="AJ41" i="47"/>
  <c r="AO41" i="47"/>
  <c r="AB41" i="47"/>
  <c r="AI41" i="47"/>
  <c r="AA41" i="47"/>
  <c r="AP41" i="47"/>
  <c r="AG41" i="47"/>
  <c r="AM41" i="47"/>
  <c r="AL41" i="47"/>
  <c r="AN41" i="47"/>
  <c r="BU49" i="1"/>
  <c r="BO34" i="1"/>
  <c r="BI37" i="1"/>
  <c r="BK37" i="1" s="1"/>
  <c r="AD77" i="45"/>
  <c r="AE52" i="45"/>
  <c r="AN15" i="46"/>
  <c r="AO15" i="46"/>
  <c r="AF47" i="47"/>
  <c r="AH47" i="47"/>
  <c r="AG47" i="47"/>
  <c r="Z47" i="47"/>
  <c r="AD47" i="47"/>
  <c r="AE47" i="47"/>
  <c r="AM47" i="47"/>
  <c r="AL47" i="47"/>
  <c r="AB47" i="47"/>
  <c r="AK47" i="47"/>
  <c r="AA47" i="47"/>
  <c r="AC47" i="47"/>
  <c r="F47" i="47"/>
  <c r="AJ47" i="47"/>
  <c r="AI47" i="47"/>
  <c r="AP47" i="47"/>
  <c r="AN47" i="47"/>
  <c r="AO47" i="47"/>
  <c r="Z44" i="47"/>
  <c r="AG44" i="47"/>
  <c r="AF44" i="47"/>
  <c r="AK44" i="47"/>
  <c r="AE44" i="47"/>
  <c r="AD44" i="47"/>
  <c r="AC44" i="47"/>
  <c r="F44" i="47"/>
  <c r="AB44" i="47"/>
  <c r="AA44" i="47"/>
  <c r="AH44" i="47"/>
  <c r="AJ44" i="47"/>
  <c r="AM44" i="47"/>
  <c r="AI44" i="47"/>
  <c r="AL44" i="47"/>
  <c r="AP44" i="47"/>
  <c r="AN44" i="47"/>
  <c r="AO44" i="47"/>
  <c r="F24" i="47"/>
  <c r="AH24" i="47"/>
  <c r="AA24" i="47"/>
  <c r="AF24" i="47"/>
  <c r="AO24" i="47"/>
  <c r="AE24" i="47"/>
  <c r="AD24" i="47"/>
  <c r="AJ24" i="47"/>
  <c r="AC24" i="47"/>
  <c r="AM24" i="47"/>
  <c r="AB24" i="47"/>
  <c r="AI24" i="47"/>
  <c r="AG24" i="47"/>
  <c r="Z24" i="47"/>
  <c r="AK24" i="47"/>
  <c r="AL24" i="47"/>
  <c r="AP24" i="47"/>
  <c r="AN24" i="47"/>
  <c r="Z34" i="47"/>
  <c r="F34" i="47"/>
  <c r="AD34" i="47"/>
  <c r="AJ34" i="47"/>
  <c r="AB34" i="47"/>
  <c r="AG34" i="47"/>
  <c r="AC34" i="47"/>
  <c r="AH34" i="47"/>
  <c r="AF34" i="47"/>
  <c r="AA34" i="47"/>
  <c r="AI34" i="47"/>
  <c r="AE34" i="47"/>
  <c r="AL34" i="47"/>
  <c r="AO34" i="47"/>
  <c r="AP34" i="47"/>
  <c r="AM34" i="47"/>
  <c r="AK34" i="47"/>
  <c r="AN34" i="47"/>
  <c r="AK17" i="47"/>
  <c r="AL17" i="47"/>
  <c r="AC17" i="47"/>
  <c r="AP17" i="47"/>
  <c r="AI17" i="47"/>
  <c r="AH17" i="47"/>
  <c r="AA17" i="47"/>
  <c r="Z17" i="47"/>
  <c r="AB17" i="47"/>
  <c r="AG17" i="47"/>
  <c r="AJ17" i="47"/>
  <c r="AF17" i="47"/>
  <c r="AD17" i="47"/>
  <c r="AN17" i="47"/>
  <c r="F17" i="47"/>
  <c r="AO17" i="47"/>
  <c r="AM17" i="47"/>
  <c r="AE17" i="47"/>
  <c r="AG73" i="47"/>
  <c r="AJ73" i="47"/>
  <c r="AH73" i="47"/>
  <c r="AC73" i="47"/>
  <c r="AB73" i="47"/>
  <c r="Z73" i="47"/>
  <c r="AD73" i="47"/>
  <c r="AL73" i="47"/>
  <c r="AK73" i="47"/>
  <c r="AO73" i="47"/>
  <c r="AI73" i="47"/>
  <c r="F73" i="47"/>
  <c r="AE73" i="47"/>
  <c r="AM73" i="47"/>
  <c r="AF73" i="47"/>
  <c r="AA73" i="47"/>
  <c r="AP73" i="47"/>
  <c r="AN73" i="47"/>
  <c r="X57" i="47"/>
  <c r="Y57" i="47"/>
  <c r="AK21" i="47"/>
  <c r="AC21" i="47"/>
  <c r="AL21" i="47"/>
  <c r="Z21" i="47"/>
  <c r="AF21" i="47"/>
  <c r="AM21" i="47"/>
  <c r="AD21" i="47"/>
  <c r="AB21" i="47"/>
  <c r="AE21" i="47"/>
  <c r="AA21" i="47"/>
  <c r="AP21" i="47"/>
  <c r="AJ21" i="47"/>
  <c r="F21" i="47"/>
  <c r="AH21" i="47"/>
  <c r="AG21" i="47"/>
  <c r="AO21" i="47"/>
  <c r="AI21" i="47"/>
  <c r="AN21" i="47"/>
  <c r="BM81" i="1"/>
  <c r="BI61" i="1"/>
  <c r="BM61" i="1" s="1"/>
  <c r="BK43" i="1"/>
  <c r="BR43" i="1"/>
  <c r="BO81" i="1"/>
  <c r="BT81" i="1"/>
  <c r="CQ81" i="1"/>
  <c r="CS81" i="1" s="1"/>
  <c r="AD31" i="45"/>
  <c r="BN81" i="1"/>
  <c r="BI21" i="1"/>
  <c r="BV21" i="1" s="1"/>
  <c r="BS43" i="1"/>
  <c r="BN43" i="1"/>
  <c r="BV81" i="1"/>
  <c r="CR88" i="1"/>
  <c r="BO43" i="1"/>
  <c r="BV43" i="1"/>
  <c r="BQ81" i="1"/>
  <c r="BH43" i="1"/>
  <c r="BJ43" i="1" s="1"/>
  <c r="BM43" i="1"/>
  <c r="BU81" i="1"/>
  <c r="BR81" i="1"/>
  <c r="BU43" i="1"/>
  <c r="BT43" i="1"/>
  <c r="BS81" i="1"/>
  <c r="BL81" i="1"/>
  <c r="BI15" i="1"/>
  <c r="BP15" i="1" s="1"/>
  <c r="AJ6" i="46"/>
  <c r="BP43" i="1"/>
  <c r="BL43" i="1"/>
  <c r="BP81" i="1"/>
  <c r="BI17" i="1"/>
  <c r="BL17" i="1" s="1"/>
  <c r="BH81" i="1"/>
  <c r="BJ81" i="1" s="1"/>
  <c r="F34" i="45"/>
  <c r="AN6" i="46"/>
  <c r="F48" i="45"/>
  <c r="CR74" i="1"/>
  <c r="CU74" i="1" s="1"/>
  <c r="AO48" i="45"/>
  <c r="BI42" i="1"/>
  <c r="BN42" i="1" s="1"/>
  <c r="AB6" i="46"/>
  <c r="AK48" i="45"/>
  <c r="AF48" i="45"/>
  <c r="AH81" i="45"/>
  <c r="AN48" i="45"/>
  <c r="AH48" i="45"/>
  <c r="AG48" i="45"/>
  <c r="Z48" i="45"/>
  <c r="AD48" i="45"/>
  <c r="AC48" i="45"/>
  <c r="AD6" i="46"/>
  <c r="AA48" i="45"/>
  <c r="AI48" i="45"/>
  <c r="AJ48" i="45"/>
  <c r="AE48" i="45"/>
  <c r="AP48" i="45"/>
  <c r="AB48" i="45"/>
  <c r="AL48" i="45"/>
  <c r="AC33" i="44"/>
  <c r="AE33" i="44"/>
  <c r="AJ33" i="44"/>
  <c r="AC50" i="44"/>
  <c r="AK84" i="44"/>
  <c r="AE84" i="44"/>
  <c r="AJ19" i="44"/>
  <c r="Z51" i="44"/>
  <c r="AE51" i="44"/>
  <c r="AJ56" i="44"/>
  <c r="AI52" i="44"/>
  <c r="AI3" i="46"/>
  <c r="BI60" i="1"/>
  <c r="BT60" i="1" s="1"/>
  <c r="AK33" i="44"/>
  <c r="AG33" i="44"/>
  <c r="Z84" i="44"/>
  <c r="AG84" i="44"/>
  <c r="AD19" i="44"/>
  <c r="AK19" i="44"/>
  <c r="AL19" i="44"/>
  <c r="AA19" i="44"/>
  <c r="AP51" i="44"/>
  <c r="AM51" i="44"/>
  <c r="AC51" i="44"/>
  <c r="AD56" i="44"/>
  <c r="AL56" i="44"/>
  <c r="AO33" i="44"/>
  <c r="AL33" i="44"/>
  <c r="AB43" i="44"/>
  <c r="AH84" i="44"/>
  <c r="AD84" i="44"/>
  <c r="AB19" i="44"/>
  <c r="AM19" i="44"/>
  <c r="AN19" i="44"/>
  <c r="AP19" i="44"/>
  <c r="AD51" i="44"/>
  <c r="AF51" i="44"/>
  <c r="F51" i="44"/>
  <c r="AK51" i="44"/>
  <c r="AG18" i="44"/>
  <c r="AO56" i="44"/>
  <c r="AH33" i="44"/>
  <c r="F33" i="44"/>
  <c r="AC47" i="44"/>
  <c r="AC84" i="44"/>
  <c r="F84" i="44"/>
  <c r="AC19" i="44"/>
  <c r="AO19" i="44"/>
  <c r="F19" i="44"/>
  <c r="Z19" i="44"/>
  <c r="AE19" i="44"/>
  <c r="AN51" i="44"/>
  <c r="AL51" i="44"/>
  <c r="AJ18" i="44"/>
  <c r="AD18" i="44"/>
  <c r="AF18" i="44"/>
  <c r="AM18" i="44"/>
  <c r="BI88" i="1"/>
  <c r="BM88" i="1" s="1"/>
  <c r="AM33" i="44"/>
  <c r="Z33" i="44"/>
  <c r="AN84" i="44"/>
  <c r="AB84" i="44"/>
  <c r="AF84" i="44"/>
  <c r="AG19" i="44"/>
  <c r="AF19" i="44"/>
  <c r="AH19" i="44"/>
  <c r="AL18" i="44"/>
  <c r="AO18" i="44"/>
  <c r="AN18" i="44"/>
  <c r="Z18" i="44"/>
  <c r="AH18" i="44"/>
  <c r="AD33" i="44"/>
  <c r="AA33" i="44"/>
  <c r="AI58" i="44"/>
  <c r="AO84" i="44"/>
  <c r="AA84" i="44"/>
  <c r="AA51" i="44"/>
  <c r="AE56" i="44"/>
  <c r="F56" i="44"/>
  <c r="AB56" i="44"/>
  <c r="AE18" i="44"/>
  <c r="AC56" i="44"/>
  <c r="AC6" i="46"/>
  <c r="CQ37" i="1"/>
  <c r="CS37" i="1" s="1"/>
  <c r="AF33" i="44"/>
  <c r="AB33" i="44"/>
  <c r="AO50" i="44"/>
  <c r="AL84" i="44"/>
  <c r="AM84" i="44"/>
  <c r="AO51" i="44"/>
  <c r="AG51" i="44"/>
  <c r="AJ51" i="44"/>
  <c r="Z56" i="44"/>
  <c r="AH56" i="44"/>
  <c r="AF56" i="44"/>
  <c r="F18" i="44"/>
  <c r="AA56" i="44"/>
  <c r="AC37" i="45"/>
  <c r="BO74" i="1"/>
  <c r="BK74" i="1"/>
  <c r="F40" i="44"/>
  <c r="AF40" i="44"/>
  <c r="AC69" i="44"/>
  <c r="AD69" i="44"/>
  <c r="AB64" i="44"/>
  <c r="AJ64" i="44"/>
  <c r="AC64" i="44"/>
  <c r="AF64" i="44"/>
  <c r="AN46" i="44"/>
  <c r="AA46" i="44"/>
  <c r="BN74" i="1"/>
  <c r="CR43" i="1"/>
  <c r="DA43" i="1" s="1"/>
  <c r="Z40" i="44"/>
  <c r="AP40" i="44"/>
  <c r="AJ69" i="44"/>
  <c r="AB69" i="44"/>
  <c r="AM69" i="44"/>
  <c r="AM64" i="44"/>
  <c r="AP46" i="44"/>
  <c r="I6" i="46"/>
  <c r="BP74" i="1"/>
  <c r="BH74" i="1"/>
  <c r="BJ74" i="1" s="1"/>
  <c r="AN40" i="44"/>
  <c r="AG40" i="44"/>
  <c r="AD40" i="44"/>
  <c r="AN69" i="44"/>
  <c r="AG69" i="44"/>
  <c r="F46" i="44"/>
  <c r="AH46" i="44"/>
  <c r="BM74" i="1"/>
  <c r="CR31" i="1"/>
  <c r="AJ40" i="44"/>
  <c r="AB40" i="44"/>
  <c r="F69" i="44"/>
  <c r="AE69" i="44"/>
  <c r="AN90" i="44"/>
  <c r="AA42" i="45"/>
  <c r="AG21" i="45"/>
  <c r="AG46" i="44"/>
  <c r="AO46" i="44"/>
  <c r="BU74" i="1"/>
  <c r="BV74" i="1"/>
  <c r="AK40" i="44"/>
  <c r="AL40" i="44"/>
  <c r="AK69" i="44"/>
  <c r="Z69" i="44"/>
  <c r="AC90" i="44"/>
  <c r="AB46" i="44"/>
  <c r="BL74" i="1"/>
  <c r="BQ74" i="1"/>
  <c r="CR21" i="1"/>
  <c r="CV21" i="1" s="1"/>
  <c r="CQ49" i="1"/>
  <c r="CS49" i="1" s="1"/>
  <c r="AA40" i="44"/>
  <c r="AE40" i="44"/>
  <c r="AP69" i="44"/>
  <c r="AF69" i="44"/>
  <c r="AD90" i="44"/>
  <c r="AH64" i="44"/>
  <c r="AJ46" i="44"/>
  <c r="AF46" i="44"/>
  <c r="AM46" i="44"/>
  <c r="AE3" i="46"/>
  <c r="BS74" i="1"/>
  <c r="AO40" i="44"/>
  <c r="AM40" i="44"/>
  <c r="AL69" i="44"/>
  <c r="AH69" i="44"/>
  <c r="AK64" i="44"/>
  <c r="AA64" i="44"/>
  <c r="AO64" i="44"/>
  <c r="AD46" i="44"/>
  <c r="Z46" i="44"/>
  <c r="AE46" i="44"/>
  <c r="AP3" i="46"/>
  <c r="AH57" i="46"/>
  <c r="AF57" i="46"/>
  <c r="AI57" i="46"/>
  <c r="AA57" i="46"/>
  <c r="AC57" i="46"/>
  <c r="AP57" i="46"/>
  <c r="AG57" i="46"/>
  <c r="AD57" i="46"/>
  <c r="AJ57" i="46"/>
  <c r="AB57" i="46"/>
  <c r="Z57" i="46"/>
  <c r="F57" i="46"/>
  <c r="AE57" i="46"/>
  <c r="AL57" i="46"/>
  <c r="AM57" i="46"/>
  <c r="AO57" i="46"/>
  <c r="AK57" i="46"/>
  <c r="AN57" i="46"/>
  <c r="BK49" i="1"/>
  <c r="BO31" i="1"/>
  <c r="BV31" i="1"/>
  <c r="DD77" i="1"/>
  <c r="AK41" i="44"/>
  <c r="AP41" i="44"/>
  <c r="AN21" i="44"/>
  <c r="AJ21" i="44"/>
  <c r="AH82" i="44"/>
  <c r="AE82" i="44"/>
  <c r="AM73" i="44"/>
  <c r="AC73" i="44"/>
  <c r="AJ73" i="44"/>
  <c r="AL63" i="44"/>
  <c r="AO63" i="44"/>
  <c r="AJ63" i="44"/>
  <c r="AJ55" i="44"/>
  <c r="AF55" i="44"/>
  <c r="AB55" i="44"/>
  <c r="Z91" i="46"/>
  <c r="AD91" i="46"/>
  <c r="AM91" i="46"/>
  <c r="AA91" i="46"/>
  <c r="AL91" i="46"/>
  <c r="AG91" i="46"/>
  <c r="AH91" i="46"/>
  <c r="AI91" i="46"/>
  <c r="AF91" i="46"/>
  <c r="AE91" i="46"/>
  <c r="F91" i="46"/>
  <c r="AB91" i="46"/>
  <c r="AJ91" i="46"/>
  <c r="AC91" i="46"/>
  <c r="AP91" i="46"/>
  <c r="AO91" i="46"/>
  <c r="AK91" i="46"/>
  <c r="AN91" i="46"/>
  <c r="AB3" i="46"/>
  <c r="AO3" i="46"/>
  <c r="AK6" i="46"/>
  <c r="AI6" i="46"/>
  <c r="AK3" i="46"/>
  <c r="BT49" i="1"/>
  <c r="BS31" i="1"/>
  <c r="BN31" i="1"/>
  <c r="AJ41" i="44"/>
  <c r="AM41" i="44"/>
  <c r="AO21" i="44"/>
  <c r="AF21" i="44"/>
  <c r="AD21" i="44"/>
  <c r="AF82" i="44"/>
  <c r="AD82" i="44"/>
  <c r="AH73" i="44"/>
  <c r="F79" i="44"/>
  <c r="AF63" i="44"/>
  <c r="AN63" i="44"/>
  <c r="AM55" i="44"/>
  <c r="I3" i="46"/>
  <c r="AH3" i="46"/>
  <c r="AM6" i="46"/>
  <c r="AF6" i="46"/>
  <c r="AA58" i="46"/>
  <c r="AA2" i="46" s="1"/>
  <c r="AC58" i="46"/>
  <c r="AC2" i="46" s="1"/>
  <c r="AI58" i="46"/>
  <c r="AI2" i="46" s="1"/>
  <c r="AD58" i="46"/>
  <c r="AK58" i="46"/>
  <c r="F58" i="46"/>
  <c r="I2" i="46" s="1"/>
  <c r="AM58" i="46"/>
  <c r="AM2" i="46" s="1"/>
  <c r="AB58" i="46"/>
  <c r="AB2" i="46" s="1"/>
  <c r="AH58" i="46"/>
  <c r="AH2" i="46" s="1"/>
  <c r="AE58" i="46"/>
  <c r="AE2" i="46" s="1"/>
  <c r="AG58" i="46"/>
  <c r="AG2" i="46" s="1"/>
  <c r="AJ58" i="46"/>
  <c r="AO58" i="46"/>
  <c r="Z58" i="46"/>
  <c r="AF58" i="46"/>
  <c r="AF2" i="46" s="1"/>
  <c r="AL58" i="46"/>
  <c r="AL2" i="46" s="1"/>
  <c r="AP58" i="46"/>
  <c r="AP2" i="46" s="1"/>
  <c r="AN58" i="46"/>
  <c r="BS49" i="1"/>
  <c r="BM49" i="1"/>
  <c r="BQ31" i="1"/>
  <c r="DA77" i="1"/>
  <c r="DE77" i="1"/>
  <c r="AL41" i="44"/>
  <c r="AD41" i="44"/>
  <c r="AA21" i="44"/>
  <c r="F21" i="44"/>
  <c r="AB82" i="44"/>
  <c r="AJ82" i="44"/>
  <c r="AD73" i="44"/>
  <c r="AG63" i="44"/>
  <c r="AH63" i="44"/>
  <c r="AG55" i="44"/>
  <c r="AA55" i="44"/>
  <c r="F55" i="44"/>
  <c r="AJ3" i="46"/>
  <c r="AG3" i="46"/>
  <c r="G3" i="46"/>
  <c r="H3" i="46" s="1"/>
  <c r="Z3" i="46"/>
  <c r="AD27" i="46"/>
  <c r="AH27" i="46"/>
  <c r="Z27" i="46"/>
  <c r="AG27" i="46"/>
  <c r="AP27" i="46"/>
  <c r="AE27" i="46"/>
  <c r="AJ27" i="46"/>
  <c r="F27" i="46"/>
  <c r="AA27" i="46"/>
  <c r="AF27" i="46"/>
  <c r="AC27" i="46"/>
  <c r="AB27" i="46"/>
  <c r="AI27" i="46"/>
  <c r="AO27" i="46"/>
  <c r="AM27" i="46"/>
  <c r="AL27" i="46"/>
  <c r="AK27" i="46"/>
  <c r="AN27" i="46"/>
  <c r="AA3" i="46"/>
  <c r="BO49" i="1"/>
  <c r="BV49" i="1"/>
  <c r="BR31" i="1"/>
  <c r="BH31" i="1"/>
  <c r="BJ31" i="1" s="1"/>
  <c r="DB77" i="1"/>
  <c r="Z41" i="44"/>
  <c r="AB41" i="44"/>
  <c r="AM21" i="44"/>
  <c r="Z21" i="44"/>
  <c r="AP82" i="44"/>
  <c r="AC82" i="44"/>
  <c r="AB50" i="44"/>
  <c r="AM47" i="44"/>
  <c r="AG73" i="44"/>
  <c r="AB73" i="44"/>
  <c r="AB63" i="44"/>
  <c r="AO55" i="44"/>
  <c r="AE55" i="44"/>
  <c r="AL3" i="46"/>
  <c r="AG6" i="46"/>
  <c r="AD72" i="46"/>
  <c r="AD9" i="46" s="1"/>
  <c r="AE72" i="46"/>
  <c r="AE9" i="46" s="1"/>
  <c r="AF72" i="46"/>
  <c r="AF9" i="46" s="1"/>
  <c r="AH72" i="46"/>
  <c r="AH9" i="46" s="1"/>
  <c r="AK72" i="46"/>
  <c r="AK9" i="46" s="1"/>
  <c r="F72" i="46"/>
  <c r="I9" i="46" s="1"/>
  <c r="AJ72" i="46"/>
  <c r="AJ9" i="46" s="1"/>
  <c r="AB72" i="46"/>
  <c r="AB9" i="46" s="1"/>
  <c r="AC72" i="46"/>
  <c r="Z72" i="46"/>
  <c r="Z9" i="46" s="1"/>
  <c r="AI72" i="46"/>
  <c r="AI9" i="46" s="1"/>
  <c r="AA72" i="46"/>
  <c r="AA9" i="46" s="1"/>
  <c r="AG72" i="46"/>
  <c r="AG9" i="46" s="1"/>
  <c r="AP72" i="46"/>
  <c r="AO72" i="46"/>
  <c r="AO9" i="46" s="1"/>
  <c r="AL72" i="46"/>
  <c r="AL9" i="46" s="1"/>
  <c r="AM72" i="46"/>
  <c r="AM9" i="46" s="1"/>
  <c r="AN72" i="46"/>
  <c r="AN9" i="46" s="1"/>
  <c r="AA82" i="44"/>
  <c r="BP49" i="1"/>
  <c r="BN49" i="1"/>
  <c r="BM31" i="1"/>
  <c r="AH41" i="44"/>
  <c r="AE41" i="44"/>
  <c r="AE21" i="44"/>
  <c r="AC21" i="44"/>
  <c r="AG82" i="44"/>
  <c r="AM82" i="44"/>
  <c r="AE50" i="44"/>
  <c r="AB47" i="44"/>
  <c r="AL73" i="44"/>
  <c r="AO73" i="44"/>
  <c r="AN73" i="44"/>
  <c r="AP63" i="44"/>
  <c r="AD3" i="46"/>
  <c r="AH6" i="46"/>
  <c r="Z6" i="46"/>
  <c r="G6" i="46"/>
  <c r="H6" i="46" s="1"/>
  <c r="AC3" i="46"/>
  <c r="Z82" i="44"/>
  <c r="BU31" i="1"/>
  <c r="DC77" i="1"/>
  <c r="CW77" i="1"/>
  <c r="AN41" i="44"/>
  <c r="F41" i="44"/>
  <c r="AG41" i="44"/>
  <c r="AB21" i="44"/>
  <c r="AL21" i="44"/>
  <c r="AO82" i="44"/>
  <c r="AK82" i="44"/>
  <c r="AD50" i="44"/>
  <c r="AD6" i="44" s="1"/>
  <c r="AG47" i="44"/>
  <c r="AE73" i="44"/>
  <c r="AL92" i="46"/>
  <c r="AJ92" i="46"/>
  <c r="AP92" i="46"/>
  <c r="AO92" i="46"/>
  <c r="AF92" i="46"/>
  <c r="F92" i="46"/>
  <c r="AK92" i="46"/>
  <c r="AI92" i="46"/>
  <c r="AB92" i="46"/>
  <c r="AA92" i="46"/>
  <c r="AC92" i="46"/>
  <c r="AH92" i="46"/>
  <c r="AG92" i="46"/>
  <c r="AD92" i="46"/>
  <c r="AE92" i="46"/>
  <c r="Z92" i="46"/>
  <c r="AM92" i="46"/>
  <c r="AN92" i="46"/>
  <c r="AF3" i="46"/>
  <c r="AP6" i="46"/>
  <c r="AA6" i="46"/>
  <c r="AN3" i="46"/>
  <c r="AM3" i="46"/>
  <c r="AG16" i="46"/>
  <c r="AI16" i="46"/>
  <c r="F16" i="46"/>
  <c r="AE16" i="46"/>
  <c r="AA16" i="46"/>
  <c r="AC16" i="46"/>
  <c r="AB16" i="46"/>
  <c r="AH16" i="46"/>
  <c r="AJ16" i="46"/>
  <c r="AK16" i="46"/>
  <c r="AD16" i="46"/>
  <c r="Z16" i="46"/>
  <c r="AF16" i="46"/>
  <c r="AO16" i="46"/>
  <c r="AL16" i="46"/>
  <c r="AM16" i="46"/>
  <c r="AP16" i="46"/>
  <c r="AN16" i="46"/>
  <c r="AK67" i="46"/>
  <c r="AK7" i="46" s="1"/>
  <c r="AB67" i="46"/>
  <c r="AB7" i="46" s="1"/>
  <c r="AA67" i="46"/>
  <c r="AG67" i="46"/>
  <c r="AG7" i="46" s="1"/>
  <c r="Z67" i="46"/>
  <c r="Z7" i="46" s="1"/>
  <c r="AM67" i="46"/>
  <c r="AM7" i="46" s="1"/>
  <c r="AI67" i="46"/>
  <c r="AI7" i="46" s="1"/>
  <c r="F67" i="46"/>
  <c r="I7" i="46" s="1"/>
  <c r="AH67" i="46"/>
  <c r="AH7" i="46" s="1"/>
  <c r="AJ67" i="46"/>
  <c r="AJ7" i="46" s="1"/>
  <c r="AC67" i="46"/>
  <c r="AC7" i="46" s="1"/>
  <c r="AE67" i="46"/>
  <c r="AE7" i="46" s="1"/>
  <c r="AF67" i="46"/>
  <c r="AF7" i="46" s="1"/>
  <c r="AD67" i="46"/>
  <c r="AD7" i="46" s="1"/>
  <c r="AP67" i="46"/>
  <c r="AP7" i="46" s="1"/>
  <c r="AO67" i="46"/>
  <c r="AO7" i="46" s="1"/>
  <c r="AL67" i="46"/>
  <c r="AN67" i="46"/>
  <c r="AN7" i="46" s="1"/>
  <c r="AI31" i="44"/>
  <c r="AL17" i="45"/>
  <c r="AI63" i="44"/>
  <c r="AM63" i="44"/>
  <c r="AA63" i="44"/>
  <c r="AI55" i="44"/>
  <c r="AC55" i="44"/>
  <c r="AL55" i="44"/>
  <c r="AK55" i="44"/>
  <c r="AP55" i="44"/>
  <c r="Z15" i="45"/>
  <c r="AP74" i="45"/>
  <c r="AI24" i="44"/>
  <c r="AA24" i="44"/>
  <c r="AI65" i="45"/>
  <c r="AM65" i="45"/>
  <c r="AA65" i="45"/>
  <c r="AL65" i="45"/>
  <c r="AH65" i="45"/>
  <c r="AO65" i="45"/>
  <c r="AJ65" i="45"/>
  <c r="AF65" i="45"/>
  <c r="AK65" i="45"/>
  <c r="AC65" i="45"/>
  <c r="Z65" i="45"/>
  <c r="AN65" i="45"/>
  <c r="AB65" i="45"/>
  <c r="AG65" i="45"/>
  <c r="AE65" i="45"/>
  <c r="AD65" i="45"/>
  <c r="F65" i="45"/>
  <c r="AP65" i="45"/>
  <c r="AI54" i="44"/>
  <c r="AD54" i="44"/>
  <c r="AH54" i="44"/>
  <c r="AE54" i="44"/>
  <c r="AF54" i="44"/>
  <c r="AO54" i="44"/>
  <c r="AL54" i="44"/>
  <c r="F54" i="44"/>
  <c r="AP54" i="44"/>
  <c r="AC54" i="44"/>
  <c r="AM54" i="44"/>
  <c r="AB54" i="44"/>
  <c r="AK54" i="44"/>
  <c r="AJ54" i="44"/>
  <c r="AA54" i="44"/>
  <c r="AN54" i="44"/>
  <c r="AG54" i="44"/>
  <c r="Z54" i="44"/>
  <c r="AI67" i="44"/>
  <c r="AI26" i="44"/>
  <c r="AK26" i="44"/>
  <c r="AA26" i="44"/>
  <c r="AI32" i="44"/>
  <c r="AG32" i="44"/>
  <c r="AI83" i="44"/>
  <c r="AD83" i="44"/>
  <c r="AP83" i="44"/>
  <c r="AI61" i="44"/>
  <c r="AI46" i="44"/>
  <c r="AL46" i="44"/>
  <c r="AK46" i="44"/>
  <c r="AB49" i="44"/>
  <c r="AI18" i="44"/>
  <c r="AA18" i="44"/>
  <c r="AP18" i="44"/>
  <c r="AI56" i="44"/>
  <c r="AP56" i="44"/>
  <c r="AN56" i="44"/>
  <c r="AG56" i="44"/>
  <c r="AH52" i="44"/>
  <c r="AN52" i="44"/>
  <c r="F52" i="44"/>
  <c r="AA52" i="44"/>
  <c r="AK52" i="44"/>
  <c r="AG52" i="44"/>
  <c r="Z52" i="44"/>
  <c r="AJ52" i="44"/>
  <c r="AP52" i="44"/>
  <c r="AM52" i="44"/>
  <c r="AF52" i="44"/>
  <c r="AO52" i="44"/>
  <c r="AC52" i="44"/>
  <c r="AB52" i="44"/>
  <c r="AE52" i="44"/>
  <c r="AP90" i="44"/>
  <c r="F90" i="44"/>
  <c r="AM43" i="44"/>
  <c r="AK60" i="45"/>
  <c r="BH49" i="1"/>
  <c r="BJ49" i="1" s="1"/>
  <c r="AL90" i="44"/>
  <c r="AB90" i="44"/>
  <c r="AF43" i="44"/>
  <c r="AO90" i="44"/>
  <c r="AE90" i="44"/>
  <c r="Z43" i="44"/>
  <c r="AJ90" i="44"/>
  <c r="AG90" i="44"/>
  <c r="AH43" i="44"/>
  <c r="AK90" i="44"/>
  <c r="AM90" i="44"/>
  <c r="AJ43" i="44"/>
  <c r="AI27" i="44"/>
  <c r="Z85" i="44"/>
  <c r="AH90" i="44"/>
  <c r="AF90" i="44"/>
  <c r="AL43" i="44"/>
  <c r="AK85" i="44"/>
  <c r="AA90" i="44"/>
  <c r="Z90" i="44"/>
  <c r="AP43" i="44"/>
  <c r="AI91" i="44"/>
  <c r="V16" i="19"/>
  <c r="V16" i="24"/>
  <c r="V16" i="33"/>
  <c r="V91" i="32"/>
  <c r="V91" i="35"/>
  <c r="AF49" i="44"/>
  <c r="AC14" i="45"/>
  <c r="AJ14" i="45"/>
  <c r="Z14" i="45"/>
  <c r="AI14" i="45"/>
  <c r="AG14" i="45"/>
  <c r="AF14" i="45"/>
  <c r="AM14" i="45"/>
  <c r="F14" i="45"/>
  <c r="AO14" i="45"/>
  <c r="AB14" i="45"/>
  <c r="AK14" i="45"/>
  <c r="AD14" i="45"/>
  <c r="AE14" i="45"/>
  <c r="AN14" i="45"/>
  <c r="AA14" i="45"/>
  <c r="AH14" i="45"/>
  <c r="AL14" i="45"/>
  <c r="AP14" i="45"/>
  <c r="AI77" i="44"/>
  <c r="AL77" i="44"/>
  <c r="AC77" i="44"/>
  <c r="F77" i="44"/>
  <c r="AN77" i="44"/>
  <c r="AE77" i="44"/>
  <c r="AD77" i="44"/>
  <c r="Z77" i="44"/>
  <c r="AO77" i="44"/>
  <c r="AJ77" i="44"/>
  <c r="AM77" i="44"/>
  <c r="AG77" i="44"/>
  <c r="AB77" i="44"/>
  <c r="AP77" i="44"/>
  <c r="AA77" i="44"/>
  <c r="AH77" i="44"/>
  <c r="AK77" i="44"/>
  <c r="AF77" i="44"/>
  <c r="V16" i="18"/>
  <c r="V16" i="22"/>
  <c r="V16" i="26"/>
  <c r="V16" i="41"/>
  <c r="V91" i="27"/>
  <c r="V91" i="41"/>
  <c r="BR14" i="1"/>
  <c r="BQ14" i="1"/>
  <c r="BO14" i="1"/>
  <c r="BP14" i="1"/>
  <c r="BL14" i="1"/>
  <c r="BV14" i="1"/>
  <c r="BS14" i="1"/>
  <c r="BN14" i="1"/>
  <c r="BU14" i="1"/>
  <c r="BT14" i="1"/>
  <c r="BM14" i="1"/>
  <c r="BK14" i="1"/>
  <c r="BH36" i="1"/>
  <c r="BJ36" i="1" s="1"/>
  <c r="BI36" i="1"/>
  <c r="AI23" i="44"/>
  <c r="AD23" i="44"/>
  <c r="AB23" i="44"/>
  <c r="AN23" i="44"/>
  <c r="AH23" i="44"/>
  <c r="V39" i="44"/>
  <c r="V39" i="43"/>
  <c r="Y39" i="43" s="1"/>
  <c r="V39" i="38"/>
  <c r="V39" i="23"/>
  <c r="V39" i="36"/>
  <c r="V39" i="33"/>
  <c r="V39" i="29"/>
  <c r="V39" i="27"/>
  <c r="V39" i="25"/>
  <c r="V39" i="24"/>
  <c r="V39" i="40"/>
  <c r="V39" i="35"/>
  <c r="V39" i="31"/>
  <c r="V39" i="30"/>
  <c r="V39" i="41"/>
  <c r="V39" i="39"/>
  <c r="V39" i="37"/>
  <c r="V39" i="34"/>
  <c r="V39" i="32"/>
  <c r="V39" i="22"/>
  <c r="V39" i="28"/>
  <c r="V39" i="26"/>
  <c r="V39" i="42"/>
  <c r="V39" i="21"/>
  <c r="V39" i="20"/>
  <c r="V39" i="19"/>
  <c r="V39" i="18"/>
  <c r="V39" i="16"/>
  <c r="V39" i="15"/>
  <c r="V39" i="13"/>
  <c r="CO39" i="1"/>
  <c r="BF39" i="1"/>
  <c r="W39" i="1"/>
  <c r="Y39" i="1" s="1"/>
  <c r="BF91" i="1"/>
  <c r="BH91" i="1" s="1"/>
  <c r="BJ91" i="1" s="1"/>
  <c r="V16" i="13"/>
  <c r="V16" i="23"/>
  <c r="V16" i="36"/>
  <c r="V16" i="34"/>
  <c r="V91" i="26"/>
  <c r="V91" i="30"/>
  <c r="V91" i="36"/>
  <c r="V16" i="44"/>
  <c r="AD49" i="44"/>
  <c r="CQ36" i="1"/>
  <c r="CS36" i="1" s="1"/>
  <c r="CR36" i="1"/>
  <c r="AI66" i="44"/>
  <c r="F66" i="44"/>
  <c r="AM66" i="44"/>
  <c r="AD66" i="44"/>
  <c r="AP66" i="44"/>
  <c r="AC66" i="44"/>
  <c r="AN66" i="44"/>
  <c r="AG66" i="44"/>
  <c r="AJ66" i="44"/>
  <c r="AL66" i="44"/>
  <c r="Z66" i="44"/>
  <c r="AA66" i="44"/>
  <c r="AO66" i="44"/>
  <c r="AH66" i="44"/>
  <c r="AE66" i="44"/>
  <c r="AB66" i="44"/>
  <c r="AF66" i="44"/>
  <c r="AK66" i="44"/>
  <c r="AK31" i="44"/>
  <c r="V91" i="16"/>
  <c r="V16" i="20"/>
  <c r="V16" i="27"/>
  <c r="V16" i="39"/>
  <c r="V16" i="37"/>
  <c r="V91" i="29"/>
  <c r="V91" i="28"/>
  <c r="V91" i="38"/>
  <c r="AO81" i="44"/>
  <c r="BF16" i="1"/>
  <c r="W16" i="1"/>
  <c r="Y16" i="1" s="1"/>
  <c r="AJ61" i="44"/>
  <c r="AI64" i="44"/>
  <c r="AE64" i="44"/>
  <c r="AP64" i="44"/>
  <c r="AN64" i="44"/>
  <c r="AD64" i="44"/>
  <c r="F64" i="44"/>
  <c r="V91" i="20"/>
  <c r="V16" i="25"/>
  <c r="V16" i="30"/>
  <c r="V16" i="35"/>
  <c r="V91" i="24"/>
  <c r="V91" i="33"/>
  <c r="V91" i="42"/>
  <c r="AI49" i="44"/>
  <c r="AC49" i="44"/>
  <c r="F49" i="44"/>
  <c r="AH49" i="44"/>
  <c r="AI60" i="44"/>
  <c r="AK60" i="44"/>
  <c r="AP60" i="44"/>
  <c r="AI48" i="44"/>
  <c r="AD48" i="44"/>
  <c r="AC48" i="44"/>
  <c r="AJ48" i="44"/>
  <c r="AF48" i="44"/>
  <c r="AB48" i="44"/>
  <c r="AK48" i="44"/>
  <c r="AP48" i="44"/>
  <c r="AM48" i="44"/>
  <c r="AG48" i="44"/>
  <c r="AL48" i="44"/>
  <c r="F48" i="44"/>
  <c r="AO48" i="44"/>
  <c r="AH48" i="44"/>
  <c r="AA48" i="44"/>
  <c r="AN48" i="44"/>
  <c r="Z48" i="44"/>
  <c r="AE48" i="44"/>
  <c r="CO91" i="1"/>
  <c r="CQ91" i="1" s="1"/>
  <c r="CS91" i="1" s="1"/>
  <c r="V91" i="21"/>
  <c r="V16" i="21"/>
  <c r="V16" i="28"/>
  <c r="V16" i="31"/>
  <c r="V16" i="42"/>
  <c r="V91" i="22"/>
  <c r="V91" i="31"/>
  <c r="V91" i="39"/>
  <c r="AP49" i="44"/>
  <c r="V91" i="18"/>
  <c r="V16" i="15"/>
  <c r="V16" i="29"/>
  <c r="V16" i="40"/>
  <c r="V16" i="43"/>
  <c r="Y16" i="43" s="1"/>
  <c r="V91" i="23"/>
  <c r="V91" i="34"/>
  <c r="V91" i="40"/>
  <c r="Z37" i="45"/>
  <c r="AL49" i="44"/>
  <c r="Z49" i="44"/>
  <c r="V91" i="19"/>
  <c r="CO16" i="1"/>
  <c r="CQ16" i="1" s="1"/>
  <c r="CS16" i="1" s="1"/>
  <c r="V16" i="38"/>
  <c r="V16" i="32"/>
  <c r="V91" i="25"/>
  <c r="V91" i="37"/>
  <c r="V91" i="43"/>
  <c r="Y91" i="43" s="1"/>
  <c r="AK37" i="45"/>
  <c r="AO49" i="44"/>
  <c r="AK49" i="44"/>
  <c r="AM49" i="44"/>
  <c r="AG49" i="44"/>
  <c r="CX14" i="1"/>
  <c r="DB14" i="1"/>
  <c r="CZ14" i="1"/>
  <c r="DD14" i="1"/>
  <c r="CW14" i="1"/>
  <c r="CY14" i="1"/>
  <c r="DE14" i="1"/>
  <c r="DC14" i="1"/>
  <c r="DA14" i="1"/>
  <c r="CV14" i="1"/>
  <c r="CU14" i="1"/>
  <c r="CT14" i="1"/>
  <c r="AI14" i="44"/>
  <c r="AH14" i="44"/>
  <c r="AL14" i="44"/>
  <c r="AO14" i="44"/>
  <c r="AP14" i="44"/>
  <c r="AG14" i="44"/>
  <c r="AF14" i="44"/>
  <c r="AN14" i="44"/>
  <c r="AD14" i="44"/>
  <c r="Z14" i="44"/>
  <c r="AC14" i="44"/>
  <c r="AM14" i="44"/>
  <c r="AB14" i="44"/>
  <c r="AK14" i="44"/>
  <c r="AJ14" i="44"/>
  <c r="F14" i="44"/>
  <c r="AA14" i="44"/>
  <c r="AE14" i="44"/>
  <c r="AJ87" i="44"/>
  <c r="AL87" i="44"/>
  <c r="AD17" i="44"/>
  <c r="AM17" i="44"/>
  <c r="AG45" i="44"/>
  <c r="AJ45" i="44"/>
  <c r="F87" i="44"/>
  <c r="AN87" i="44"/>
  <c r="AE17" i="44"/>
  <c r="AC17" i="44"/>
  <c r="Z45" i="44"/>
  <c r="AO45" i="44"/>
  <c r="AC87" i="44"/>
  <c r="AH87" i="44"/>
  <c r="AF17" i="44"/>
  <c r="AJ17" i="44"/>
  <c r="AA45" i="44"/>
  <c r="AF45" i="44"/>
  <c r="AA87" i="44"/>
  <c r="AP87" i="44"/>
  <c r="AM87" i="44"/>
  <c r="AG17" i="44"/>
  <c r="F17" i="44"/>
  <c r="AE45" i="44"/>
  <c r="AP45" i="44"/>
  <c r="AB87" i="44"/>
  <c r="AF87" i="44"/>
  <c r="AN17" i="44"/>
  <c r="AP17" i="44"/>
  <c r="AB17" i="44"/>
  <c r="AN45" i="44"/>
  <c r="AK45" i="44"/>
  <c r="AC45" i="44"/>
  <c r="AI72" i="44"/>
  <c r="AE87" i="44"/>
  <c r="AG87" i="44"/>
  <c r="AK17" i="44"/>
  <c r="AO17" i="44"/>
  <c r="AL45" i="44"/>
  <c r="AH45" i="44"/>
  <c r="AD87" i="44"/>
  <c r="AO87" i="44"/>
  <c r="Z17" i="44"/>
  <c r="AH17" i="44"/>
  <c r="F45" i="44"/>
  <c r="AM45" i="44"/>
  <c r="AG81" i="44"/>
  <c r="AP85" i="44"/>
  <c r="AJ85" i="44"/>
  <c r="AH37" i="45"/>
  <c r="AM37" i="45"/>
  <c r="Z86" i="44"/>
  <c r="AJ86" i="44"/>
  <c r="AM85" i="44"/>
  <c r="F85" i="44"/>
  <c r="AN37" i="45"/>
  <c r="AL37" i="45"/>
  <c r="AJ37" i="45"/>
  <c r="AN86" i="44"/>
  <c r="AK86" i="44"/>
  <c r="AG86" i="44"/>
  <c r="AF85" i="44"/>
  <c r="AC85" i="44"/>
  <c r="AA37" i="45"/>
  <c r="F37" i="45"/>
  <c r="AD37" i="45"/>
  <c r="AL86" i="44"/>
  <c r="AD86" i="44"/>
  <c r="AG85" i="44"/>
  <c r="AD85" i="44"/>
  <c r="AI37" i="45"/>
  <c r="AE37" i="45"/>
  <c r="AH15" i="44"/>
  <c r="AP86" i="44"/>
  <c r="AF86" i="44"/>
  <c r="AO85" i="44"/>
  <c r="AH85" i="44"/>
  <c r="AL85" i="44"/>
  <c r="AG37" i="45"/>
  <c r="AO37" i="45"/>
  <c r="AC15" i="44"/>
  <c r="AO86" i="44"/>
  <c r="AH86" i="44"/>
  <c r="AN85" i="44"/>
  <c r="AB85" i="44"/>
  <c r="AB37" i="45"/>
  <c r="AP37" i="45"/>
  <c r="AC86" i="44"/>
  <c r="AB86" i="44"/>
  <c r="AE85" i="44"/>
  <c r="AA85" i="44"/>
  <c r="AF37" i="45"/>
  <c r="AA73" i="44"/>
  <c r="AF73" i="44"/>
  <c r="AP68" i="44"/>
  <c r="AL79" i="44"/>
  <c r="AK68" i="44"/>
  <c r="AA79" i="44"/>
  <c r="AH79" i="44"/>
  <c r="AB79" i="44"/>
  <c r="AK79" i="44"/>
  <c r="AD79" i="44"/>
  <c r="AG79" i="44"/>
  <c r="AC79" i="44"/>
  <c r="AO79" i="44"/>
  <c r="AF79" i="44"/>
  <c r="AJ79" i="44"/>
  <c r="AI79" i="44"/>
  <c r="AN79" i="44"/>
  <c r="AM79" i="44"/>
  <c r="AE79" i="44"/>
  <c r="AA68" i="44"/>
  <c r="Z79" i="44"/>
  <c r="F15" i="44"/>
  <c r="AJ15" i="44"/>
  <c r="AP81" i="44"/>
  <c r="AN81" i="44"/>
  <c r="AM15" i="44"/>
  <c r="AE15" i="44"/>
  <c r="AA81" i="44"/>
  <c r="AB81" i="44"/>
  <c r="AM81" i="44"/>
  <c r="AB15" i="44"/>
  <c r="AK15" i="44"/>
  <c r="AI92" i="44"/>
  <c r="AE81" i="44"/>
  <c r="AC81" i="44"/>
  <c r="AA15" i="44"/>
  <c r="AF15" i="44"/>
  <c r="Z81" i="44"/>
  <c r="AL81" i="44"/>
  <c r="AP15" i="44"/>
  <c r="AG15" i="44"/>
  <c r="AD81" i="44"/>
  <c r="AJ81" i="44"/>
  <c r="AD15" i="44"/>
  <c r="AL15" i="44"/>
  <c r="F81" i="44"/>
  <c r="AK81" i="44"/>
  <c r="AN15" i="44"/>
  <c r="AO15" i="44"/>
  <c r="Z15" i="44"/>
  <c r="AH81" i="44"/>
  <c r="AF81" i="44"/>
  <c r="AD47" i="44"/>
  <c r="AP47" i="44"/>
  <c r="AM68" i="44"/>
  <c r="AG68" i="44"/>
  <c r="AN47" i="44"/>
  <c r="AH47" i="44"/>
  <c r="AL47" i="44"/>
  <c r="AB68" i="44"/>
  <c r="AD68" i="44"/>
  <c r="AK47" i="44"/>
  <c r="AJ47" i="44"/>
  <c r="AF68" i="44"/>
  <c r="AL68" i="44"/>
  <c r="AE47" i="44"/>
  <c r="Z47" i="44"/>
  <c r="AE68" i="44"/>
  <c r="Z68" i="44"/>
  <c r="AC68" i="44"/>
  <c r="AA47" i="44"/>
  <c r="AO47" i="44"/>
  <c r="AN68" i="44"/>
  <c r="AJ68" i="44"/>
  <c r="AF47" i="44"/>
  <c r="F47" i="44"/>
  <c r="F68" i="44"/>
  <c r="AH68" i="44"/>
  <c r="AH24" i="45"/>
  <c r="AD24" i="45"/>
  <c r="AG24" i="45"/>
  <c r="Z24" i="45"/>
  <c r="AE24" i="45"/>
  <c r="AC24" i="45"/>
  <c r="F24" i="45"/>
  <c r="AK24" i="45"/>
  <c r="AJ24" i="45"/>
  <c r="AB24" i="45"/>
  <c r="AI24" i="45"/>
  <c r="AF24" i="45"/>
  <c r="AL24" i="45"/>
  <c r="AA24" i="45"/>
  <c r="AO24" i="45"/>
  <c r="AP24" i="45"/>
  <c r="AM24" i="45"/>
  <c r="AN24" i="45"/>
  <c r="AE15" i="45"/>
  <c r="AB15" i="45"/>
  <c r="AG15" i="45"/>
  <c r="AM15" i="45"/>
  <c r="AN15" i="45"/>
  <c r="AJ33" i="45"/>
  <c r="AC33" i="45"/>
  <c r="AB33" i="45"/>
  <c r="AD33" i="45"/>
  <c r="AL33" i="45"/>
  <c r="AA33" i="45"/>
  <c r="AH33" i="45"/>
  <c r="AM33" i="45"/>
  <c r="AO33" i="45"/>
  <c r="Z33" i="45"/>
  <c r="AK33" i="45"/>
  <c r="AG33" i="45"/>
  <c r="AN33" i="45"/>
  <c r="AF33" i="45"/>
  <c r="AI33" i="45"/>
  <c r="F33" i="45"/>
  <c r="AE33" i="45"/>
  <c r="AP33" i="45"/>
  <c r="AG88" i="45"/>
  <c r="AH88" i="45"/>
  <c r="AF88" i="45"/>
  <c r="AD88" i="45"/>
  <c r="Z88" i="45"/>
  <c r="AA88" i="45"/>
  <c r="AM88" i="45"/>
  <c r="AJ88" i="45"/>
  <c r="AK88" i="45"/>
  <c r="AE88" i="45"/>
  <c r="F88" i="45"/>
  <c r="AC88" i="45"/>
  <c r="AB88" i="45"/>
  <c r="AI88" i="45"/>
  <c r="AO88" i="45"/>
  <c r="AL88" i="45"/>
  <c r="AP88" i="45"/>
  <c r="AN88" i="45"/>
  <c r="AC85" i="45"/>
  <c r="AE85" i="45"/>
  <c r="AL85" i="45"/>
  <c r="AB85" i="45"/>
  <c r="AM85" i="45"/>
  <c r="AI85" i="45"/>
  <c r="AG85" i="45"/>
  <c r="AA85" i="45"/>
  <c r="AH85" i="45"/>
  <c r="Z85" i="45"/>
  <c r="AJ85" i="45"/>
  <c r="AD85" i="45"/>
  <c r="AP85" i="45"/>
  <c r="F85" i="45"/>
  <c r="AO85" i="45"/>
  <c r="AK85" i="45"/>
  <c r="AF85" i="45"/>
  <c r="AN85" i="45"/>
  <c r="AH61" i="45"/>
  <c r="AF61" i="45"/>
  <c r="AD61" i="45"/>
  <c r="Z61" i="45"/>
  <c r="AG61" i="45"/>
  <c r="AK61" i="45"/>
  <c r="AM61" i="45"/>
  <c r="AE61" i="45"/>
  <c r="F61" i="45"/>
  <c r="AJ61" i="45"/>
  <c r="AC61" i="45"/>
  <c r="AA61" i="45"/>
  <c r="AB61" i="45"/>
  <c r="AI61" i="45"/>
  <c r="AP61" i="45"/>
  <c r="AL61" i="45"/>
  <c r="AO61" i="45"/>
  <c r="AN61" i="45"/>
  <c r="V28" i="44"/>
  <c r="V70" i="44"/>
  <c r="AB6" i="44"/>
  <c r="F50" i="44"/>
  <c r="AM50" i="44"/>
  <c r="AM6" i="44" s="1"/>
  <c r="AN43" i="44"/>
  <c r="AE43" i="44"/>
  <c r="AG43" i="44"/>
  <c r="AC71" i="45"/>
  <c r="AF71" i="45"/>
  <c r="AE71" i="45"/>
  <c r="F71" i="45"/>
  <c r="AB71" i="45"/>
  <c r="AP71" i="45"/>
  <c r="AI71" i="45"/>
  <c r="AA71" i="45"/>
  <c r="AH71" i="45"/>
  <c r="Z71" i="45"/>
  <c r="AG71" i="45"/>
  <c r="AD71" i="45"/>
  <c r="AJ71" i="45"/>
  <c r="AM71" i="45"/>
  <c r="AO71" i="45"/>
  <c r="AL71" i="45"/>
  <c r="AK71" i="45"/>
  <c r="AN71" i="45"/>
  <c r="AG86" i="45"/>
  <c r="AI86" i="45"/>
  <c r="AH86" i="45"/>
  <c r="AC86" i="45"/>
  <c r="AJ86" i="45"/>
  <c r="AB86" i="45"/>
  <c r="AA86" i="45"/>
  <c r="Z86" i="45"/>
  <c r="AM86" i="45"/>
  <c r="AK86" i="45"/>
  <c r="AD86" i="45"/>
  <c r="AF86" i="45"/>
  <c r="AE86" i="45"/>
  <c r="F86" i="45"/>
  <c r="AP86" i="45"/>
  <c r="AL86" i="45"/>
  <c r="AO86" i="45"/>
  <c r="AN86" i="45"/>
  <c r="AC19" i="45"/>
  <c r="AD19" i="45"/>
  <c r="AN19" i="45"/>
  <c r="Z19" i="45"/>
  <c r="AI19" i="45"/>
  <c r="AM19" i="45"/>
  <c r="AG19" i="45"/>
  <c r="AF19" i="45"/>
  <c r="AL19" i="45"/>
  <c r="AB19" i="45"/>
  <c r="AP19" i="45"/>
  <c r="AO19" i="45"/>
  <c r="F19" i="45"/>
  <c r="AJ19" i="45"/>
  <c r="AE19" i="45"/>
  <c r="AA19" i="45"/>
  <c r="AH19" i="45"/>
  <c r="AK19" i="45"/>
  <c r="AJ21" i="45"/>
  <c r="AP21" i="45"/>
  <c r="AC31" i="45"/>
  <c r="AK31" i="45"/>
  <c r="AI31" i="45"/>
  <c r="AH31" i="45"/>
  <c r="F31" i="45"/>
  <c r="AJ47" i="45"/>
  <c r="AI47" i="45"/>
  <c r="AB47" i="45"/>
  <c r="AO47" i="45"/>
  <c r="AD47" i="45"/>
  <c r="AL47" i="45"/>
  <c r="AG47" i="45"/>
  <c r="AA47" i="45"/>
  <c r="AF47" i="45"/>
  <c r="AE47" i="45"/>
  <c r="F47" i="45"/>
  <c r="AM47" i="45"/>
  <c r="Z47" i="45"/>
  <c r="AH47" i="45"/>
  <c r="AC47" i="45"/>
  <c r="AN47" i="45"/>
  <c r="AK47" i="45"/>
  <c r="AP47" i="45"/>
  <c r="AD90" i="45"/>
  <c r="AA90" i="45"/>
  <c r="AH90" i="45"/>
  <c r="Z90" i="45"/>
  <c r="AO90" i="45"/>
  <c r="AP90" i="45"/>
  <c r="AG90" i="45"/>
  <c r="AK90" i="45"/>
  <c r="F90" i="45"/>
  <c r="AL90" i="45"/>
  <c r="AC90" i="45"/>
  <c r="AF90" i="45"/>
  <c r="AJ90" i="45"/>
  <c r="AI90" i="45"/>
  <c r="AB90" i="45"/>
  <c r="AE90" i="45"/>
  <c r="AM90" i="45"/>
  <c r="AN90" i="45"/>
  <c r="AG66" i="45"/>
  <c r="AE66" i="45"/>
  <c r="AD66" i="45"/>
  <c r="AM66" i="45"/>
  <c r="AI66" i="45"/>
  <c r="AA66" i="45"/>
  <c r="AH66" i="45"/>
  <c r="Z66" i="45"/>
  <c r="AJ66" i="45"/>
  <c r="AB66" i="45"/>
  <c r="AF66" i="45"/>
  <c r="F66" i="45"/>
  <c r="AC66" i="45"/>
  <c r="AK66" i="45"/>
  <c r="AP66" i="45"/>
  <c r="AO66" i="45"/>
  <c r="AL66" i="45"/>
  <c r="AN66" i="45"/>
  <c r="AF56" i="45"/>
  <c r="AH56" i="45"/>
  <c r="AB56" i="45"/>
  <c r="AA56" i="45"/>
  <c r="Z56" i="45"/>
  <c r="AJ56" i="45"/>
  <c r="AG56" i="45"/>
  <c r="AI56" i="45"/>
  <c r="AM56" i="45"/>
  <c r="AD56" i="45"/>
  <c r="F56" i="45"/>
  <c r="AP56" i="45"/>
  <c r="AE56" i="45"/>
  <c r="AC56" i="45"/>
  <c r="AO56" i="45"/>
  <c r="AL56" i="45"/>
  <c r="AK56" i="45"/>
  <c r="AN56" i="45"/>
  <c r="AG68" i="45"/>
  <c r="AC68" i="45"/>
  <c r="Z68" i="45"/>
  <c r="AB68" i="45"/>
  <c r="AL68" i="45"/>
  <c r="AJ68" i="45"/>
  <c r="AE68" i="45"/>
  <c r="AD68" i="45"/>
  <c r="F68" i="45"/>
  <c r="AK68" i="45"/>
  <c r="AO68" i="45"/>
  <c r="AN68" i="45"/>
  <c r="AI68" i="45"/>
  <c r="AA68" i="45"/>
  <c r="AF68" i="45"/>
  <c r="AH68" i="45"/>
  <c r="AM68" i="45"/>
  <c r="AP68" i="45"/>
  <c r="AC6" i="44"/>
  <c r="Z50" i="44"/>
  <c r="G6" i="44" s="1"/>
  <c r="H6" i="44" s="1"/>
  <c r="AA50" i="44"/>
  <c r="AA6" i="44" s="1"/>
  <c r="AO43" i="44"/>
  <c r="F43" i="44"/>
  <c r="AL59" i="45"/>
  <c r="AM59" i="45"/>
  <c r="AK59" i="45"/>
  <c r="AD59" i="45"/>
  <c r="AO59" i="45"/>
  <c r="F59" i="45"/>
  <c r="AC59" i="45"/>
  <c r="AA59" i="45"/>
  <c r="Z59" i="45"/>
  <c r="AF59" i="45"/>
  <c r="AI59" i="45"/>
  <c r="AP59" i="45"/>
  <c r="AN59" i="45"/>
  <c r="AH59" i="45"/>
  <c r="AE59" i="45"/>
  <c r="AG59" i="45"/>
  <c r="AB59" i="45"/>
  <c r="AJ59" i="45"/>
  <c r="AH80" i="45"/>
  <c r="AD80" i="45"/>
  <c r="AG80" i="45"/>
  <c r="AF80" i="45"/>
  <c r="AE80" i="45"/>
  <c r="Z80" i="45"/>
  <c r="F80" i="45"/>
  <c r="AK80" i="45"/>
  <c r="AA80" i="45"/>
  <c r="AB80" i="45"/>
  <c r="AI80" i="45"/>
  <c r="AC80" i="45"/>
  <c r="AJ80" i="45"/>
  <c r="AM80" i="45"/>
  <c r="AP80" i="45"/>
  <c r="AL80" i="45"/>
  <c r="AO80" i="45"/>
  <c r="AN80" i="45"/>
  <c r="F26" i="45"/>
  <c r="AM26" i="45"/>
  <c r="AD26" i="45"/>
  <c r="AA26" i="45"/>
  <c r="AH26" i="45"/>
  <c r="Z26" i="45"/>
  <c r="AG26" i="45"/>
  <c r="AE26" i="45"/>
  <c r="AI26" i="45"/>
  <c r="AJ26" i="45"/>
  <c r="AC26" i="45"/>
  <c r="AB26" i="45"/>
  <c r="AF26" i="45"/>
  <c r="AK26" i="45"/>
  <c r="AO26" i="45"/>
  <c r="AP26" i="45"/>
  <c r="AL26" i="45"/>
  <c r="AN26" i="45"/>
  <c r="AG44" i="45"/>
  <c r="AH44" i="45"/>
  <c r="Z44" i="45"/>
  <c r="AA44" i="45"/>
  <c r="AI44" i="45"/>
  <c r="AJ44" i="45"/>
  <c r="AK44" i="45"/>
  <c r="AD44" i="45"/>
  <c r="AO44" i="45"/>
  <c r="F44" i="45"/>
  <c r="AL44" i="45"/>
  <c r="AM44" i="45"/>
  <c r="AB44" i="45"/>
  <c r="AC44" i="45"/>
  <c r="AF44" i="45"/>
  <c r="AE44" i="45"/>
  <c r="AP44" i="45"/>
  <c r="AN44" i="45"/>
  <c r="AF54" i="45"/>
  <c r="AD54" i="45"/>
  <c r="AI54" i="45"/>
  <c r="AB54" i="45"/>
  <c r="Z54" i="45"/>
  <c r="AG54" i="45"/>
  <c r="AE54" i="45"/>
  <c r="AJ54" i="45"/>
  <c r="F54" i="45"/>
  <c r="AK54" i="45"/>
  <c r="AA54" i="45"/>
  <c r="AH54" i="45"/>
  <c r="AC54" i="45"/>
  <c r="AL54" i="45"/>
  <c r="AM54" i="45"/>
  <c r="AP54" i="45"/>
  <c r="AN54" i="45"/>
  <c r="AO54" i="45"/>
  <c r="AL40" i="45"/>
  <c r="AC40" i="45"/>
  <c r="AP40" i="45"/>
  <c r="Z40" i="45"/>
  <c r="AK40" i="45"/>
  <c r="AG40" i="45"/>
  <c r="AJ40" i="45"/>
  <c r="AO40" i="45"/>
  <c r="F40" i="45"/>
  <c r="AM40" i="45"/>
  <c r="AA40" i="45"/>
  <c r="AD40" i="45"/>
  <c r="AF40" i="45"/>
  <c r="AB40" i="45"/>
  <c r="AE40" i="45"/>
  <c r="AI40" i="45"/>
  <c r="AH40" i="45"/>
  <c r="AN40" i="45"/>
  <c r="AH46" i="45"/>
  <c r="AC46" i="45"/>
  <c r="Z46" i="45"/>
  <c r="AG46" i="45"/>
  <c r="AE46" i="45"/>
  <c r="AF46" i="45"/>
  <c r="F46" i="45"/>
  <c r="AA46" i="45"/>
  <c r="AK46" i="45"/>
  <c r="AB46" i="45"/>
  <c r="AI46" i="45"/>
  <c r="AD46" i="45"/>
  <c r="AJ46" i="45"/>
  <c r="AP46" i="45"/>
  <c r="AL46" i="45"/>
  <c r="AO46" i="45"/>
  <c r="AM46" i="45"/>
  <c r="AN46" i="45"/>
  <c r="V62" i="44"/>
  <c r="AC87" i="45"/>
  <c r="AJ87" i="45"/>
  <c r="AA87" i="45"/>
  <c r="AL87" i="45"/>
  <c r="AH87" i="45"/>
  <c r="AP87" i="45"/>
  <c r="AO87" i="45"/>
  <c r="Z87" i="45"/>
  <c r="AG87" i="45"/>
  <c r="AF87" i="45"/>
  <c r="AM87" i="45"/>
  <c r="F87" i="45"/>
  <c r="AI87" i="45"/>
  <c r="AD87" i="45"/>
  <c r="AB87" i="45"/>
  <c r="AE87" i="45"/>
  <c r="AK87" i="45"/>
  <c r="AN87" i="45"/>
  <c r="V38" i="44"/>
  <c r="AN50" i="44"/>
  <c r="AN6" i="44" s="1"/>
  <c r="AH50" i="44"/>
  <c r="AJ50" i="44"/>
  <c r="AJ6" i="44" s="1"/>
  <c r="AK43" i="44"/>
  <c r="AC43" i="44"/>
  <c r="AD51" i="45"/>
  <c r="AN51" i="45"/>
  <c r="AL51" i="45"/>
  <c r="AC51" i="45"/>
  <c r="F51" i="45"/>
  <c r="AB51" i="45"/>
  <c r="AF51" i="45"/>
  <c r="AO51" i="45"/>
  <c r="AH51" i="45"/>
  <c r="AP51" i="45"/>
  <c r="AG51" i="45"/>
  <c r="AK51" i="45"/>
  <c r="AE51" i="45"/>
  <c r="AI51" i="45"/>
  <c r="AA51" i="45"/>
  <c r="Z51" i="45"/>
  <c r="AM51" i="45"/>
  <c r="AJ51" i="45"/>
  <c r="AI83" i="45"/>
  <c r="AH83" i="45"/>
  <c r="AG83" i="45"/>
  <c r="AK83" i="45"/>
  <c r="AF83" i="45"/>
  <c r="AA83" i="45"/>
  <c r="AE83" i="45"/>
  <c r="Z83" i="45"/>
  <c r="AB83" i="45"/>
  <c r="AD83" i="45"/>
  <c r="F83" i="45"/>
  <c r="AJ83" i="45"/>
  <c r="AM83" i="45"/>
  <c r="AC83" i="45"/>
  <c r="AL83" i="45"/>
  <c r="AO83" i="45"/>
  <c r="AN83" i="45"/>
  <c r="AP83" i="45"/>
  <c r="Z49" i="45"/>
  <c r="AD49" i="45"/>
  <c r="AH49" i="45"/>
  <c r="AG49" i="45"/>
  <c r="AL49" i="45"/>
  <c r="AF49" i="45"/>
  <c r="AA49" i="45"/>
  <c r="AM49" i="45"/>
  <c r="AK49" i="45"/>
  <c r="AE49" i="45"/>
  <c r="F49" i="45"/>
  <c r="AC49" i="45"/>
  <c r="AI49" i="45"/>
  <c r="AJ49" i="45"/>
  <c r="AO49" i="45"/>
  <c r="AB49" i="45"/>
  <c r="AP49" i="45"/>
  <c r="AN49" i="45"/>
  <c r="AO43" i="45"/>
  <c r="AP43" i="45"/>
  <c r="AK43" i="45"/>
  <c r="AM43" i="45"/>
  <c r="AC43" i="45"/>
  <c r="AF43" i="45"/>
  <c r="AB43" i="45"/>
  <c r="F43" i="45"/>
  <c r="AL43" i="45"/>
  <c r="AI43" i="45"/>
  <c r="AE43" i="45"/>
  <c r="AD43" i="45"/>
  <c r="AA43" i="45"/>
  <c r="AH43" i="45"/>
  <c r="AG43" i="45"/>
  <c r="AJ43" i="45"/>
  <c r="Z43" i="45"/>
  <c r="AN43" i="45"/>
  <c r="AC53" i="45"/>
  <c r="AK53" i="45"/>
  <c r="AA53" i="45"/>
  <c r="AE53" i="45"/>
  <c r="Z53" i="45"/>
  <c r="AJ53" i="45"/>
  <c r="F53" i="45"/>
  <c r="AM53" i="45"/>
  <c r="AB53" i="45"/>
  <c r="AD53" i="45"/>
  <c r="AF53" i="45"/>
  <c r="AO53" i="45"/>
  <c r="AG53" i="45"/>
  <c r="AH53" i="45"/>
  <c r="AI53" i="45"/>
  <c r="AL53" i="45"/>
  <c r="AP53" i="45"/>
  <c r="AN53" i="45"/>
  <c r="AH41" i="45"/>
  <c r="AG41" i="45"/>
  <c r="Z41" i="45"/>
  <c r="F41" i="45"/>
  <c r="AD41" i="45"/>
  <c r="AK41" i="45"/>
  <c r="AC41" i="45"/>
  <c r="AJ41" i="45"/>
  <c r="AB41" i="45"/>
  <c r="AM41" i="45"/>
  <c r="AL41" i="45"/>
  <c r="AI41" i="45"/>
  <c r="AA41" i="45"/>
  <c r="AF41" i="45"/>
  <c r="AO41" i="45"/>
  <c r="AE41" i="45"/>
  <c r="AN41" i="45"/>
  <c r="AP41" i="45"/>
  <c r="AD84" i="45"/>
  <c r="AM84" i="45"/>
  <c r="AO84" i="45"/>
  <c r="AH84" i="45"/>
  <c r="AB84" i="45"/>
  <c r="Z84" i="45"/>
  <c r="AL84" i="45"/>
  <c r="AG84" i="45"/>
  <c r="AK84" i="45"/>
  <c r="AF84" i="45"/>
  <c r="AE84" i="45"/>
  <c r="AI84" i="45"/>
  <c r="AJ84" i="45"/>
  <c r="AP84" i="45"/>
  <c r="AA84" i="45"/>
  <c r="F84" i="45"/>
  <c r="AC84" i="45"/>
  <c r="AN84" i="45"/>
  <c r="AF82" i="45"/>
  <c r="F82" i="45"/>
  <c r="AA82" i="45"/>
  <c r="AH82" i="45"/>
  <c r="AJ82" i="45"/>
  <c r="Z82" i="45"/>
  <c r="AD82" i="45"/>
  <c r="AG82" i="45"/>
  <c r="AC82" i="45"/>
  <c r="AI82" i="45"/>
  <c r="AB82" i="45"/>
  <c r="AE82" i="45"/>
  <c r="AM82" i="45"/>
  <c r="AP82" i="45"/>
  <c r="AK82" i="45"/>
  <c r="AL82" i="45"/>
  <c r="AO82" i="45"/>
  <c r="AN82" i="45"/>
  <c r="AK50" i="44"/>
  <c r="AL50" i="44"/>
  <c r="AL6" i="44" s="1"/>
  <c r="AH32" i="45"/>
  <c r="AD32" i="45"/>
  <c r="Z32" i="45"/>
  <c r="AG32" i="45"/>
  <c r="AL32" i="45"/>
  <c r="F32" i="45"/>
  <c r="AJ32" i="45"/>
  <c r="AB32" i="45"/>
  <c r="AI32" i="45"/>
  <c r="AA32" i="45"/>
  <c r="AE32" i="45"/>
  <c r="AK32" i="45"/>
  <c r="AC32" i="45"/>
  <c r="AF32" i="45"/>
  <c r="AO32" i="45"/>
  <c r="AP32" i="45"/>
  <c r="AM32" i="45"/>
  <c r="AN32" i="45"/>
  <c r="AM42" i="45"/>
  <c r="Z42" i="45"/>
  <c r="AA81" i="45"/>
  <c r="AK81" i="45"/>
  <c r="Z81" i="45"/>
  <c r="AF81" i="45"/>
  <c r="AG69" i="45"/>
  <c r="AE69" i="45"/>
  <c r="AB69" i="45"/>
  <c r="Z69" i="45"/>
  <c r="F69" i="45"/>
  <c r="AC69" i="45"/>
  <c r="AK69" i="45"/>
  <c r="AJ69" i="45"/>
  <c r="AF69" i="45"/>
  <c r="AM69" i="45"/>
  <c r="AO69" i="45"/>
  <c r="AH69" i="45"/>
  <c r="AI69" i="45"/>
  <c r="AL69" i="45"/>
  <c r="AD69" i="45"/>
  <c r="AA69" i="45"/>
  <c r="AN69" i="45"/>
  <c r="AP69" i="45"/>
  <c r="AM18" i="45"/>
  <c r="AE18" i="45"/>
  <c r="AB18" i="45"/>
  <c r="AD18" i="45"/>
  <c r="AF18" i="45"/>
  <c r="AJ18" i="45"/>
  <c r="AA18" i="45"/>
  <c r="AH18" i="45"/>
  <c r="Z18" i="45"/>
  <c r="AG18" i="45"/>
  <c r="F18" i="45"/>
  <c r="AC18" i="45"/>
  <c r="AI18" i="45"/>
  <c r="AO18" i="45"/>
  <c r="AK18" i="45"/>
  <c r="AL18" i="45"/>
  <c r="AP18" i="45"/>
  <c r="AN18" i="45"/>
  <c r="AH73" i="45"/>
  <c r="AB73" i="45"/>
  <c r="AK73" i="45"/>
  <c r="AJ73" i="45"/>
  <c r="AI73" i="45"/>
  <c r="AA73" i="45"/>
  <c r="AC73" i="45"/>
  <c r="AL73" i="45"/>
  <c r="AO73" i="45"/>
  <c r="AM73" i="45"/>
  <c r="AD73" i="45"/>
  <c r="F73" i="45"/>
  <c r="Z73" i="45"/>
  <c r="AE73" i="45"/>
  <c r="AG73" i="45"/>
  <c r="AF73" i="45"/>
  <c r="AP73" i="45"/>
  <c r="AN73" i="45"/>
  <c r="AB20" i="45"/>
  <c r="AC20" i="45"/>
  <c r="Z20" i="45"/>
  <c r="AI20" i="45"/>
  <c r="AH20" i="45"/>
  <c r="AA20" i="45"/>
  <c r="AD20" i="45"/>
  <c r="AF20" i="45"/>
  <c r="AK20" i="45"/>
  <c r="AM20" i="45"/>
  <c r="AL20" i="45"/>
  <c r="F20" i="45"/>
  <c r="AE20" i="45"/>
  <c r="AJ20" i="45"/>
  <c r="AG20" i="45"/>
  <c r="AO20" i="45"/>
  <c r="AP20" i="45"/>
  <c r="AN20" i="45"/>
  <c r="AO50" i="45"/>
  <c r="AE50" i="45"/>
  <c r="AM50" i="45"/>
  <c r="F50" i="45"/>
  <c r="AI50" i="45"/>
  <c r="AB50" i="45"/>
  <c r="AA50" i="45"/>
  <c r="AC50" i="45"/>
  <c r="AH50" i="45"/>
  <c r="AJ50" i="45"/>
  <c r="AL50" i="45"/>
  <c r="AP50" i="45"/>
  <c r="Z50" i="45"/>
  <c r="AF50" i="45"/>
  <c r="AK50" i="45"/>
  <c r="AD50" i="45"/>
  <c r="AG50" i="45"/>
  <c r="AN50" i="45"/>
  <c r="V35" i="44"/>
  <c r="V76" i="44"/>
  <c r="AP50" i="44"/>
  <c r="AP6" i="44" s="1"/>
  <c r="AG50" i="44"/>
  <c r="AD43" i="44"/>
  <c r="AA43" i="44"/>
  <c r="AJ45" i="45"/>
  <c r="AD45" i="45"/>
  <c r="AO45" i="45"/>
  <c r="AM45" i="45"/>
  <c r="AP45" i="45"/>
  <c r="AL45" i="45"/>
  <c r="AG45" i="45"/>
  <c r="AF45" i="45"/>
  <c r="AK45" i="45"/>
  <c r="AE45" i="45"/>
  <c r="AB45" i="45"/>
  <c r="F45" i="45"/>
  <c r="AI45" i="45"/>
  <c r="AC45" i="45"/>
  <c r="AA45" i="45"/>
  <c r="AH45" i="45"/>
  <c r="Z45" i="45"/>
  <c r="AN45" i="45"/>
  <c r="AO79" i="45"/>
  <c r="AA79" i="45"/>
  <c r="F79" i="45"/>
  <c r="AH79" i="45"/>
  <c r="AK79" i="45"/>
  <c r="Z79" i="45"/>
  <c r="AP79" i="45"/>
  <c r="AG79" i="45"/>
  <c r="AF79" i="45"/>
  <c r="AJ79" i="45"/>
  <c r="AE79" i="45"/>
  <c r="AM79" i="45"/>
  <c r="AI79" i="45"/>
  <c r="AC79" i="45"/>
  <c r="AD79" i="45"/>
  <c r="AL79" i="45"/>
  <c r="AB79" i="45"/>
  <c r="AN79" i="45"/>
  <c r="AA75" i="45"/>
  <c r="AD75" i="45"/>
  <c r="AI75" i="45"/>
  <c r="AH75" i="45"/>
  <c r="Z75" i="45"/>
  <c r="AG75" i="45"/>
  <c r="AF75" i="45"/>
  <c r="AM75" i="45"/>
  <c r="AE75" i="45"/>
  <c r="F75" i="45"/>
  <c r="AJ75" i="45"/>
  <c r="AB75" i="45"/>
  <c r="AL75" i="45"/>
  <c r="AK75" i="45"/>
  <c r="AC75" i="45"/>
  <c r="AP75" i="45"/>
  <c r="AN75" i="45"/>
  <c r="AO75" i="45"/>
  <c r="AM23" i="45"/>
  <c r="AP23" i="45"/>
  <c r="AD23" i="45"/>
  <c r="AC23" i="45"/>
  <c r="AL23" i="45"/>
  <c r="AA23" i="45"/>
  <c r="AH23" i="45"/>
  <c r="Z23" i="45"/>
  <c r="AO23" i="45"/>
  <c r="AG23" i="45"/>
  <c r="AF23" i="45"/>
  <c r="AJ23" i="45"/>
  <c r="F23" i="45"/>
  <c r="AI23" i="45"/>
  <c r="AB23" i="45"/>
  <c r="AE23" i="45"/>
  <c r="AK23" i="45"/>
  <c r="AN23" i="45"/>
  <c r="AJ63" i="45"/>
  <c r="AC63" i="45"/>
  <c r="AH63" i="45"/>
  <c r="AL63" i="45"/>
  <c r="Z63" i="45"/>
  <c r="AG63" i="45"/>
  <c r="AM63" i="45"/>
  <c r="F63" i="45"/>
  <c r="AF63" i="45"/>
  <c r="AO63" i="45"/>
  <c r="AB63" i="45"/>
  <c r="AE63" i="45"/>
  <c r="AK63" i="45"/>
  <c r="AP63" i="45"/>
  <c r="AA63" i="45"/>
  <c r="AI63" i="45"/>
  <c r="AD63" i="45"/>
  <c r="AN63" i="45"/>
  <c r="AI55" i="45"/>
  <c r="F55" i="45"/>
  <c r="AA55" i="45"/>
  <c r="AB55" i="45"/>
  <c r="AC55" i="45"/>
  <c r="AH55" i="45"/>
  <c r="Z55" i="45"/>
  <c r="AK55" i="45"/>
  <c r="AF55" i="45"/>
  <c r="AD55" i="45"/>
  <c r="AJ55" i="45"/>
  <c r="AG55" i="45"/>
  <c r="AE55" i="45"/>
  <c r="AO55" i="45"/>
  <c r="AL55" i="45"/>
  <c r="AP55" i="45"/>
  <c r="AM55" i="45"/>
  <c r="AN55" i="45"/>
  <c r="AF25" i="45"/>
  <c r="AM25" i="45"/>
  <c r="AE25" i="45"/>
  <c r="AL25" i="45"/>
  <c r="AN25" i="45"/>
  <c r="AI25" i="45"/>
  <c r="F25" i="45"/>
  <c r="AJ25" i="45"/>
  <c r="AA25" i="45"/>
  <c r="AC25" i="45"/>
  <c r="AG25" i="45"/>
  <c r="AD25" i="45"/>
  <c r="AO25" i="45"/>
  <c r="Z25" i="45"/>
  <c r="AK25" i="45"/>
  <c r="AH25" i="45"/>
  <c r="AB25" i="45"/>
  <c r="AP25" i="45"/>
  <c r="AF64" i="45"/>
  <c r="AI64" i="45"/>
  <c r="AH64" i="45"/>
  <c r="AG64" i="45"/>
  <c r="AB64" i="45"/>
  <c r="AA64" i="45"/>
  <c r="Z64" i="45"/>
  <c r="AD64" i="45"/>
  <c r="AJ64" i="45"/>
  <c r="AM64" i="45"/>
  <c r="F64" i="45"/>
  <c r="AK64" i="45"/>
  <c r="AE64" i="45"/>
  <c r="AC64" i="45"/>
  <c r="AL64" i="45"/>
  <c r="AP64" i="45"/>
  <c r="AN64" i="45"/>
  <c r="AO64" i="45"/>
  <c r="AC74" i="43"/>
  <c r="AI74" i="43"/>
  <c r="AC87" i="43"/>
  <c r="AI87" i="43"/>
  <c r="AC15" i="43"/>
  <c r="AI15" i="43"/>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AC88" i="43"/>
  <c r="AI88" i="43"/>
  <c r="AC18" i="43"/>
  <c r="AI18" i="43"/>
  <c r="AC81" i="43"/>
  <c r="AI81" i="43"/>
  <c r="AC34" i="43"/>
  <c r="AI34" i="43"/>
  <c r="AC80" i="43"/>
  <c r="AI80" i="43"/>
  <c r="AC85" i="43"/>
  <c r="AI85" i="43"/>
  <c r="AC17" i="43"/>
  <c r="AI17" i="43"/>
  <c r="AC50" i="43"/>
  <c r="AC6" i="43" s="1"/>
  <c r="AI50" i="43"/>
  <c r="AC22" i="43"/>
  <c r="AI22" i="43"/>
  <c r="AC40" i="43"/>
  <c r="AI40" i="43"/>
  <c r="AC49" i="43"/>
  <c r="AI49" i="43"/>
  <c r="AC90" i="43"/>
  <c r="AI90" i="43"/>
  <c r="AC71" i="43"/>
  <c r="AI71" i="43"/>
  <c r="AC26" i="43"/>
  <c r="AI26" i="43"/>
  <c r="AC68" i="43"/>
  <c r="AI68" i="43"/>
  <c r="AO6" i="44"/>
  <c r="AK6" i="44"/>
  <c r="AF6" i="44"/>
  <c r="AC72" i="44"/>
  <c r="AD72" i="44"/>
  <c r="AN72" i="44"/>
  <c r="AA72" i="44"/>
  <c r="AG72" i="44"/>
  <c r="AG9" i="44" s="1"/>
  <c r="AJ72" i="44"/>
  <c r="AL72" i="44"/>
  <c r="AB72" i="44"/>
  <c r="AP72" i="44"/>
  <c r="AO72" i="44"/>
  <c r="AH72" i="44"/>
  <c r="AM72" i="44"/>
  <c r="AF72" i="44"/>
  <c r="AK72" i="44"/>
  <c r="Z72" i="44"/>
  <c r="AE72" i="44"/>
  <c r="F72" i="44"/>
  <c r="AI35" i="44"/>
  <c r="I6" i="44"/>
  <c r="AO91" i="44"/>
  <c r="AM91" i="44"/>
  <c r="AN91" i="44"/>
  <c r="AP91" i="44"/>
  <c r="AH91" i="44"/>
  <c r="AD91" i="44"/>
  <c r="AG58" i="44"/>
  <c r="F58" i="44"/>
  <c r="AE58" i="44"/>
  <c r="Z58" i="44"/>
  <c r="AF58" i="44"/>
  <c r="AP58" i="44"/>
  <c r="AD58" i="44"/>
  <c r="AJ58" i="44"/>
  <c r="AA58" i="44"/>
  <c r="AH58" i="44"/>
  <c r="AC58" i="44"/>
  <c r="AB58" i="44"/>
  <c r="AO58" i="44"/>
  <c r="AK58" i="44"/>
  <c r="AK2" i="44" s="1"/>
  <c r="AL58" i="44"/>
  <c r="AM58" i="44"/>
  <c r="AN58" i="44"/>
  <c r="AE6" i="44"/>
  <c r="AI38" i="44"/>
  <c r="AH27" i="44"/>
  <c r="AA27" i="44"/>
  <c r="AD27" i="44"/>
  <c r="AE27" i="44"/>
  <c r="AL27" i="44"/>
  <c r="AG27" i="44"/>
  <c r="AJ27" i="44"/>
  <c r="F27" i="44"/>
  <c r="AF27" i="44"/>
  <c r="AC27" i="44"/>
  <c r="AK27" i="44"/>
  <c r="Z27" i="44"/>
  <c r="AB27" i="44"/>
  <c r="AM27" i="44"/>
  <c r="AN27" i="44"/>
  <c r="AO27" i="44"/>
  <c r="AP27" i="44"/>
  <c r="AD92" i="44"/>
  <c r="Z92" i="44"/>
  <c r="F92" i="44"/>
  <c r="AF92" i="44"/>
  <c r="AL92" i="44"/>
  <c r="AC3" i="21"/>
  <c r="AC6" i="21"/>
  <c r="DE69" i="1"/>
  <c r="AP88" i="21"/>
  <c r="AC88" i="21"/>
  <c r="AF88" i="21"/>
  <c r="AE88" i="21"/>
  <c r="AB88" i="21"/>
  <c r="AG88" i="21"/>
  <c r="AN88" i="21"/>
  <c r="AH88" i="21"/>
  <c r="AK88" i="21"/>
  <c r="Z88" i="21"/>
  <c r="AM88" i="21"/>
  <c r="AD88" i="21"/>
  <c r="AO88" i="21"/>
  <c r="AJ88" i="21"/>
  <c r="AL88" i="21"/>
  <c r="V35" i="43"/>
  <c r="Y35" i="43" s="1"/>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F85" i="43"/>
  <c r="AE85" i="43"/>
  <c r="AP85" i="43"/>
  <c r="AD85" i="43"/>
  <c r="AA85" i="43"/>
  <c r="Z85" i="43"/>
  <c r="AB85" i="43"/>
  <c r="AH85" i="43"/>
  <c r="AG85" i="43"/>
  <c r="AF85" i="43"/>
  <c r="AM85" i="43"/>
  <c r="AJ85" i="43"/>
  <c r="AK85" i="43"/>
  <c r="AL85" i="43"/>
  <c r="AO85" i="43"/>
  <c r="AN85" i="43"/>
  <c r="V76" i="43"/>
  <c r="Y76" i="43" s="1"/>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AD25" i="43"/>
  <c r="AE25" i="43"/>
  <c r="AL25" i="43"/>
  <c r="AB25" i="43"/>
  <c r="Z25" i="43"/>
  <c r="AP25" i="43"/>
  <c r="AA25" i="43"/>
  <c r="AH25" i="43"/>
  <c r="AJ25" i="43"/>
  <c r="AM25" i="43"/>
  <c r="AO25" i="43"/>
  <c r="AG25" i="43"/>
  <c r="AF25" i="43"/>
  <c r="F25" i="43"/>
  <c r="AK25" i="43"/>
  <c r="AN25" i="43"/>
  <c r="V62" i="43"/>
  <c r="Y62" i="43" s="1"/>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Y70" i="43" s="1"/>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Y28" i="43" s="1"/>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V38" i="43"/>
  <c r="Y38" i="43" s="1"/>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H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R19" i="1"/>
  <c r="BT45" i="1"/>
  <c r="BL45" i="1"/>
  <c r="BK40" i="1"/>
  <c r="BQ19" i="1"/>
  <c r="BL40" i="1"/>
  <c r="BO45" i="1"/>
  <c r="BR45" i="1"/>
  <c r="BT40" i="1"/>
  <c r="BS40" i="1"/>
  <c r="BN45" i="1"/>
  <c r="BM40" i="1"/>
  <c r="BO40" i="1"/>
  <c r="BM45" i="1"/>
  <c r="BK45" i="1"/>
  <c r="BN40" i="1"/>
  <c r="BP45" i="1"/>
  <c r="BS45" i="1"/>
  <c r="BQ40" i="1"/>
  <c r="BV40" i="1"/>
  <c r="BM25" i="1"/>
  <c r="BU45" i="1"/>
  <c r="BV45" i="1"/>
  <c r="BU40" i="1"/>
  <c r="BR40" i="1"/>
  <c r="BV33" i="1"/>
  <c r="AX6" i="1" s="1"/>
  <c r="AY6" i="1" s="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R60" i="1"/>
  <c r="BU87" i="1"/>
  <c r="BP87" i="1"/>
  <c r="BR87" i="1"/>
  <c r="BK87" i="1"/>
  <c r="BT87" i="1"/>
  <c r="BS87" i="1"/>
  <c r="BM87" i="1"/>
  <c r="BV87" i="1"/>
  <c r="BQ87" i="1"/>
  <c r="BO87"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T17" i="1"/>
  <c r="BQ75" i="1"/>
  <c r="BQ46" i="1"/>
  <c r="BU75" i="1"/>
  <c r="BN46" i="1"/>
  <c r="BS75" i="1"/>
  <c r="BS17" i="1"/>
  <c r="BP64" i="1"/>
  <c r="BT64" i="1"/>
  <c r="BV64" i="1"/>
  <c r="BM64" i="1"/>
  <c r="BK64" i="1"/>
  <c r="BN64" i="1"/>
  <c r="BU64" i="1"/>
  <c r="BN83"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DA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A74" i="1"/>
  <c r="CY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Y38" i="1" s="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67" i="1"/>
  <c r="BP67" i="1"/>
  <c r="BS67" i="1"/>
  <c r="BR67" i="1"/>
  <c r="BQ67" i="1"/>
  <c r="BV67" i="1"/>
  <c r="BM67" i="1"/>
  <c r="BN67" i="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W58" i="9"/>
  <c r="S10" i="9"/>
  <c r="T10" i="9"/>
  <c r="U10" i="9" s="1"/>
  <c r="W16" i="9"/>
  <c r="W26" i="9"/>
  <c r="W23" i="9"/>
  <c r="W50" i="9"/>
  <c r="W64" i="9"/>
  <c r="DD74" i="1" l="1"/>
  <c r="CX74" i="1"/>
  <c r="BL37" i="1"/>
  <c r="DB74" i="1"/>
  <c r="CZ74" i="1"/>
  <c r="BN37" i="1"/>
  <c r="BT37" i="1"/>
  <c r="AA7" i="46"/>
  <c r="AC9" i="46"/>
  <c r="CT74" i="1"/>
  <c r="DE74" i="1"/>
  <c r="BV37" i="1"/>
  <c r="BP37" i="1"/>
  <c r="AL7" i="46"/>
  <c r="CV74" i="1"/>
  <c r="BQ37" i="1"/>
  <c r="AP9" i="46"/>
  <c r="AK2" i="46"/>
  <c r="DC74" i="1"/>
  <c r="BU37" i="1"/>
  <c r="BR37" i="1"/>
  <c r="BM37" i="1"/>
  <c r="CW74" i="1"/>
  <c r="BS37" i="1"/>
  <c r="BO37" i="1"/>
  <c r="AA6" i="47"/>
  <c r="V78" i="46"/>
  <c r="V78" i="47"/>
  <c r="X76" i="46"/>
  <c r="Y76" i="46"/>
  <c r="X28" i="46"/>
  <c r="Y28" i="46"/>
  <c r="AN2" i="46"/>
  <c r="Y62" i="46"/>
  <c r="X62" i="46"/>
  <c r="X38" i="46"/>
  <c r="Y38" i="46"/>
  <c r="X35" i="46"/>
  <c r="AC35" i="46" s="1"/>
  <c r="Y35" i="46"/>
  <c r="Y70" i="46"/>
  <c r="X70" i="46"/>
  <c r="AD2" i="46"/>
  <c r="AB6" i="47"/>
  <c r="AP60" i="45"/>
  <c r="AO81" i="45"/>
  <c r="AL81" i="45"/>
  <c r="AN42" i="45"/>
  <c r="AE81" i="45"/>
  <c r="AC81" i="45"/>
  <c r="F42" i="45"/>
  <c r="F81" i="45"/>
  <c r="AI81" i="45"/>
  <c r="AE42" i="45"/>
  <c r="AG81" i="45"/>
  <c r="AJ81" i="45"/>
  <c r="AO42" i="45"/>
  <c r="AG70" i="46"/>
  <c r="AG4" i="46" s="1"/>
  <c r="G2" i="46"/>
  <c r="H2" i="46" s="1"/>
  <c r="AN81" i="45"/>
  <c r="AD81" i="45"/>
  <c r="AB81" i="45"/>
  <c r="AH60" i="45"/>
  <c r="AP81" i="45"/>
  <c r="AM81" i="45"/>
  <c r="AH6" i="47"/>
  <c r="AE6" i="47"/>
  <c r="AO3" i="47"/>
  <c r="AL3" i="47"/>
  <c r="AO6" i="47"/>
  <c r="AO2" i="46"/>
  <c r="AK6" i="47"/>
  <c r="X38" i="47"/>
  <c r="Y38" i="47"/>
  <c r="AJ58" i="47"/>
  <c r="AJ2" i="47" s="1"/>
  <c r="AB58" i="47"/>
  <c r="AB2" i="47" s="1"/>
  <c r="AF58" i="47"/>
  <c r="AF2" i="47" s="1"/>
  <c r="Z58" i="47"/>
  <c r="Z2" i="47" s="1"/>
  <c r="AD58" i="47"/>
  <c r="AD2" i="47" s="1"/>
  <c r="AG58" i="47"/>
  <c r="AP58" i="47"/>
  <c r="AP2" i="47" s="1"/>
  <c r="AE58" i="47"/>
  <c r="AE2" i="47" s="1"/>
  <c r="F58" i="47"/>
  <c r="AC58" i="47"/>
  <c r="AC2" i="47" s="1"/>
  <c r="AL58" i="47"/>
  <c r="AL2" i="47" s="1"/>
  <c r="AI58" i="47"/>
  <c r="AI2" i="47" s="1"/>
  <c r="AH58" i="47"/>
  <c r="AH2" i="47" s="1"/>
  <c r="AA58" i="47"/>
  <c r="AO58" i="47"/>
  <c r="AO2" i="47" s="1"/>
  <c r="AM58" i="47"/>
  <c r="AM2" i="47" s="1"/>
  <c r="AK58" i="47"/>
  <c r="AK2" i="47" s="1"/>
  <c r="AN58" i="47"/>
  <c r="AN2" i="47" s="1"/>
  <c r="AA3" i="47"/>
  <c r="AB3" i="47"/>
  <c r="AB31" i="45"/>
  <c r="AE31" i="45"/>
  <c r="AM17" i="45"/>
  <c r="Z6" i="47"/>
  <c r="G6" i="47"/>
  <c r="H6" i="47" s="1"/>
  <c r="AG16" i="47"/>
  <c r="AD16" i="47"/>
  <c r="AL16" i="47"/>
  <c r="AE16" i="47"/>
  <c r="AF16" i="47"/>
  <c r="F16" i="47"/>
  <c r="AJ16" i="47"/>
  <c r="AC16" i="47"/>
  <c r="AK16" i="47"/>
  <c r="AB16" i="47"/>
  <c r="AO16" i="47"/>
  <c r="AI16" i="47"/>
  <c r="AA16" i="47"/>
  <c r="AM16" i="47"/>
  <c r="Z16" i="47"/>
  <c r="AH16" i="47"/>
  <c r="AN16" i="47"/>
  <c r="AP16" i="47"/>
  <c r="AD3" i="47"/>
  <c r="AM3" i="47"/>
  <c r="AH72" i="47"/>
  <c r="AH9" i="47" s="1"/>
  <c r="AE72" i="47"/>
  <c r="AE9" i="47" s="1"/>
  <c r="AD72" i="47"/>
  <c r="AD9" i="47" s="1"/>
  <c r="Z72" i="47"/>
  <c r="G9" i="47" s="1"/>
  <c r="H9" i="47" s="1"/>
  <c r="AG72" i="47"/>
  <c r="AG9" i="47" s="1"/>
  <c r="F72" i="47"/>
  <c r="I9" i="47" s="1"/>
  <c r="AO72" i="47"/>
  <c r="AL72" i="47"/>
  <c r="AL9" i="47" s="1"/>
  <c r="AC72" i="47"/>
  <c r="AJ72" i="47"/>
  <c r="AJ9" i="47" s="1"/>
  <c r="AK72" i="47"/>
  <c r="AK9" i="47" s="1"/>
  <c r="AB72" i="47"/>
  <c r="AB9" i="47" s="1"/>
  <c r="AI72" i="47"/>
  <c r="AI9" i="47" s="1"/>
  <c r="AA72" i="47"/>
  <c r="AF72" i="47"/>
  <c r="AP72" i="47"/>
  <c r="AP9" i="47" s="1"/>
  <c r="AM72" i="47"/>
  <c r="AN72" i="47"/>
  <c r="AN9" i="47" s="1"/>
  <c r="AM6" i="47"/>
  <c r="AG31" i="45"/>
  <c r="AJ31" i="45"/>
  <c r="AB17" i="45"/>
  <c r="AN6" i="47"/>
  <c r="AD6" i="47"/>
  <c r="Y28" i="47"/>
  <c r="X28" i="47"/>
  <c r="AG2" i="47"/>
  <c r="AH67" i="47"/>
  <c r="AH7" i="47" s="1"/>
  <c r="AD67" i="47"/>
  <c r="AD7" i="47" s="1"/>
  <c r="F67" i="47"/>
  <c r="I7" i="47" s="1"/>
  <c r="AA67" i="47"/>
  <c r="AC67" i="47"/>
  <c r="AC7" i="47" s="1"/>
  <c r="AM67" i="47"/>
  <c r="AM7" i="47" s="1"/>
  <c r="AO67" i="47"/>
  <c r="AO7" i="47" s="1"/>
  <c r="AK67" i="47"/>
  <c r="AK7" i="47" s="1"/>
  <c r="AP67" i="47"/>
  <c r="AI67" i="47"/>
  <c r="AI7" i="47" s="1"/>
  <c r="AF67" i="47"/>
  <c r="AF7" i="47" s="1"/>
  <c r="AJ67" i="47"/>
  <c r="AJ7" i="47" s="1"/>
  <c r="Z67" i="47"/>
  <c r="Z7" i="47" s="1"/>
  <c r="AB67" i="47"/>
  <c r="AB7" i="47" s="1"/>
  <c r="AG67" i="47"/>
  <c r="AG7" i="47" s="1"/>
  <c r="AE67" i="47"/>
  <c r="AE7" i="47" s="1"/>
  <c r="AL67" i="47"/>
  <c r="AL7" i="47" s="1"/>
  <c r="AN67" i="47"/>
  <c r="AN7" i="47" s="1"/>
  <c r="I3" i="47"/>
  <c r="AE3" i="47"/>
  <c r="Z31" i="45"/>
  <c r="AO31" i="45"/>
  <c r="AC57" i="47"/>
  <c r="AG57" i="47"/>
  <c r="Z57" i="47"/>
  <c r="F57" i="47"/>
  <c r="AH57" i="47"/>
  <c r="AD57" i="47"/>
  <c r="AL57" i="47"/>
  <c r="AF57" i="47"/>
  <c r="AE57" i="47"/>
  <c r="AB57" i="47"/>
  <c r="AA57" i="47"/>
  <c r="AP57" i="47"/>
  <c r="AJ57" i="47"/>
  <c r="AI57" i="47"/>
  <c r="AK57" i="47"/>
  <c r="AO57" i="47"/>
  <c r="AM57" i="47"/>
  <c r="AN57" i="47"/>
  <c r="AC9" i="47"/>
  <c r="AP6" i="47"/>
  <c r="AJ6" i="47"/>
  <c r="AA2" i="47"/>
  <c r="AI3" i="47"/>
  <c r="AG3" i="47"/>
  <c r="X35" i="47"/>
  <c r="Y35" i="47"/>
  <c r="AL31" i="45"/>
  <c r="AM31" i="45"/>
  <c r="AM9" i="47"/>
  <c r="AG6" i="47"/>
  <c r="AC6" i="47"/>
  <c r="G2" i="47"/>
  <c r="Y62" i="47"/>
  <c r="X62" i="47"/>
  <c r="AJ3" i="47"/>
  <c r="AK3" i="47"/>
  <c r="AP31" i="45"/>
  <c r="AF31" i="45"/>
  <c r="AP7" i="47"/>
  <c r="AA9" i="47"/>
  <c r="AF6" i="47"/>
  <c r="X70" i="47"/>
  <c r="Y70" i="47"/>
  <c r="I2" i="47"/>
  <c r="AN3" i="47"/>
  <c r="G3" i="47"/>
  <c r="H3" i="47" s="1"/>
  <c r="Z3" i="47"/>
  <c r="AP3" i="47"/>
  <c r="AN31" i="45"/>
  <c r="AA31" i="45"/>
  <c r="AA7" i="47"/>
  <c r="AO9" i="47"/>
  <c r="AF9" i="47"/>
  <c r="AI6" i="47"/>
  <c r="I6" i="47"/>
  <c r="AL91" i="47"/>
  <c r="F91" i="47"/>
  <c r="AB91" i="47"/>
  <c r="AI91" i="47"/>
  <c r="AG91" i="47"/>
  <c r="AE91" i="47"/>
  <c r="AF91" i="47"/>
  <c r="AH91" i="47"/>
  <c r="AA91" i="47"/>
  <c r="Z91" i="47"/>
  <c r="AC91" i="47"/>
  <c r="AD91" i="47"/>
  <c r="AJ91" i="47"/>
  <c r="AK91" i="47"/>
  <c r="AP91" i="47"/>
  <c r="AM91" i="47"/>
  <c r="AO91" i="47"/>
  <c r="AN91" i="47"/>
  <c r="AG27" i="47"/>
  <c r="AF27" i="47"/>
  <c r="AD27" i="47"/>
  <c r="AC27" i="47"/>
  <c r="AA27" i="47"/>
  <c r="AJ27" i="47"/>
  <c r="AM27" i="47"/>
  <c r="AK27" i="47"/>
  <c r="Z27" i="47"/>
  <c r="AL27" i="47"/>
  <c r="AE27" i="47"/>
  <c r="AI27" i="47"/>
  <c r="AO27" i="47"/>
  <c r="F27" i="47"/>
  <c r="AP27" i="47"/>
  <c r="AH27" i="47"/>
  <c r="AB27" i="47"/>
  <c r="AN27" i="47"/>
  <c r="AH3" i="47"/>
  <c r="AC3" i="47"/>
  <c r="AF3" i="47"/>
  <c r="AC92" i="47"/>
  <c r="AA92" i="47"/>
  <c r="AI92" i="47"/>
  <c r="AL92" i="47"/>
  <c r="AM92" i="47"/>
  <c r="AJ92" i="47"/>
  <c r="AK92" i="47"/>
  <c r="AB92" i="47"/>
  <c r="AH92" i="47"/>
  <c r="AD92" i="47"/>
  <c r="AO92" i="47"/>
  <c r="Z92" i="47"/>
  <c r="AG92" i="47"/>
  <c r="AE92" i="47"/>
  <c r="F92" i="47"/>
  <c r="AF92" i="47"/>
  <c r="AP92" i="47"/>
  <c r="AN92" i="47"/>
  <c r="X76" i="47"/>
  <c r="Y76" i="47"/>
  <c r="BQ17" i="1"/>
  <c r="BO17" i="1"/>
  <c r="BR17" i="1"/>
  <c r="BM17" i="1"/>
  <c r="BP17" i="1"/>
  <c r="BN17" i="1"/>
  <c r="BV17" i="1"/>
  <c r="BU17" i="1"/>
  <c r="BK17" i="1"/>
  <c r="AH17" i="45"/>
  <c r="AD17" i="45"/>
  <c r="AK17" i="45"/>
  <c r="AA17" i="45"/>
  <c r="AC17" i="45"/>
  <c r="AF17" i="45"/>
  <c r="F17" i="45"/>
  <c r="AE17" i="45"/>
  <c r="AL34" i="45"/>
  <c r="AN17" i="45"/>
  <c r="AI17" i="45"/>
  <c r="Z34" i="45"/>
  <c r="AJ17" i="45"/>
  <c r="Z17" i="45"/>
  <c r="DB43" i="1"/>
  <c r="AO17" i="45"/>
  <c r="AP17" i="45"/>
  <c r="AG17" i="45"/>
  <c r="CV43" i="1"/>
  <c r="AE34" i="45"/>
  <c r="AG34" i="45"/>
  <c r="DE43" i="1"/>
  <c r="AK34" i="45"/>
  <c r="AA34" i="45"/>
  <c r="CZ43" i="1"/>
  <c r="AM34" i="45"/>
  <c r="AB34" i="45"/>
  <c r="CY43" i="1"/>
  <c r="CW43" i="1"/>
  <c r="AJ34" i="45"/>
  <c r="AI34" i="45"/>
  <c r="AE74" i="45"/>
  <c r="DD43" i="1"/>
  <c r="CU43" i="1"/>
  <c r="AN34" i="45"/>
  <c r="AF34" i="45"/>
  <c r="AC34" i="45"/>
  <c r="AG74" i="45"/>
  <c r="CT43" i="1"/>
  <c r="DC43" i="1"/>
  <c r="AP34" i="45"/>
  <c r="AO34" i="45"/>
  <c r="AD34" i="45"/>
  <c r="AL74" i="45"/>
  <c r="CX43" i="1"/>
  <c r="AH34" i="45"/>
  <c r="F74" i="45"/>
  <c r="BS60" i="1"/>
  <c r="BQ60" i="1"/>
  <c r="BM60" i="1"/>
  <c r="BP60" i="1"/>
  <c r="BU60" i="1"/>
  <c r="BK60" i="1"/>
  <c r="BO60" i="1"/>
  <c r="BL60" i="1"/>
  <c r="BV60" i="1"/>
  <c r="BN60" i="1"/>
  <c r="AN6" i="45"/>
  <c r="AG6" i="44"/>
  <c r="AD6" i="45"/>
  <c r="AK6" i="45"/>
  <c r="CW21" i="1"/>
  <c r="Z6" i="44"/>
  <c r="AN60" i="45"/>
  <c r="AO60" i="45"/>
  <c r="AJ60" i="45"/>
  <c r="AH61" i="44"/>
  <c r="BB7" i="1"/>
  <c r="BC7" i="1" s="1"/>
  <c r="BY7" i="1" s="1"/>
  <c r="CT21" i="1"/>
  <c r="CT2" i="1" s="1"/>
  <c r="Z91" i="44"/>
  <c r="AA91" i="44"/>
  <c r="AK91" i="44"/>
  <c r="F60" i="45"/>
  <c r="AL60" i="45"/>
  <c r="AD60" i="45"/>
  <c r="AK15" i="45"/>
  <c r="F15" i="45"/>
  <c r="AF15" i="45"/>
  <c r="AM61" i="44"/>
  <c r="AI42" i="44"/>
  <c r="AD42" i="44"/>
  <c r="AO42" i="44"/>
  <c r="AJ42" i="44"/>
  <c r="AG42" i="44"/>
  <c r="AN42" i="44"/>
  <c r="AE42" i="44"/>
  <c r="AH42" i="44"/>
  <c r="AC42" i="44"/>
  <c r="AF42" i="44"/>
  <c r="AK42" i="44"/>
  <c r="AB42" i="44"/>
  <c r="AP42" i="44"/>
  <c r="F42" i="44"/>
  <c r="AA42" i="44"/>
  <c r="AM42" i="44"/>
  <c r="Z42" i="44"/>
  <c r="AL42" i="44"/>
  <c r="CY21" i="1"/>
  <c r="AL91" i="44"/>
  <c r="AB91" i="44"/>
  <c r="AG60" i="45"/>
  <c r="AC60" i="45"/>
  <c r="AO15" i="45"/>
  <c r="AD15" i="45"/>
  <c r="AL61" i="44"/>
  <c r="AL3" i="44" s="1"/>
  <c r="CZ21" i="1"/>
  <c r="AE91" i="44"/>
  <c r="AJ91" i="44"/>
  <c r="AD9" i="44"/>
  <c r="AA60" i="45"/>
  <c r="AI60" i="45"/>
  <c r="AL15" i="45"/>
  <c r="AP15" i="45"/>
  <c r="DD21" i="1"/>
  <c r="DE21" i="1"/>
  <c r="AF91" i="44"/>
  <c r="F91" i="44"/>
  <c r="AC9" i="44"/>
  <c r="AM60" i="45"/>
  <c r="AE60" i="45"/>
  <c r="AC15" i="45"/>
  <c r="AA15" i="45"/>
  <c r="Z2" i="46"/>
  <c r="CX21" i="1"/>
  <c r="CU21" i="1"/>
  <c r="CU2" i="1" s="1"/>
  <c r="AG91" i="44"/>
  <c r="AC91" i="44"/>
  <c r="AF60" i="45"/>
  <c r="AB60" i="45"/>
  <c r="AI15" i="45"/>
  <c r="AH15" i="45"/>
  <c r="DB21" i="1"/>
  <c r="Z60" i="45"/>
  <c r="AJ15" i="45"/>
  <c r="AH3" i="44"/>
  <c r="AE49" i="44"/>
  <c r="AE9" i="44" s="1"/>
  <c r="AJ3" i="44"/>
  <c r="AI2" i="44"/>
  <c r="CR16" i="1"/>
  <c r="DE16" i="1" s="1"/>
  <c r="AL42" i="45"/>
  <c r="AK42" i="45"/>
  <c r="AD74" i="45"/>
  <c r="AK74" i="45"/>
  <c r="AM21" i="45"/>
  <c r="AE21" i="45"/>
  <c r="F21" i="45"/>
  <c r="AJ42" i="45"/>
  <c r="AF42" i="45"/>
  <c r="Z74" i="45"/>
  <c r="AM74" i="45"/>
  <c r="AL21" i="45"/>
  <c r="AD21" i="45"/>
  <c r="BI91" i="1"/>
  <c r="BS91" i="1" s="1"/>
  <c r="AP2" i="44"/>
  <c r="AI42" i="45"/>
  <c r="AC42" i="45"/>
  <c r="AH74" i="45"/>
  <c r="AO74" i="45"/>
  <c r="AA21" i="45"/>
  <c r="Z21" i="45"/>
  <c r="AM67" i="44"/>
  <c r="AM9" i="44"/>
  <c r="AB42" i="45"/>
  <c r="AG42" i="45"/>
  <c r="AI74" i="45"/>
  <c r="AJ74" i="45"/>
  <c r="AI21" i="45"/>
  <c r="AF21" i="45"/>
  <c r="AM3" i="44"/>
  <c r="AF67" i="44"/>
  <c r="AD42" i="45"/>
  <c r="AH42" i="45"/>
  <c r="AN74" i="45"/>
  <c r="AA74" i="45"/>
  <c r="AC74" i="45"/>
  <c r="AN21" i="45"/>
  <c r="AH21" i="45"/>
  <c r="AC21" i="45"/>
  <c r="AK21" i="45"/>
  <c r="AO9" i="44"/>
  <c r="AP42" i="45"/>
  <c r="AP16" i="45"/>
  <c r="AB74" i="45"/>
  <c r="AF74" i="45"/>
  <c r="AO21" i="45"/>
  <c r="AB21" i="45"/>
  <c r="AI9" i="44"/>
  <c r="AA67" i="44"/>
  <c r="AL67" i="44"/>
  <c r="AL7" i="44" s="1"/>
  <c r="G9" i="44"/>
  <c r="H9" i="44" s="1"/>
  <c r="AL9" i="44"/>
  <c r="AH3" i="45"/>
  <c r="AH67" i="44"/>
  <c r="AD67" i="44"/>
  <c r="AF9" i="44"/>
  <c r="AF35" i="46"/>
  <c r="AK35" i="46"/>
  <c r="AJ67" i="44"/>
  <c r="AG67" i="44"/>
  <c r="AG62" i="46"/>
  <c r="AD62" i="46"/>
  <c r="AE62" i="46"/>
  <c r="F62" i="46"/>
  <c r="AJ62" i="46"/>
  <c r="AB62" i="46"/>
  <c r="AI62" i="46"/>
  <c r="AK62" i="46"/>
  <c r="AF62" i="46"/>
  <c r="Z62" i="46"/>
  <c r="AH62" i="46"/>
  <c r="AO62" i="46"/>
  <c r="AA62" i="46"/>
  <c r="AC62" i="46"/>
  <c r="AP62" i="46"/>
  <c r="AM62" i="46"/>
  <c r="AL62" i="46"/>
  <c r="AN62" i="46"/>
  <c r="CR91" i="1"/>
  <c r="CZ91" i="1" s="1"/>
  <c r="AN67" i="44"/>
  <c r="AO67" i="44"/>
  <c r="AC67" i="44"/>
  <c r="AP67" i="44"/>
  <c r="AE67" i="44"/>
  <c r="AI3" i="44"/>
  <c r="G7" i="46"/>
  <c r="H7" i="46" s="1"/>
  <c r="AO28" i="46"/>
  <c r="AG28" i="46"/>
  <c r="AM28" i="46"/>
  <c r="AE28" i="46"/>
  <c r="F28" i="46"/>
  <c r="AC28" i="46"/>
  <c r="AL28" i="46"/>
  <c r="AJ28" i="46"/>
  <c r="AB28" i="46"/>
  <c r="AA28" i="46"/>
  <c r="AI28" i="46"/>
  <c r="AF28" i="46"/>
  <c r="AH28" i="46"/>
  <c r="Z28" i="46"/>
  <c r="AK28" i="46"/>
  <c r="AD28" i="46"/>
  <c r="AN28" i="46"/>
  <c r="AP28" i="46"/>
  <c r="G9" i="46"/>
  <c r="H9" i="46" s="1"/>
  <c r="AB67" i="44"/>
  <c r="AK67" i="44"/>
  <c r="AI76" i="46"/>
  <c r="Z76" i="46"/>
  <c r="AH76" i="46"/>
  <c r="AC76" i="46"/>
  <c r="AM76" i="46"/>
  <c r="AJ76" i="46"/>
  <c r="AF76" i="46"/>
  <c r="AL76" i="46"/>
  <c r="F76" i="46"/>
  <c r="AB76" i="46"/>
  <c r="AE76" i="46"/>
  <c r="AO76" i="46"/>
  <c r="AD76" i="46"/>
  <c r="AA76" i="46"/>
  <c r="AG76" i="46"/>
  <c r="AP76" i="46"/>
  <c r="AK76" i="46"/>
  <c r="AN76" i="46"/>
  <c r="Z67" i="44"/>
  <c r="F67" i="44"/>
  <c r="AB9" i="44"/>
  <c r="AJ70" i="46"/>
  <c r="AJ4" i="46" s="1"/>
  <c r="AH70" i="46"/>
  <c r="AH4" i="46" s="1"/>
  <c r="F38" i="46"/>
  <c r="AB38" i="46"/>
  <c r="AK38" i="46"/>
  <c r="AI38" i="46"/>
  <c r="AC38" i="46"/>
  <c r="AA38" i="46"/>
  <c r="AJ38" i="46"/>
  <c r="AH38" i="46"/>
  <c r="AG38" i="46"/>
  <c r="AP38" i="46"/>
  <c r="AE38" i="46"/>
  <c r="AD38" i="46"/>
  <c r="Z38" i="46"/>
  <c r="AF38" i="46"/>
  <c r="AO38" i="46"/>
  <c r="AN38" i="46"/>
  <c r="AL38" i="46"/>
  <c r="AM38" i="46"/>
  <c r="AD34" i="44"/>
  <c r="AB34" i="44"/>
  <c r="AH34" i="44"/>
  <c r="AG34" i="44"/>
  <c r="F34" i="44"/>
  <c r="AP34" i="44"/>
  <c r="AE34" i="44"/>
  <c r="AF34" i="44"/>
  <c r="Z34" i="44"/>
  <c r="AK34" i="44"/>
  <c r="AI34" i="44"/>
  <c r="AM34" i="44"/>
  <c r="AL34" i="44"/>
  <c r="AA34" i="44"/>
  <c r="AC34" i="44"/>
  <c r="AN34" i="44"/>
  <c r="AJ34" i="44"/>
  <c r="AO34" i="44"/>
  <c r="AN9" i="44"/>
  <c r="AI28" i="44"/>
  <c r="AI8" i="44" s="1"/>
  <c r="AJ49" i="44"/>
  <c r="AN49" i="44"/>
  <c r="AA49" i="44"/>
  <c r="AA9" i="44" s="1"/>
  <c r="AI57" i="44"/>
  <c r="Z57" i="44"/>
  <c r="AM57" i="44"/>
  <c r="AD57" i="44"/>
  <c r="AB57" i="44"/>
  <c r="AJ57" i="44"/>
  <c r="AL57" i="44"/>
  <c r="AH57" i="44"/>
  <c r="AF57" i="44"/>
  <c r="AO57" i="44"/>
  <c r="AP57" i="44"/>
  <c r="AG57" i="44"/>
  <c r="AE57" i="44"/>
  <c r="AN57" i="44"/>
  <c r="AC57" i="44"/>
  <c r="AK57" i="44"/>
  <c r="AA57" i="44"/>
  <c r="F57" i="44"/>
  <c r="AH2" i="44"/>
  <c r="AO60" i="44"/>
  <c r="Z60" i="44"/>
  <c r="G2" i="44" s="1"/>
  <c r="H2" i="44" s="1"/>
  <c r="AG60" i="44"/>
  <c r="AH60" i="44"/>
  <c r="AB60" i="44"/>
  <c r="AB2" i="44" s="1"/>
  <c r="AC60" i="44"/>
  <c r="AC2" i="44" s="1"/>
  <c r="AF60" i="44"/>
  <c r="AD60" i="44"/>
  <c r="AD2" i="44" s="1"/>
  <c r="AE60" i="44"/>
  <c r="AE2" i="44" s="1"/>
  <c r="AM60" i="44"/>
  <c r="AM2" i="44" s="1"/>
  <c r="F60" i="44"/>
  <c r="I2" i="44" s="1"/>
  <c r="AL60" i="44"/>
  <c r="AJ60" i="44"/>
  <c r="AJ2" i="44" s="1"/>
  <c r="AA60" i="44"/>
  <c r="AA2" i="44" s="1"/>
  <c r="AN60" i="44"/>
  <c r="AI62" i="44"/>
  <c r="AL2" i="44"/>
  <c r="AH31" i="44"/>
  <c r="AN31" i="44"/>
  <c r="F31" i="44"/>
  <c r="AC31" i="44"/>
  <c r="AF31" i="44"/>
  <c r="AL31" i="44"/>
  <c r="AJ31" i="44"/>
  <c r="Z31" i="44"/>
  <c r="AP31" i="44"/>
  <c r="AE31" i="44"/>
  <c r="AD31" i="44"/>
  <c r="AB31" i="44"/>
  <c r="AO31" i="44"/>
  <c r="AG31" i="44"/>
  <c r="AM31" i="44"/>
  <c r="AA31" i="44"/>
  <c r="AJ9" i="44"/>
  <c r="AC61" i="44"/>
  <c r="AC3" i="44" s="1"/>
  <c r="AA61" i="44"/>
  <c r="AA3" i="44" s="1"/>
  <c r="AN61" i="44"/>
  <c r="AN3" i="44" s="1"/>
  <c r="AE61" i="44"/>
  <c r="AE3" i="44" s="1"/>
  <c r="AP61" i="44"/>
  <c r="AP3" i="44" s="1"/>
  <c r="AK61" i="44"/>
  <c r="AK3" i="44" s="1"/>
  <c r="AO61" i="44"/>
  <c r="AO3" i="44" s="1"/>
  <c r="Z61" i="44"/>
  <c r="Z3" i="44" s="1"/>
  <c r="AB61" i="44"/>
  <c r="AB3" i="44" s="1"/>
  <c r="AG61" i="44"/>
  <c r="AG3" i="44" s="1"/>
  <c r="AF61" i="44"/>
  <c r="F61" i="44"/>
  <c r="I3" i="44" s="1"/>
  <c r="AD61" i="44"/>
  <c r="AD3" i="44" s="1"/>
  <c r="AO2" i="44"/>
  <c r="AF2" i="44"/>
  <c r="AD3" i="45"/>
  <c r="AF3" i="44"/>
  <c r="BH39" i="1"/>
  <c r="BJ39" i="1" s="1"/>
  <c r="BI39" i="1"/>
  <c r="BT36" i="1"/>
  <c r="BO36" i="1"/>
  <c r="BP36" i="1"/>
  <c r="BN36" i="1"/>
  <c r="BK36" i="1"/>
  <c r="BS36" i="1"/>
  <c r="BQ36" i="1"/>
  <c r="BL36" i="1"/>
  <c r="BU36" i="1"/>
  <c r="BV36" i="1"/>
  <c r="BR36" i="1"/>
  <c r="BM36" i="1"/>
  <c r="V22" i="44"/>
  <c r="V22" i="43"/>
  <c r="Y22" i="43" s="1"/>
  <c r="V22" i="31"/>
  <c r="V22" i="23"/>
  <c r="V22" i="22"/>
  <c r="V22" i="27"/>
  <c r="V22" i="36"/>
  <c r="V22" i="32"/>
  <c r="V22" i="24"/>
  <c r="V22" i="42"/>
  <c r="V22" i="40"/>
  <c r="V22" i="39"/>
  <c r="V22" i="29"/>
  <c r="V22" i="28"/>
  <c r="V22" i="38"/>
  <c r="V22" i="34"/>
  <c r="V22" i="25"/>
  <c r="V22" i="33"/>
  <c r="V22" i="30"/>
  <c r="V22" i="41"/>
  <c r="V22" i="26"/>
  <c r="V22" i="37"/>
  <c r="V22" i="35"/>
  <c r="V22" i="21"/>
  <c r="V22" i="20"/>
  <c r="V22" i="19"/>
  <c r="V22" i="18"/>
  <c r="V22" i="15"/>
  <c r="V22" i="16"/>
  <c r="V22" i="13"/>
  <c r="CO22" i="1"/>
  <c r="BF22" i="1"/>
  <c r="W22" i="1"/>
  <c r="Y22" i="1" s="1"/>
  <c r="CQ39" i="1"/>
  <c r="CS39" i="1" s="1"/>
  <c r="CR39" i="1"/>
  <c r="AI88" i="44"/>
  <c r="AH88" i="44"/>
  <c r="AJ88" i="44"/>
  <c r="AF88" i="44"/>
  <c r="AB88" i="44"/>
  <c r="Z88" i="44"/>
  <c r="AC88" i="44"/>
  <c r="AG88" i="44"/>
  <c r="AL88" i="44"/>
  <c r="F88" i="44"/>
  <c r="AP88" i="44"/>
  <c r="AA88" i="44"/>
  <c r="AN88" i="44"/>
  <c r="AD88" i="44"/>
  <c r="AE88" i="44"/>
  <c r="AO88" i="44"/>
  <c r="AM88" i="44"/>
  <c r="AK88" i="44"/>
  <c r="AI37" i="44"/>
  <c r="AM37" i="44"/>
  <c r="AJ37" i="44"/>
  <c r="AD37" i="44"/>
  <c r="F37" i="44"/>
  <c r="AN37" i="44"/>
  <c r="AC37" i="44"/>
  <c r="AO37" i="44"/>
  <c r="AH37" i="44"/>
  <c r="AA37" i="44"/>
  <c r="AF37" i="44"/>
  <c r="Z37" i="44"/>
  <c r="AE37" i="44"/>
  <c r="AP37" i="44"/>
  <c r="AK37" i="44"/>
  <c r="AG37" i="44"/>
  <c r="AB37" i="44"/>
  <c r="AL37" i="44"/>
  <c r="DA36" i="1"/>
  <c r="CZ36" i="1"/>
  <c r="DE36" i="1"/>
  <c r="CU36" i="1"/>
  <c r="CV36" i="1"/>
  <c r="DB36" i="1"/>
  <c r="CW36" i="1"/>
  <c r="DD36" i="1"/>
  <c r="CY36" i="1"/>
  <c r="DC36" i="1"/>
  <c r="CX36" i="1"/>
  <c r="CT36" i="1"/>
  <c r="AI74" i="44"/>
  <c r="AI7" i="44" s="1"/>
  <c r="F74" i="44"/>
  <c r="I7" i="44" s="1"/>
  <c r="AL74" i="44"/>
  <c r="AK74" i="44"/>
  <c r="AK7" i="44" s="1"/>
  <c r="AB74" i="44"/>
  <c r="AM74" i="44"/>
  <c r="AH74" i="44"/>
  <c r="AH7" i="44" s="1"/>
  <c r="AD74" i="44"/>
  <c r="AD7" i="44" s="1"/>
  <c r="Z74" i="44"/>
  <c r="AJ74" i="44"/>
  <c r="AJ7" i="44" s="1"/>
  <c r="AP74" i="44"/>
  <c r="AA74" i="44"/>
  <c r="AO74" i="44"/>
  <c r="AO7" i="44" s="1"/>
  <c r="AE74" i="44"/>
  <c r="AE7" i="44" s="1"/>
  <c r="AG74" i="44"/>
  <c r="AN74" i="44"/>
  <c r="AN7" i="44" s="1"/>
  <c r="AF74" i="44"/>
  <c r="AC74" i="44"/>
  <c r="AC7" i="44" s="1"/>
  <c r="BH16" i="1"/>
  <c r="BJ16" i="1" s="1"/>
  <c r="BI16" i="1"/>
  <c r="AO36" i="45"/>
  <c r="AM36" i="45"/>
  <c r="AG36" i="45"/>
  <c r="AC36" i="45"/>
  <c r="AA36" i="45"/>
  <c r="AF36" i="45"/>
  <c r="AE36" i="45"/>
  <c r="AH36" i="45"/>
  <c r="Z36" i="45"/>
  <c r="AI36" i="45"/>
  <c r="AK36" i="45"/>
  <c r="AN36" i="45"/>
  <c r="AB36" i="45"/>
  <c r="F36" i="45"/>
  <c r="AP36" i="45"/>
  <c r="AD36" i="45"/>
  <c r="AJ36" i="45"/>
  <c r="AL36" i="45"/>
  <c r="AI36" i="44"/>
  <c r="F36" i="44"/>
  <c r="AB36" i="44"/>
  <c r="AK36" i="44"/>
  <c r="AA36" i="44"/>
  <c r="AC36" i="44"/>
  <c r="AO36" i="44"/>
  <c r="AH36" i="44"/>
  <c r="AD36" i="44"/>
  <c r="AL36" i="44"/>
  <c r="Z36" i="44"/>
  <c r="AG36" i="44"/>
  <c r="AP36" i="44"/>
  <c r="AM36" i="44"/>
  <c r="AF36" i="44"/>
  <c r="AN36" i="44"/>
  <c r="AJ36" i="44"/>
  <c r="AE36" i="44"/>
  <c r="AP92" i="44"/>
  <c r="AH92" i="44"/>
  <c r="AO92" i="44"/>
  <c r="AM92" i="44"/>
  <c r="AN92" i="44"/>
  <c r="AJ92" i="44"/>
  <c r="I9" i="44"/>
  <c r="AP9" i="44"/>
  <c r="AE3" i="45"/>
  <c r="AC3" i="45"/>
  <c r="AJ6" i="45"/>
  <c r="AK92" i="44"/>
  <c r="AA92" i="44"/>
  <c r="AP3" i="45"/>
  <c r="AO6" i="45"/>
  <c r="AC92" i="44"/>
  <c r="AE92" i="44"/>
  <c r="AG2" i="44"/>
  <c r="AI76" i="44"/>
  <c r="AB92" i="44"/>
  <c r="AG92" i="44"/>
  <c r="AC3" i="43"/>
  <c r="AN2" i="44"/>
  <c r="AK9" i="44"/>
  <c r="AG6" i="45"/>
  <c r="Z70" i="44"/>
  <c r="G4" i="44" s="1"/>
  <c r="H4" i="44" s="1"/>
  <c r="AE70" i="44"/>
  <c r="AE4" i="44" s="1"/>
  <c r="AP70" i="44"/>
  <c r="AP4" i="44" s="1"/>
  <c r="AJ70" i="44"/>
  <c r="AJ4" i="44" s="1"/>
  <c r="AK70" i="44"/>
  <c r="AK4" i="44" s="1"/>
  <c r="AN70" i="44"/>
  <c r="AN4" i="44" s="1"/>
  <c r="F70" i="44"/>
  <c r="I4" i="44" s="1"/>
  <c r="AO70" i="44"/>
  <c r="AO4" i="44" s="1"/>
  <c r="AH70" i="44"/>
  <c r="AH4" i="44" s="1"/>
  <c r="AH9" i="44"/>
  <c r="AF70" i="44"/>
  <c r="AF4" i="44" s="1"/>
  <c r="AA70" i="44"/>
  <c r="AA4" i="44" s="1"/>
  <c r="AL6" i="45"/>
  <c r="AI6" i="45"/>
  <c r="AG70" i="44"/>
  <c r="AG4" i="44" s="1"/>
  <c r="AB70" i="44"/>
  <c r="AB4" i="44" s="1"/>
  <c r="AM3" i="45"/>
  <c r="AM70" i="44"/>
  <c r="AM4" i="44" s="1"/>
  <c r="AL70" i="44"/>
  <c r="AL4" i="44" s="1"/>
  <c r="AB3" i="45"/>
  <c r="CV16" i="1"/>
  <c r="G3" i="45"/>
  <c r="H3" i="45" s="1"/>
  <c r="Z3" i="45"/>
  <c r="V78" i="44"/>
  <c r="AI3" i="45"/>
  <c r="AA3" i="45"/>
  <c r="AC6" i="45"/>
  <c r="AH72" i="45"/>
  <c r="AH9" i="45" s="1"/>
  <c r="AG72" i="45"/>
  <c r="AG9" i="45" s="1"/>
  <c r="AF72" i="45"/>
  <c r="AF9" i="45" s="1"/>
  <c r="AI72" i="45"/>
  <c r="AI9" i="45" s="1"/>
  <c r="AL72" i="45"/>
  <c r="AL9" i="45" s="1"/>
  <c r="AK72" i="45"/>
  <c r="AK9" i="45" s="1"/>
  <c r="AE72" i="45"/>
  <c r="AE9" i="45" s="1"/>
  <c r="F72" i="45"/>
  <c r="I9" i="45" s="1"/>
  <c r="Z72" i="45"/>
  <c r="Z9" i="45" s="1"/>
  <c r="AB72" i="45"/>
  <c r="AB9" i="45" s="1"/>
  <c r="AM72" i="45"/>
  <c r="AM9" i="45" s="1"/>
  <c r="AJ72" i="45"/>
  <c r="AJ9" i="45" s="1"/>
  <c r="AA72" i="45"/>
  <c r="AA9" i="45" s="1"/>
  <c r="AC72" i="45"/>
  <c r="AC9" i="45" s="1"/>
  <c r="AD72" i="45"/>
  <c r="AD9" i="45" s="1"/>
  <c r="AO72" i="45"/>
  <c r="AO9" i="45" s="1"/>
  <c r="AN72" i="45"/>
  <c r="AN9" i="45" s="1"/>
  <c r="AP72" i="45"/>
  <c r="AP9" i="45" s="1"/>
  <c r="AF6" i="45"/>
  <c r="AA6" i="45"/>
  <c r="I3" i="45"/>
  <c r="AL3" i="45"/>
  <c r="AJ57" i="45"/>
  <c r="AG57" i="45"/>
  <c r="AD57" i="45"/>
  <c r="AC57" i="45"/>
  <c r="AB57" i="45"/>
  <c r="AH57" i="45"/>
  <c r="Z57" i="45"/>
  <c r="AM57" i="45"/>
  <c r="AF57" i="45"/>
  <c r="AL57" i="45"/>
  <c r="AE57" i="45"/>
  <c r="AP57" i="45"/>
  <c r="AK57" i="45"/>
  <c r="F57" i="45"/>
  <c r="AA57" i="45"/>
  <c r="AI57" i="45"/>
  <c r="AN57" i="45"/>
  <c r="AO57" i="45"/>
  <c r="AD16" i="45"/>
  <c r="AB16" i="45"/>
  <c r="AE16" i="45"/>
  <c r="F16" i="45"/>
  <c r="AC16" i="45"/>
  <c r="AJ16" i="45"/>
  <c r="AO16" i="45"/>
  <c r="AI16" i="45"/>
  <c r="AL16" i="45"/>
  <c r="AN16" i="45"/>
  <c r="AL67" i="45"/>
  <c r="AL7" i="45" s="1"/>
  <c r="AK67" i="45"/>
  <c r="AO67" i="45"/>
  <c r="AM67" i="45"/>
  <c r="AM7" i="45" s="1"/>
  <c r="AP67" i="45"/>
  <c r="AP7" i="45" s="1"/>
  <c r="AE67" i="45"/>
  <c r="AJ67" i="45"/>
  <c r="F67" i="45"/>
  <c r="AD67" i="45"/>
  <c r="AD7" i="45" s="1"/>
  <c r="AN67" i="45"/>
  <c r="AH67" i="45"/>
  <c r="AG67" i="45"/>
  <c r="AG7" i="45" s="1"/>
  <c r="AA67" i="45"/>
  <c r="AA7" i="45" s="1"/>
  <c r="AC67" i="45"/>
  <c r="AF67" i="45"/>
  <c r="AI67" i="45"/>
  <c r="Z67" i="45"/>
  <c r="AB67" i="45"/>
  <c r="AJ3" i="45"/>
  <c r="AB6" i="45"/>
  <c r="AO92" i="45"/>
  <c r="AH92" i="45"/>
  <c r="AB92" i="45"/>
  <c r="Z92" i="45"/>
  <c r="AD92" i="45"/>
  <c r="AG92" i="45"/>
  <c r="AK92" i="45"/>
  <c r="AF92" i="45"/>
  <c r="AE92" i="45"/>
  <c r="F92" i="45"/>
  <c r="AA92" i="45"/>
  <c r="AC92" i="45"/>
  <c r="AL92" i="45"/>
  <c r="AM92" i="45"/>
  <c r="AP92" i="45"/>
  <c r="AI92" i="45"/>
  <c r="AJ92" i="45"/>
  <c r="AN92" i="45"/>
  <c r="AH6" i="45"/>
  <c r="DB16" i="1"/>
  <c r="AF3" i="45"/>
  <c r="AN3" i="45"/>
  <c r="AG3" i="45"/>
  <c r="I6" i="45"/>
  <c r="AF58" i="45"/>
  <c r="F58" i="45"/>
  <c r="AE58" i="45"/>
  <c r="AG58" i="45"/>
  <c r="AB58" i="45"/>
  <c r="AD58" i="45"/>
  <c r="AI58" i="45"/>
  <c r="Z58" i="45"/>
  <c r="AK58" i="45"/>
  <c r="AM58" i="45"/>
  <c r="AJ58" i="45"/>
  <c r="AA58" i="45"/>
  <c r="AH58" i="45"/>
  <c r="AC58" i="45"/>
  <c r="AP58" i="45"/>
  <c r="AO58" i="45"/>
  <c r="AL58" i="45"/>
  <c r="AN58" i="45"/>
  <c r="AL27" i="45"/>
  <c r="AK27" i="45"/>
  <c r="AI27" i="45"/>
  <c r="AJ27" i="45"/>
  <c r="AH27" i="45"/>
  <c r="AM27" i="45"/>
  <c r="AN27" i="45"/>
  <c r="AC27" i="45"/>
  <c r="AO27" i="45"/>
  <c r="AP27" i="45"/>
  <c r="AD27" i="45"/>
  <c r="AE27" i="45"/>
  <c r="AB27" i="45"/>
  <c r="Z27" i="45"/>
  <c r="AA27" i="45"/>
  <c r="AG27" i="45"/>
  <c r="AF27" i="45"/>
  <c r="F27" i="45"/>
  <c r="AP6" i="45"/>
  <c r="Z6" i="45"/>
  <c r="G6" i="45"/>
  <c r="H6" i="45" s="1"/>
  <c r="AK3" i="45"/>
  <c r="AO3" i="45"/>
  <c r="AM6" i="45"/>
  <c r="AI91" i="45"/>
  <c r="AG91" i="45"/>
  <c r="AA91" i="45"/>
  <c r="AD91" i="45"/>
  <c r="AK91" i="45"/>
  <c r="AJ91" i="45"/>
  <c r="AB91" i="45"/>
  <c r="AL91" i="45"/>
  <c r="AH91" i="45"/>
  <c r="F91" i="45"/>
  <c r="AC91" i="45"/>
  <c r="AF91" i="45"/>
  <c r="Z91" i="45"/>
  <c r="AE91" i="45"/>
  <c r="AM91" i="45"/>
  <c r="AP91" i="45"/>
  <c r="AN91" i="45"/>
  <c r="AO91" i="45"/>
  <c r="AE6" i="45"/>
  <c r="AI6" i="43"/>
  <c r="AC72" i="43"/>
  <c r="AC9" i="43" s="1"/>
  <c r="AI72" i="43"/>
  <c r="AI9" i="43" s="1"/>
  <c r="AC92" i="43"/>
  <c r="AI92" i="43"/>
  <c r="AC91" i="43"/>
  <c r="AI91" i="43"/>
  <c r="AC16" i="43"/>
  <c r="AI16" i="43"/>
  <c r="AC57" i="43"/>
  <c r="AI57" i="43"/>
  <c r="AC58" i="43"/>
  <c r="AC2" i="43" s="1"/>
  <c r="AI58" i="43"/>
  <c r="AI2" i="43" s="1"/>
  <c r="AI3" i="43"/>
  <c r="AC67" i="43"/>
  <c r="AC7" i="43" s="1"/>
  <c r="AI67" i="43"/>
  <c r="AI7" i="43" s="1"/>
  <c r="AC27" i="43"/>
  <c r="AI27" i="43"/>
  <c r="Z9" i="44"/>
  <c r="AL38" i="44"/>
  <c r="AJ38" i="44"/>
  <c r="AC38" i="44"/>
  <c r="AP38" i="44"/>
  <c r="AG38" i="44"/>
  <c r="AD38" i="44"/>
  <c r="AB38" i="44"/>
  <c r="AA38" i="44"/>
  <c r="Z38" i="44"/>
  <c r="AM38" i="44"/>
  <c r="AH38" i="44"/>
  <c r="AF38" i="44"/>
  <c r="AK38" i="44"/>
  <c r="F38" i="44"/>
  <c r="AE38" i="44"/>
  <c r="AO38" i="44"/>
  <c r="AN38" i="44"/>
  <c r="AM76" i="44"/>
  <c r="AO76" i="44"/>
  <c r="AD62" i="44"/>
  <c r="AE62" i="44"/>
  <c r="AN62" i="44"/>
  <c r="AG35" i="44"/>
  <c r="AD35" i="44"/>
  <c r="F35" i="44"/>
  <c r="AB35" i="44"/>
  <c r="AP35" i="44"/>
  <c r="AF35" i="44"/>
  <c r="AJ35" i="44"/>
  <c r="AC35" i="44"/>
  <c r="AA35" i="44"/>
  <c r="AL35" i="44"/>
  <c r="AE35" i="44"/>
  <c r="AK35" i="44"/>
  <c r="Z35" i="44"/>
  <c r="AH35" i="44"/>
  <c r="AO35" i="44"/>
  <c r="AM35" i="44"/>
  <c r="AN35"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AK16" i="20"/>
  <c r="AH16" i="20"/>
  <c r="Z16" i="20"/>
  <c r="I3" i="21"/>
  <c r="I3" i="43"/>
  <c r="AE16" i="20"/>
  <c r="BR7" i="1"/>
  <c r="AJ16" i="20"/>
  <c r="AJ6" i="43"/>
  <c r="AN16" i="20"/>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N2" i="43" s="1"/>
  <c r="AG2" i="43"/>
  <c r="AJ2" i="43"/>
  <c r="AE3" i="43"/>
  <c r="AH3" i="43"/>
  <c r="AK3" i="43"/>
  <c r="AJ3" i="43"/>
  <c r="AE6" i="43"/>
  <c r="V78" i="43"/>
  <c r="Y78" i="43" s="1"/>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AE7" i="43"/>
  <c r="AB3" i="43"/>
  <c r="AO3" i="43"/>
  <c r="AB6" i="43"/>
  <c r="AH27" i="43"/>
  <c r="Z27" i="43"/>
  <c r="AB27" i="43"/>
  <c r="AP27" i="43"/>
  <c r="AG27" i="43"/>
  <c r="AM27" i="43"/>
  <c r="AF27" i="43"/>
  <c r="AJ27" i="43"/>
  <c r="F27" i="43"/>
  <c r="AK27" i="43"/>
  <c r="AE27" i="43"/>
  <c r="AD27" i="43"/>
  <c r="AA27" i="43"/>
  <c r="AL27" i="43"/>
  <c r="AO27" i="43"/>
  <c r="AN27"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AG7" i="19"/>
  <c r="AF2" i="18"/>
  <c r="AG2" i="18"/>
  <c r="AG7" i="18"/>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AH92" i="16"/>
  <c r="Z92" i="16"/>
  <c r="AJ92" i="16"/>
  <c r="AD92" i="16"/>
  <c r="AB92" i="16"/>
  <c r="AA92" i="16"/>
  <c r="AE92" i="16"/>
  <c r="AK92" i="16"/>
  <c r="AM92" i="16"/>
  <c r="AL92" i="16"/>
  <c r="AO92" i="16"/>
  <c r="AN92" i="16"/>
  <c r="G3" i="16"/>
  <c r="H3" i="16" s="1"/>
  <c r="AB6" i="16"/>
  <c r="AL6" i="16"/>
  <c r="AX7" i="1"/>
  <c r="AY7" i="1" s="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Z67" i="1"/>
  <c r="CU67" i="1"/>
  <c r="CU7" i="1" s="1"/>
  <c r="DA67" i="1"/>
  <c r="DA7" i="1" s="1"/>
  <c r="DE67" i="1"/>
  <c r="CG7" i="1" s="1"/>
  <c r="CH7" i="1" s="1"/>
  <c r="CV67" i="1"/>
  <c r="CV7" i="1" s="1"/>
  <c r="DC67" i="1"/>
  <c r="CY67" i="1"/>
  <c r="CT67" i="1"/>
  <c r="CX67" i="1"/>
  <c r="DB67" i="1"/>
  <c r="DD67" i="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BM70" i="1"/>
  <c r="BM4" i="1" s="1"/>
  <c r="BS70" i="1"/>
  <c r="BS4" i="1" s="1"/>
  <c r="BP70" i="1"/>
  <c r="BP4" i="1" s="1"/>
  <c r="BU70" i="1"/>
  <c r="BL70" i="1"/>
  <c r="BL4" i="1" s="1"/>
  <c r="BT70" i="1"/>
  <c r="BT4" i="1" s="1"/>
  <c r="BO70" i="1"/>
  <c r="BV70" i="1"/>
  <c r="AX4" i="1" s="1"/>
  <c r="AY4" i="1" s="1"/>
  <c r="BK70" i="1"/>
  <c r="BN70" i="1"/>
  <c r="BB4" i="1" s="1"/>
  <c r="BC4" i="1" s="1"/>
  <c r="BY4" i="1" s="1"/>
  <c r="BR70" i="1"/>
  <c r="BR4" i="1" s="1"/>
  <c r="BI35" i="1"/>
  <c r="BH35" i="1"/>
  <c r="BJ35" i="1" s="1"/>
  <c r="BH76" i="1"/>
  <c r="BJ76" i="1" s="1"/>
  <c r="BI76" i="1"/>
  <c r="BT58" i="1"/>
  <c r="BT2" i="1" s="1"/>
  <c r="BP58" i="1"/>
  <c r="BP2" i="1" s="1"/>
  <c r="BM58" i="1"/>
  <c r="BM2" i="1" s="1"/>
  <c r="BS58" i="1"/>
  <c r="BV58" i="1"/>
  <c r="BR58" i="1"/>
  <c r="BR2" i="1" s="1"/>
  <c r="BQ58" i="1"/>
  <c r="BK58" i="1"/>
  <c r="BN58" i="1"/>
  <c r="BO58" i="1"/>
  <c r="BO2" i="1" s="1"/>
  <c r="BL58" i="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Y11" i="46" s="1"/>
  <c r="AM35" i="46" l="1"/>
  <c r="AA35" i="46"/>
  <c r="F35" i="46"/>
  <c r="AI35" i="46"/>
  <c r="AE35" i="46"/>
  <c r="AJ35" i="46"/>
  <c r="AN35" i="46"/>
  <c r="AB35" i="46"/>
  <c r="Z35" i="46"/>
  <c r="AO35" i="46"/>
  <c r="AH35" i="46"/>
  <c r="AG35" i="46"/>
  <c r="AL35" i="46"/>
  <c r="AD35" i="46"/>
  <c r="BU4" i="1"/>
  <c r="AP35" i="46"/>
  <c r="CU16" i="1"/>
  <c r="Y78" i="46"/>
  <c r="Y13" i="46" s="1"/>
  <c r="X78" i="46"/>
  <c r="X13" i="46" s="1"/>
  <c r="AJ2" i="45"/>
  <c r="BT91" i="1"/>
  <c r="CZ16" i="1"/>
  <c r="AK2" i="45"/>
  <c r="DC16" i="1"/>
  <c r="AA70" i="46"/>
  <c r="AA4" i="46" s="1"/>
  <c r="AF70" i="46"/>
  <c r="AF4" i="46" s="1"/>
  <c r="CF7" i="1"/>
  <c r="BM91" i="1"/>
  <c r="AN70" i="46"/>
  <c r="AN4" i="46" s="1"/>
  <c r="F70" i="46"/>
  <c r="I4" i="46" s="1"/>
  <c r="AD70" i="46"/>
  <c r="AD4" i="46" s="1"/>
  <c r="CT91" i="1"/>
  <c r="DA16" i="1"/>
  <c r="CW16" i="1"/>
  <c r="CX16" i="1"/>
  <c r="AO70" i="46"/>
  <c r="AO4" i="46" s="1"/>
  <c r="AC70" i="46"/>
  <c r="AC4" i="46" s="1"/>
  <c r="AI70" i="46"/>
  <c r="AI4" i="46" s="1"/>
  <c r="BO91" i="1"/>
  <c r="DD16" i="1"/>
  <c r="AP70" i="46"/>
  <c r="AP4" i="46" s="1"/>
  <c r="AE70" i="46"/>
  <c r="AE4" i="46" s="1"/>
  <c r="BR91" i="1"/>
  <c r="CV91" i="1"/>
  <c r="CY16" i="1"/>
  <c r="AK70" i="46"/>
  <c r="AK4" i="46" s="1"/>
  <c r="AM70" i="46"/>
  <c r="AM4" i="46" s="1"/>
  <c r="CT16" i="1"/>
  <c r="AL70" i="46"/>
  <c r="AL4" i="46" s="1"/>
  <c r="Z70" i="46"/>
  <c r="AB70" i="46"/>
  <c r="AB4" i="46" s="1"/>
  <c r="BK4" i="1"/>
  <c r="AW4" i="1"/>
  <c r="G7" i="47"/>
  <c r="H7" i="47" s="1"/>
  <c r="I72" i="14"/>
  <c r="Y11" i="47"/>
  <c r="I73" i="14" s="1"/>
  <c r="Y13" i="43"/>
  <c r="AH76" i="47"/>
  <c r="AA76" i="47"/>
  <c r="AI76" i="47"/>
  <c r="AG76" i="47"/>
  <c r="AC76" i="47"/>
  <c r="AL76" i="47"/>
  <c r="AO76" i="47"/>
  <c r="AK76" i="47"/>
  <c r="AM76" i="47"/>
  <c r="Z76" i="47"/>
  <c r="AJ76" i="47"/>
  <c r="AD76" i="47"/>
  <c r="AE76" i="47"/>
  <c r="AB76" i="47"/>
  <c r="F76" i="47"/>
  <c r="AF76" i="47"/>
  <c r="AN76" i="47"/>
  <c r="AP76" i="47"/>
  <c r="AG62" i="47"/>
  <c r="AB62" i="47"/>
  <c r="AD62" i="47"/>
  <c r="Z62" i="47"/>
  <c r="AJ62" i="47"/>
  <c r="AH62" i="47"/>
  <c r="AK62" i="47"/>
  <c r="AL62" i="47"/>
  <c r="AA62" i="47"/>
  <c r="AI62" i="47"/>
  <c r="AO62" i="47"/>
  <c r="AC62" i="47"/>
  <c r="AF62" i="47"/>
  <c r="AE62" i="47"/>
  <c r="F62" i="47"/>
  <c r="AP62" i="47"/>
  <c r="AM62" i="47"/>
  <c r="AN62" i="47"/>
  <c r="BB2" i="1"/>
  <c r="BC2" i="1" s="1"/>
  <c r="BY2" i="1" s="1"/>
  <c r="DD7" i="1"/>
  <c r="BU91" i="1"/>
  <c r="BQ91" i="1"/>
  <c r="AO7" i="45"/>
  <c r="Z16" i="45"/>
  <c r="AM16" i="45"/>
  <c r="X78" i="47"/>
  <c r="X13" i="47" s="1"/>
  <c r="Y78" i="47"/>
  <c r="Y13" i="47" s="1"/>
  <c r="Z9" i="47"/>
  <c r="H2" i="47"/>
  <c r="BK2" i="1"/>
  <c r="BO4" i="1"/>
  <c r="BK91" i="1"/>
  <c r="AF16" i="45"/>
  <c r="AH16" i="45"/>
  <c r="F70" i="47"/>
  <c r="I4" i="47" s="1"/>
  <c r="AI70" i="47"/>
  <c r="AI4" i="47" s="1"/>
  <c r="AG70" i="47"/>
  <c r="AG4" i="47" s="1"/>
  <c r="AE70" i="47"/>
  <c r="AE4" i="47" s="1"/>
  <c r="AJ70" i="47"/>
  <c r="AJ4" i="47" s="1"/>
  <c r="AB70" i="47"/>
  <c r="AB4" i="47" s="1"/>
  <c r="AL70" i="47"/>
  <c r="AL4" i="47" s="1"/>
  <c r="AA70" i="47"/>
  <c r="AA4" i="47" s="1"/>
  <c r="AF70" i="47"/>
  <c r="AF4" i="47" s="1"/>
  <c r="Z70" i="47"/>
  <c r="AC70" i="47"/>
  <c r="AC4" i="47" s="1"/>
  <c r="AH70" i="47"/>
  <c r="AH4" i="47" s="1"/>
  <c r="AP70" i="47"/>
  <c r="AP4" i="47" s="1"/>
  <c r="AD70" i="47"/>
  <c r="AD4" i="47" s="1"/>
  <c r="AK70" i="47"/>
  <c r="AK4" i="47" s="1"/>
  <c r="AO70" i="47"/>
  <c r="AO4" i="47" s="1"/>
  <c r="AM70" i="47"/>
  <c r="AM4" i="47" s="1"/>
  <c r="AN70" i="47"/>
  <c r="AN4" i="47" s="1"/>
  <c r="AJ38" i="47"/>
  <c r="AG38" i="47"/>
  <c r="AE38" i="47"/>
  <c r="AB38" i="47"/>
  <c r="Z38" i="47"/>
  <c r="AO38" i="47"/>
  <c r="F38" i="47"/>
  <c r="AC38" i="47"/>
  <c r="AD38" i="47"/>
  <c r="AI38" i="47"/>
  <c r="AK38" i="47"/>
  <c r="AA38" i="47"/>
  <c r="AF38" i="47"/>
  <c r="AH38" i="47"/>
  <c r="AM38" i="47"/>
  <c r="AP38" i="47"/>
  <c r="AL38" i="47"/>
  <c r="AN38" i="47"/>
  <c r="CX7" i="1"/>
  <c r="G7" i="45"/>
  <c r="H7" i="45" s="1"/>
  <c r="BP91" i="1"/>
  <c r="BV91" i="1"/>
  <c r="BN91" i="1"/>
  <c r="AA16" i="45"/>
  <c r="AG16" i="45"/>
  <c r="CK7" i="1"/>
  <c r="CL7" i="1" s="1"/>
  <c r="CY7" i="1"/>
  <c r="BL91" i="1"/>
  <c r="AA2" i="45"/>
  <c r="AJ7" i="45"/>
  <c r="AK16" i="45"/>
  <c r="AJ8" i="46"/>
  <c r="AG35" i="47"/>
  <c r="AF35" i="47"/>
  <c r="AD35" i="47"/>
  <c r="AB35" i="47"/>
  <c r="AA35" i="47"/>
  <c r="AC35" i="47"/>
  <c r="AK35" i="47"/>
  <c r="AJ35" i="47"/>
  <c r="AH35" i="47"/>
  <c r="AM35" i="47"/>
  <c r="Z35" i="47"/>
  <c r="AE35" i="47"/>
  <c r="AI35" i="47"/>
  <c r="AP35" i="47"/>
  <c r="F35" i="47"/>
  <c r="AN35" i="47"/>
  <c r="AO35" i="47"/>
  <c r="AL35" i="47"/>
  <c r="AF28" i="47"/>
  <c r="AG28" i="47"/>
  <c r="AD28" i="47"/>
  <c r="AJ28" i="47"/>
  <c r="AC28" i="47"/>
  <c r="AI28" i="47"/>
  <c r="AA28" i="47"/>
  <c r="AH28" i="47"/>
  <c r="AP28" i="47"/>
  <c r="Z28" i="47"/>
  <c r="AE28" i="47"/>
  <c r="F28" i="47"/>
  <c r="AB28" i="47"/>
  <c r="AK28" i="47"/>
  <c r="AL28" i="47"/>
  <c r="AO28" i="47"/>
  <c r="AM28" i="47"/>
  <c r="AN28" i="47"/>
  <c r="AC7" i="45"/>
  <c r="BL2" i="1"/>
  <c r="DB7" i="1"/>
  <c r="AI2" i="45"/>
  <c r="AB7" i="45"/>
  <c r="AK7" i="45"/>
  <c r="CT7" i="1"/>
  <c r="I7" i="45"/>
  <c r="AX2" i="1"/>
  <c r="AF7" i="45"/>
  <c r="BS2" i="1"/>
  <c r="DC7" i="1"/>
  <c r="AE7" i="45"/>
  <c r="AN2" i="45"/>
  <c r="AM2" i="45"/>
  <c r="AL2" i="45"/>
  <c r="AF2" i="45"/>
  <c r="AD2" i="45"/>
  <c r="AH2" i="45"/>
  <c r="AE2" i="45"/>
  <c r="AG7" i="44"/>
  <c r="G3" i="44"/>
  <c r="H3" i="44" s="1"/>
  <c r="AO2" i="45"/>
  <c r="AP2" i="45"/>
  <c r="AM7" i="44"/>
  <c r="AB7" i="44"/>
  <c r="AA7" i="44"/>
  <c r="Z2" i="44"/>
  <c r="AI7" i="45"/>
  <c r="AG2" i="45"/>
  <c r="AN8" i="46"/>
  <c r="I2" i="45"/>
  <c r="G2" i="45"/>
  <c r="H2" i="45" s="1"/>
  <c r="AH7" i="45"/>
  <c r="AN7" i="45"/>
  <c r="AB8" i="46"/>
  <c r="AP8" i="46"/>
  <c r="AH8" i="46"/>
  <c r="I8" i="46"/>
  <c r="AP7" i="44"/>
  <c r="AL62" i="44"/>
  <c r="Z62" i="44"/>
  <c r="AO62" i="44"/>
  <c r="AH62" i="44"/>
  <c r="AM8" i="46"/>
  <c r="AM62" i="44"/>
  <c r="AK62" i="44"/>
  <c r="AF7" i="44"/>
  <c r="Z7" i="44"/>
  <c r="AA8" i="46"/>
  <c r="AP62" i="44"/>
  <c r="AA62" i="44"/>
  <c r="AC2" i="45"/>
  <c r="AB62" i="44"/>
  <c r="AC62" i="44"/>
  <c r="AB2" i="45"/>
  <c r="AL8" i="46"/>
  <c r="F62" i="44"/>
  <c r="AJ62" i="44"/>
  <c r="AF62" i="44"/>
  <c r="AG62" i="44"/>
  <c r="G8" i="46"/>
  <c r="H8" i="46" s="1"/>
  <c r="DA91" i="1"/>
  <c r="AG78" i="46"/>
  <c r="AG13" i="46" s="1"/>
  <c r="R72" i="14" s="1"/>
  <c r="AI78" i="46"/>
  <c r="AA78" i="46"/>
  <c r="AA5" i="46" s="1"/>
  <c r="AJ78" i="46"/>
  <c r="AJ13" i="46" s="1"/>
  <c r="U72" i="14" s="1"/>
  <c r="AM78" i="46"/>
  <c r="AM5" i="46" s="1"/>
  <c r="AD78" i="46"/>
  <c r="AE78" i="46"/>
  <c r="Z78" i="46"/>
  <c r="Z5" i="46" s="1"/>
  <c r="AK78" i="46"/>
  <c r="AK5" i="46" s="1"/>
  <c r="AH78" i="46"/>
  <c r="AH94" i="46" s="1"/>
  <c r="AB78" i="46"/>
  <c r="AC78" i="46"/>
  <c r="AC5" i="46" s="1"/>
  <c r="F78" i="46"/>
  <c r="I5" i="46" s="1"/>
  <c r="AF78" i="46"/>
  <c r="AF5" i="46" s="1"/>
  <c r="AL78" i="46"/>
  <c r="AO78" i="46"/>
  <c r="AO5" i="46" s="1"/>
  <c r="AP78" i="46"/>
  <c r="AP5" i="46" s="1"/>
  <c r="AN78" i="46"/>
  <c r="AN5" i="46" s="1"/>
  <c r="AI8" i="46"/>
  <c r="DD91" i="1"/>
  <c r="CY91" i="1"/>
  <c r="AG8" i="46"/>
  <c r="AD8" i="46"/>
  <c r="CU91" i="1"/>
  <c r="Z8" i="46"/>
  <c r="AO8" i="46"/>
  <c r="DE91" i="1"/>
  <c r="AF8" i="46"/>
  <c r="Z4" i="46"/>
  <c r="G4" i="46"/>
  <c r="AK8" i="46"/>
  <c r="CX91" i="1"/>
  <c r="DC91" i="1"/>
  <c r="DB91" i="1"/>
  <c r="AE8" i="46"/>
  <c r="CW91" i="1"/>
  <c r="G7" i="44"/>
  <c r="H7" i="44" s="1"/>
  <c r="AC8" i="46"/>
  <c r="AI70" i="44"/>
  <c r="AI4" i="44" s="1"/>
  <c r="AD70" i="44"/>
  <c r="AD4" i="44" s="1"/>
  <c r="AC70" i="44"/>
  <c r="AC4" i="44" s="1"/>
  <c r="DA39" i="1"/>
  <c r="CW39" i="1"/>
  <c r="DC39" i="1"/>
  <c r="CZ39" i="1"/>
  <c r="CU39" i="1"/>
  <c r="DD39" i="1"/>
  <c r="CX39" i="1"/>
  <c r="CY39" i="1"/>
  <c r="CV39" i="1"/>
  <c r="DB39" i="1"/>
  <c r="CT39" i="1"/>
  <c r="DE39" i="1"/>
  <c r="AI16" i="44"/>
  <c r="AB16" i="44"/>
  <c r="AE16" i="44"/>
  <c r="AM16" i="44"/>
  <c r="Z16" i="44"/>
  <c r="AJ16" i="44"/>
  <c r="AL16" i="44"/>
  <c r="AA16" i="44"/>
  <c r="AP16" i="44"/>
  <c r="AG16" i="44"/>
  <c r="AO16" i="44"/>
  <c r="AN16" i="44"/>
  <c r="AD16" i="44"/>
  <c r="AH16" i="44"/>
  <c r="F16" i="44"/>
  <c r="AF16" i="44"/>
  <c r="AC16" i="44"/>
  <c r="AK16" i="44"/>
  <c r="AO39" i="45"/>
  <c r="AB39" i="45"/>
  <c r="AF39" i="45"/>
  <c r="AC39" i="45"/>
  <c r="AI39" i="45"/>
  <c r="AE39" i="45"/>
  <c r="AN39" i="45"/>
  <c r="AG39" i="45"/>
  <c r="AA39" i="45"/>
  <c r="AP39" i="45"/>
  <c r="AD39" i="45"/>
  <c r="AK39" i="45"/>
  <c r="AH39" i="45"/>
  <c r="AL39" i="45"/>
  <c r="AM39" i="45"/>
  <c r="AJ39" i="45"/>
  <c r="Z39" i="45"/>
  <c r="F39" i="45"/>
  <c r="BM39" i="1"/>
  <c r="BT39" i="1"/>
  <c r="BN39" i="1"/>
  <c r="BS39" i="1"/>
  <c r="BV39" i="1"/>
  <c r="BL39" i="1"/>
  <c r="BP39" i="1"/>
  <c r="BO39" i="1"/>
  <c r="BK39" i="1"/>
  <c r="BU39" i="1"/>
  <c r="BR39" i="1"/>
  <c r="BQ39" i="1"/>
  <c r="BN16" i="1"/>
  <c r="BT16" i="1"/>
  <c r="BQ16" i="1"/>
  <c r="BP16" i="1"/>
  <c r="BL16" i="1"/>
  <c r="BU16" i="1"/>
  <c r="BM16" i="1"/>
  <c r="BS16" i="1"/>
  <c r="BK16" i="1"/>
  <c r="BV16" i="1"/>
  <c r="BR16" i="1"/>
  <c r="BO16" i="1"/>
  <c r="BH22" i="1"/>
  <c r="BJ22" i="1" s="1"/>
  <c r="BI22" i="1"/>
  <c r="AI39" i="44"/>
  <c r="AO39" i="44"/>
  <c r="AG39" i="44"/>
  <c r="AF39" i="44"/>
  <c r="AH39" i="44"/>
  <c r="AL39" i="44"/>
  <c r="AE39" i="44"/>
  <c r="AN39" i="44"/>
  <c r="AJ39" i="44"/>
  <c r="AD39" i="44"/>
  <c r="AP39" i="44"/>
  <c r="AB39" i="44"/>
  <c r="AM39" i="44"/>
  <c r="AA39" i="44"/>
  <c r="AC39" i="44"/>
  <c r="Z39" i="44"/>
  <c r="AK39" i="44"/>
  <c r="F39" i="44"/>
  <c r="CQ22" i="1"/>
  <c r="CS22" i="1" s="1"/>
  <c r="CS13" i="1" s="1"/>
  <c r="CR22" i="1"/>
  <c r="AA76" i="44"/>
  <c r="AK76" i="44"/>
  <c r="AK8" i="44" s="1"/>
  <c r="AE76" i="44"/>
  <c r="AD76" i="44"/>
  <c r="AD8" i="44" s="1"/>
  <c r="AF76" i="44"/>
  <c r="AC76" i="44"/>
  <c r="AC8" i="44" s="1"/>
  <c r="Z76" i="44"/>
  <c r="G8" i="44" s="1"/>
  <c r="H8" i="44" s="1"/>
  <c r="AJ76" i="44"/>
  <c r="AJ8" i="44" s="1"/>
  <c r="AN76" i="44"/>
  <c r="AH76" i="44"/>
  <c r="AH8" i="44" s="1"/>
  <c r="AL76" i="44"/>
  <c r="AL8" i="44" s="1"/>
  <c r="AG76" i="44"/>
  <c r="AB76" i="44"/>
  <c r="F76" i="44"/>
  <c r="I8" i="44" s="1"/>
  <c r="AP76" i="44"/>
  <c r="AP8" i="44" s="1"/>
  <c r="Z2" i="45"/>
  <c r="Z7" i="45"/>
  <c r="AI78" i="44"/>
  <c r="AI5" i="44" s="1"/>
  <c r="AI10" i="44" s="1"/>
  <c r="Z4" i="44"/>
  <c r="G9" i="45"/>
  <c r="H9" i="45" s="1"/>
  <c r="AH62" i="45"/>
  <c r="AJ62" i="45"/>
  <c r="AB62" i="45"/>
  <c r="AA62" i="45"/>
  <c r="AI62" i="45"/>
  <c r="AM62" i="45"/>
  <c r="F62" i="45"/>
  <c r="AD62" i="45"/>
  <c r="AE62" i="45"/>
  <c r="Z62" i="45"/>
  <c r="AG62" i="45"/>
  <c r="AC62" i="45"/>
  <c r="AF62" i="45"/>
  <c r="AN62" i="45"/>
  <c r="AL62" i="45"/>
  <c r="AK62" i="45"/>
  <c r="AO62" i="45"/>
  <c r="AP62" i="45"/>
  <c r="AO70" i="45"/>
  <c r="AO4" i="45" s="1"/>
  <c r="AN70" i="45"/>
  <c r="AN4" i="45" s="1"/>
  <c r="AK70" i="45"/>
  <c r="AK4" i="45" s="1"/>
  <c r="AJ70" i="45"/>
  <c r="AJ4" i="45" s="1"/>
  <c r="AG70" i="45"/>
  <c r="AG4" i="45" s="1"/>
  <c r="AI70" i="45"/>
  <c r="AI4" i="45" s="1"/>
  <c r="AF70" i="45"/>
  <c r="AF4" i="45" s="1"/>
  <c r="AH70" i="45"/>
  <c r="AH4" i="45" s="1"/>
  <c r="AE70" i="45"/>
  <c r="AE4" i="45" s="1"/>
  <c r="AC70" i="45"/>
  <c r="AC4" i="45" s="1"/>
  <c r="AA70" i="45"/>
  <c r="AA4" i="45" s="1"/>
  <c r="AB70" i="45"/>
  <c r="AB4" i="45" s="1"/>
  <c r="AL70" i="45"/>
  <c r="AL4" i="45" s="1"/>
  <c r="Z70" i="45"/>
  <c r="F70" i="45"/>
  <c r="I4" i="45" s="1"/>
  <c r="AD70" i="45"/>
  <c r="AD4" i="45" s="1"/>
  <c r="AP70" i="45"/>
  <c r="AP4" i="45" s="1"/>
  <c r="AM70" i="45"/>
  <c r="AM4" i="45" s="1"/>
  <c r="AG38" i="45"/>
  <c r="AF38" i="45"/>
  <c r="AI38" i="45"/>
  <c r="AA38" i="45"/>
  <c r="AH38" i="45"/>
  <c r="AJ38" i="45"/>
  <c r="Z38" i="45"/>
  <c r="AD38" i="45"/>
  <c r="AC38" i="45"/>
  <c r="AB38" i="45"/>
  <c r="F38" i="45"/>
  <c r="AE38" i="45"/>
  <c r="AM38" i="45"/>
  <c r="AP38" i="45"/>
  <c r="AK38" i="45"/>
  <c r="AO38" i="45"/>
  <c r="AL38" i="45"/>
  <c r="AN38" i="45"/>
  <c r="AH35" i="45"/>
  <c r="AD35" i="45"/>
  <c r="AE35" i="45"/>
  <c r="AC35" i="45"/>
  <c r="AB35" i="45"/>
  <c r="AF35" i="45"/>
  <c r="AI35" i="45"/>
  <c r="F35" i="45"/>
  <c r="AJ35" i="45"/>
  <c r="AK35" i="45"/>
  <c r="AA35" i="45"/>
  <c r="AM35" i="45"/>
  <c r="Z35" i="45"/>
  <c r="AO35" i="45"/>
  <c r="AG35" i="45"/>
  <c r="AL35" i="45"/>
  <c r="AP35" i="45"/>
  <c r="AN35" i="45"/>
  <c r="I70" i="14"/>
  <c r="I71" i="14"/>
  <c r="AP76" i="45"/>
  <c r="AO76" i="45"/>
  <c r="AL76" i="45"/>
  <c r="Z76" i="45"/>
  <c r="AG76" i="45"/>
  <c r="AK76" i="45"/>
  <c r="AM76" i="45"/>
  <c r="F76" i="45"/>
  <c r="AA76" i="45"/>
  <c r="AB76" i="45"/>
  <c r="AH76" i="45"/>
  <c r="AF76" i="45"/>
  <c r="AE76" i="45"/>
  <c r="AD76" i="45"/>
  <c r="AC76" i="45"/>
  <c r="AJ76" i="45"/>
  <c r="AI76" i="45"/>
  <c r="AN76" i="45"/>
  <c r="AB28" i="45"/>
  <c r="AI28" i="45"/>
  <c r="AH28" i="45"/>
  <c r="AD28" i="45"/>
  <c r="AC28" i="45"/>
  <c r="AA28" i="45"/>
  <c r="Z28" i="45"/>
  <c r="AJ28" i="45"/>
  <c r="AP28" i="45"/>
  <c r="F28" i="45"/>
  <c r="AG28" i="45"/>
  <c r="AE28" i="45"/>
  <c r="AF28" i="45"/>
  <c r="AO28" i="45"/>
  <c r="AK28" i="45"/>
  <c r="AL28" i="45"/>
  <c r="AM28" i="45"/>
  <c r="AN28" i="45"/>
  <c r="G2" i="43"/>
  <c r="H2" i="43" s="1"/>
  <c r="AB8" i="44"/>
  <c r="AC38" i="43"/>
  <c r="AI38" i="43"/>
  <c r="AC35" i="43"/>
  <c r="AI35" i="43"/>
  <c r="AC28" i="43"/>
  <c r="AI28" i="43"/>
  <c r="AC62" i="43"/>
  <c r="AI62" i="43"/>
  <c r="AC76" i="43"/>
  <c r="AI76" i="43"/>
  <c r="AC70" i="43"/>
  <c r="AC4" i="43" s="1"/>
  <c r="AI70" i="43"/>
  <c r="AI4" i="43" s="1"/>
  <c r="G7" i="43"/>
  <c r="H7" i="43" s="1"/>
  <c r="AN8" i="44"/>
  <c r="AA8" i="44"/>
  <c r="AM8" i="44"/>
  <c r="AE8" i="44"/>
  <c r="AM78" i="44"/>
  <c r="AC78" i="44"/>
  <c r="AK78" i="44"/>
  <c r="AP78" i="44"/>
  <c r="F78" i="44"/>
  <c r="AA78" i="44"/>
  <c r="AG78" i="44"/>
  <c r="AH78" i="44"/>
  <c r="AH5" i="44" s="1"/>
  <c r="AB78" i="44"/>
  <c r="AF78" i="44"/>
  <c r="AG8" i="44"/>
  <c r="AO8" i="44"/>
  <c r="AF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AI78" i="43"/>
  <c r="I67" i="14"/>
  <c r="I69" i="14"/>
  <c r="DB38" i="1"/>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D5" i="46" l="1"/>
  <c r="AI13" i="46"/>
  <c r="T72" i="14" s="1"/>
  <c r="AL5" i="46"/>
  <c r="AE5" i="46"/>
  <c r="I39" i="14"/>
  <c r="I37" i="14"/>
  <c r="I38" i="14"/>
  <c r="AP10" i="46"/>
  <c r="AM94" i="46"/>
  <c r="AO8" i="47"/>
  <c r="AK8" i="47"/>
  <c r="AB13" i="46"/>
  <c r="M72" i="14" s="1"/>
  <c r="AM8" i="47"/>
  <c r="G8" i="47"/>
  <c r="H8" i="47" s="1"/>
  <c r="AF8" i="47"/>
  <c r="AL94" i="46"/>
  <c r="AE8" i="47"/>
  <c r="Z8" i="47"/>
  <c r="AB8" i="47"/>
  <c r="I8" i="47"/>
  <c r="AD8" i="47"/>
  <c r="AH8" i="47"/>
  <c r="AI8" i="47"/>
  <c r="AI78" i="47"/>
  <c r="AI13" i="47" s="1"/>
  <c r="T73" i="14" s="1"/>
  <c r="AG78" i="47"/>
  <c r="AG94" i="47" s="1"/>
  <c r="AA78" i="47"/>
  <c r="AA13" i="47" s="1"/>
  <c r="L73" i="14" s="1"/>
  <c r="AH78" i="47"/>
  <c r="AH5" i="47" s="1"/>
  <c r="AK78" i="47"/>
  <c r="AK5" i="47" s="1"/>
  <c r="AL78" i="47"/>
  <c r="AL94" i="47" s="1"/>
  <c r="Z78" i="47"/>
  <c r="Z13" i="47" s="1"/>
  <c r="K73" i="14" s="1"/>
  <c r="AD78" i="47"/>
  <c r="AD5" i="47" s="1"/>
  <c r="AF78" i="47"/>
  <c r="AF13" i="47" s="1"/>
  <c r="Q73" i="14" s="1"/>
  <c r="AE78" i="47"/>
  <c r="AE94" i="47" s="1"/>
  <c r="AM78" i="47"/>
  <c r="AM13" i="47" s="1"/>
  <c r="X73" i="14" s="1"/>
  <c r="AJ78" i="47"/>
  <c r="AJ5" i="47" s="1"/>
  <c r="AB78" i="47"/>
  <c r="AB13" i="47" s="1"/>
  <c r="M73" i="14" s="1"/>
  <c r="AC78" i="47"/>
  <c r="AC5" i="47" s="1"/>
  <c r="F78" i="47"/>
  <c r="I5" i="47" s="1"/>
  <c r="AO78" i="47"/>
  <c r="AO94" i="47" s="1"/>
  <c r="AN78" i="47"/>
  <c r="AN5" i="47" s="1"/>
  <c r="AP78" i="47"/>
  <c r="AP94" i="47" s="1"/>
  <c r="AK94" i="46"/>
  <c r="AP13" i="46"/>
  <c r="AA72" i="14" s="1"/>
  <c r="D72" i="14" s="1"/>
  <c r="AN8" i="47"/>
  <c r="AG8" i="47"/>
  <c r="AG94" i="46"/>
  <c r="AP8" i="47"/>
  <c r="AB5" i="47"/>
  <c r="AB10" i="47" s="1"/>
  <c r="Z4" i="47"/>
  <c r="G4" i="47"/>
  <c r="AJ8" i="47"/>
  <c r="AO13" i="47"/>
  <c r="Z73" i="14" s="1"/>
  <c r="AB94" i="47"/>
  <c r="AC8" i="47"/>
  <c r="AL8" i="47"/>
  <c r="AA8" i="47"/>
  <c r="AD94" i="47"/>
  <c r="BJ13" i="1"/>
  <c r="Z13" i="46"/>
  <c r="K72" i="14" s="1"/>
  <c r="AO94" i="46"/>
  <c r="AL13" i="46"/>
  <c r="W72" i="14" s="1"/>
  <c r="AF94" i="46"/>
  <c r="AE94" i="46"/>
  <c r="AE13" i="46"/>
  <c r="P72" i="14" s="1"/>
  <c r="AO13" i="46"/>
  <c r="Z72" i="14" s="1"/>
  <c r="AN10" i="46"/>
  <c r="AM10" i="46"/>
  <c r="I5" i="44"/>
  <c r="AD94" i="46"/>
  <c r="AA10" i="46"/>
  <c r="AI94" i="46"/>
  <c r="AF10" i="46"/>
  <c r="AC10" i="46"/>
  <c r="AE10" i="46"/>
  <c r="AG5" i="46"/>
  <c r="AG10" i="46" s="1"/>
  <c r="AK10" i="46"/>
  <c r="AC94" i="46"/>
  <c r="AP94" i="46"/>
  <c r="AL10" i="46"/>
  <c r="AL12" i="46" s="1"/>
  <c r="AL1" i="46" s="1"/>
  <c r="AC13" i="46"/>
  <c r="N72" i="14" s="1"/>
  <c r="I10" i="46"/>
  <c r="AD13" i="46"/>
  <c r="O72" i="14" s="1"/>
  <c r="AO78" i="44"/>
  <c r="AJ78" i="44"/>
  <c r="AJ5" i="44" s="1"/>
  <c r="AJ10" i="44" s="1"/>
  <c r="AH5" i="46"/>
  <c r="AH10" i="46" s="1"/>
  <c r="AH12" i="46" s="1"/>
  <c r="AH1" i="46" s="1"/>
  <c r="AB5" i="46"/>
  <c r="AB10" i="46" s="1"/>
  <c r="AM13" i="46"/>
  <c r="X72" i="14" s="1"/>
  <c r="Z78" i="44"/>
  <c r="G5" i="44" s="1"/>
  <c r="H5" i="44" s="1"/>
  <c r="AD78" i="44"/>
  <c r="AD5" i="44" s="1"/>
  <c r="AD10" i="44" s="1"/>
  <c r="Z8" i="44"/>
  <c r="AO10" i="46"/>
  <c r="G5" i="46"/>
  <c r="H5" i="46" s="1"/>
  <c r="Z94" i="46"/>
  <c r="AF13" i="46"/>
  <c r="Q72" i="14" s="1"/>
  <c r="AK5" i="44"/>
  <c r="AK10" i="44" s="1"/>
  <c r="H4" i="46"/>
  <c r="AN13" i="46"/>
  <c r="Y72" i="14" s="1"/>
  <c r="E72" i="14" s="1"/>
  <c r="AJ5" i="46"/>
  <c r="AJ10" i="46" s="1"/>
  <c r="Z10" i="46"/>
  <c r="AN94" i="46"/>
  <c r="AA94" i="46"/>
  <c r="AD10" i="46"/>
  <c r="AA13" i="46"/>
  <c r="L72" i="14" s="1"/>
  <c r="AH13" i="46"/>
  <c r="S72" i="14" s="1"/>
  <c r="C72" i="14" s="1"/>
  <c r="AK13" i="46"/>
  <c r="V72" i="14" s="1"/>
  <c r="AB94" i="46"/>
  <c r="AN78" i="44"/>
  <c r="AE78" i="44"/>
  <c r="AE5" i="44" s="1"/>
  <c r="AE10" i="44" s="1"/>
  <c r="AL78" i="44"/>
  <c r="AL5" i="44" s="1"/>
  <c r="AL10" i="44" s="1"/>
  <c r="AI5" i="46"/>
  <c r="AI10" i="46" s="1"/>
  <c r="AJ94" i="46"/>
  <c r="AA22" i="45"/>
  <c r="F22" i="45"/>
  <c r="AF22" i="45"/>
  <c r="AC22" i="45"/>
  <c r="AH22" i="45"/>
  <c r="AJ22" i="45"/>
  <c r="Z22" i="45"/>
  <c r="AN22" i="45"/>
  <c r="AD22" i="45"/>
  <c r="AP22" i="45"/>
  <c r="AM22" i="45"/>
  <c r="AK22" i="45"/>
  <c r="AI22" i="45"/>
  <c r="AG22" i="45"/>
  <c r="AO22" i="45"/>
  <c r="AB22" i="45"/>
  <c r="AE22" i="45"/>
  <c r="AL22" i="45"/>
  <c r="BL22" i="1"/>
  <c r="BU22" i="1"/>
  <c r="BU8" i="1" s="1"/>
  <c r="BM22" i="1"/>
  <c r="BM8" i="1" s="1"/>
  <c r="BQ22" i="1"/>
  <c r="AW8" i="1" s="1"/>
  <c r="BV22" i="1"/>
  <c r="BN22" i="1"/>
  <c r="BB8" i="1" s="1"/>
  <c r="BC8" i="1" s="1"/>
  <c r="BY8" i="1" s="1"/>
  <c r="BK22" i="1"/>
  <c r="BK8" i="1" s="1"/>
  <c r="BT22" i="1"/>
  <c r="BT8" i="1" s="1"/>
  <c r="BP22" i="1"/>
  <c r="BP8" i="1" s="1"/>
  <c r="BO22" i="1"/>
  <c r="BO8" i="1" s="1"/>
  <c r="BR22" i="1"/>
  <c r="BR8" i="1" s="1"/>
  <c r="BS22" i="1"/>
  <c r="BS8" i="1" s="1"/>
  <c r="DE22" i="1"/>
  <c r="DE8" i="1" s="1"/>
  <c r="DC22" i="1"/>
  <c r="DC8" i="1" s="1"/>
  <c r="CZ22" i="1"/>
  <c r="CF8" i="1" s="1"/>
  <c r="DA22" i="1"/>
  <c r="DA8" i="1" s="1"/>
  <c r="CU22" i="1"/>
  <c r="CU8" i="1" s="1"/>
  <c r="CT22" i="1"/>
  <c r="CT13" i="1" s="1"/>
  <c r="DB22" i="1"/>
  <c r="DB8" i="1" s="1"/>
  <c r="CY22" i="1"/>
  <c r="CX22" i="1"/>
  <c r="CX8" i="1" s="1"/>
  <c r="CW22" i="1"/>
  <c r="CW8" i="1" s="1"/>
  <c r="DD22" i="1"/>
  <c r="DD8" i="1" s="1"/>
  <c r="CV22" i="1"/>
  <c r="CV8" i="1" s="1"/>
  <c r="AI22" i="44"/>
  <c r="AI13" i="44" s="1"/>
  <c r="T70" i="14" s="1"/>
  <c r="AD22" i="44"/>
  <c r="AD13" i="44" s="1"/>
  <c r="O70" i="14" s="1"/>
  <c r="AP22" i="44"/>
  <c r="AP13" i="44" s="1"/>
  <c r="AA70" i="14" s="1"/>
  <c r="AC22" i="44"/>
  <c r="AC13" i="44" s="1"/>
  <c r="N70" i="14" s="1"/>
  <c r="AL22" i="44"/>
  <c r="AH22" i="44"/>
  <c r="AK22" i="44"/>
  <c r="AF22" i="44"/>
  <c r="AF94" i="44" s="1"/>
  <c r="AM22" i="44"/>
  <c r="AM94" i="44" s="1"/>
  <c r="Z22" i="44"/>
  <c r="AO22" i="44"/>
  <c r="AO94" i="44" s="1"/>
  <c r="AG22" i="44"/>
  <c r="AG13" i="44" s="1"/>
  <c r="R70" i="14" s="1"/>
  <c r="AA22" i="44"/>
  <c r="AA13" i="44" s="1"/>
  <c r="L70" i="14" s="1"/>
  <c r="AN22" i="44"/>
  <c r="AN94" i="44" s="1"/>
  <c r="AJ22" i="44"/>
  <c r="AE22" i="44"/>
  <c r="AE13" i="44" s="1"/>
  <c r="P70" i="14" s="1"/>
  <c r="AB22" i="44"/>
  <c r="AB94" i="44" s="1"/>
  <c r="F22" i="44"/>
  <c r="I10" i="44" s="1"/>
  <c r="AB8" i="45"/>
  <c r="CY8" i="1"/>
  <c r="AK8" i="45"/>
  <c r="G8" i="45"/>
  <c r="H8" i="45" s="1"/>
  <c r="AA8" i="45"/>
  <c r="AN8" i="45"/>
  <c r="AC8" i="45"/>
  <c r="AH8" i="45"/>
  <c r="I8" i="45"/>
  <c r="AM8" i="45"/>
  <c r="AI5" i="43"/>
  <c r="AG8" i="45"/>
  <c r="AL8" i="45"/>
  <c r="AO8" i="45"/>
  <c r="AB5" i="44"/>
  <c r="AB10" i="44" s="1"/>
  <c r="AF8" i="45"/>
  <c r="AE8" i="45"/>
  <c r="AC8" i="43"/>
  <c r="AJ8" i="45"/>
  <c r="AP8" i="45"/>
  <c r="AI8" i="45"/>
  <c r="AD8" i="45"/>
  <c r="AI8" i="43"/>
  <c r="AF78" i="45"/>
  <c r="AF5" i="45" s="1"/>
  <c r="AF10" i="45" s="1"/>
  <c r="AA78" i="45"/>
  <c r="AE78" i="45"/>
  <c r="AE5" i="45" s="1"/>
  <c r="Z78" i="45"/>
  <c r="G5" i="45" s="1"/>
  <c r="H5" i="45" s="1"/>
  <c r="AP78" i="45"/>
  <c r="AP5" i="45" s="1"/>
  <c r="AK78" i="45"/>
  <c r="F78" i="45"/>
  <c r="I10" i="45" s="1"/>
  <c r="AO78" i="45"/>
  <c r="AC78" i="45"/>
  <c r="AM78" i="45"/>
  <c r="AJ78" i="45"/>
  <c r="AJ5" i="45" s="1"/>
  <c r="AN78" i="45"/>
  <c r="AN5" i="45" s="1"/>
  <c r="AI78" i="45"/>
  <c r="AI5" i="45" s="1"/>
  <c r="AD78" i="45"/>
  <c r="AD5" i="45" s="1"/>
  <c r="AG78" i="45"/>
  <c r="AG5" i="45" s="1"/>
  <c r="AB78" i="45"/>
  <c r="AL78" i="45"/>
  <c r="AH78" i="45"/>
  <c r="Z8" i="45"/>
  <c r="Z4" i="45"/>
  <c r="G4" i="45"/>
  <c r="AI13" i="43"/>
  <c r="T69" i="14" s="1"/>
  <c r="AN13" i="44"/>
  <c r="Y70" i="14" s="1"/>
  <c r="AI94" i="43"/>
  <c r="AP5" i="44"/>
  <c r="AP10" i="44" s="1"/>
  <c r="AC94" i="44"/>
  <c r="AC5" i="44"/>
  <c r="AC10" i="44" s="1"/>
  <c r="AN5" i="44"/>
  <c r="AN10" i="44" s="1"/>
  <c r="AB8" i="43"/>
  <c r="AK8" i="43"/>
  <c r="AH10" i="44"/>
  <c r="AG5" i="44"/>
  <c r="AG10" i="44" s="1"/>
  <c r="AJ13" i="44"/>
  <c r="U70" i="14" s="1"/>
  <c r="AM5" i="44"/>
  <c r="AM10" i="44" s="1"/>
  <c r="AP94" i="44"/>
  <c r="AD8" i="43"/>
  <c r="AH13" i="44"/>
  <c r="S70" i="14" s="1"/>
  <c r="AH94" i="44"/>
  <c r="AK94" i="44"/>
  <c r="AK13" i="44"/>
  <c r="V70" i="14" s="1"/>
  <c r="AA5" i="44"/>
  <c r="AA10" i="44" s="1"/>
  <c r="AF5" i="44"/>
  <c r="AF10" i="44" s="1"/>
  <c r="AO5" i="44"/>
  <c r="AO10" i="44" s="1"/>
  <c r="BC68" i="14"/>
  <c r="AI68" i="14"/>
  <c r="AC94" i="21"/>
  <c r="AC78" i="43"/>
  <c r="AC5" i="21"/>
  <c r="AC10" i="21" s="1"/>
  <c r="AO8" i="43"/>
  <c r="I8" i="43"/>
  <c r="AL8" i="43"/>
  <c r="AH8" i="43"/>
  <c r="AN8" i="43"/>
  <c r="G8" i="43"/>
  <c r="H8" i="43" s="1"/>
  <c r="AJ8" i="43"/>
  <c r="AP8" i="21"/>
  <c r="Z8" i="43"/>
  <c r="AM8" i="43"/>
  <c r="AF8" i="43"/>
  <c r="AP8" i="20"/>
  <c r="AA8" i="43"/>
  <c r="AE8" i="43"/>
  <c r="AG8" i="43"/>
  <c r="AP8" i="43"/>
  <c r="G4" i="43"/>
  <c r="Z4" i="43"/>
  <c r="AH78" i="43"/>
  <c r="AH5" i="43" s="1"/>
  <c r="AG78" i="43"/>
  <c r="AG13" i="43" s="1"/>
  <c r="R69" i="14" s="1"/>
  <c r="AA78" i="43"/>
  <c r="AA94" i="43" s="1"/>
  <c r="AM78" i="43"/>
  <c r="AM13" i="43" s="1"/>
  <c r="X69" i="14" s="1"/>
  <c r="AF78" i="43"/>
  <c r="AF13" i="43" s="1"/>
  <c r="Q69" i="14" s="1"/>
  <c r="AK78" i="43"/>
  <c r="AK94" i="43" s="1"/>
  <c r="F78" i="43"/>
  <c r="I5" i="43" s="1"/>
  <c r="AE78" i="43"/>
  <c r="AE13" i="43" s="1"/>
  <c r="P69" i="14" s="1"/>
  <c r="AJ78" i="43"/>
  <c r="AJ94" i="43" s="1"/>
  <c r="AB78" i="43"/>
  <c r="AB5" i="43" s="1"/>
  <c r="Z78" i="43"/>
  <c r="Z5" i="43" s="1"/>
  <c r="AP78" i="43"/>
  <c r="AP13" i="43" s="1"/>
  <c r="AA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O94" i="13"/>
  <c r="AJ8" i="16"/>
  <c r="AB8" i="16"/>
  <c r="Z8" i="16"/>
  <c r="AF8" i="21"/>
  <c r="AB8" i="21"/>
  <c r="AA8" i="21"/>
  <c r="AF78" i="21"/>
  <c r="AF94" i="21" s="1"/>
  <c r="AG78" i="21"/>
  <c r="AG5" i="21" s="1"/>
  <c r="AB8" i="20"/>
  <c r="AF78" i="20"/>
  <c r="AF94" i="20" s="1"/>
  <c r="AG78" i="20"/>
  <c r="AG94" i="20" s="1"/>
  <c r="AH8" i="21"/>
  <c r="AO8" i="20"/>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AG5" i="19"/>
  <c r="Z8" i="18"/>
  <c r="AB8" i="18"/>
  <c r="AD8" i="19"/>
  <c r="AD8" i="18"/>
  <c r="AF8" i="18"/>
  <c r="AJ8" i="19"/>
  <c r="AM8" i="19"/>
  <c r="AA8" i="19"/>
  <c r="AO8" i="18"/>
  <c r="AL8" i="18"/>
  <c r="CX78" i="1"/>
  <c r="CX5" i="1" s="1"/>
  <c r="CT5"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AJ8" i="13"/>
  <c r="AX8" i="1"/>
  <c r="AY8" i="1" s="1"/>
  <c r="AH5" i="13"/>
  <c r="AD8" i="13"/>
  <c r="Z8" i="13"/>
  <c r="AK8" i="13"/>
  <c r="AN8" i="13"/>
  <c r="AG8" i="13"/>
  <c r="AF8" i="13"/>
  <c r="AL8" i="13"/>
  <c r="AM8" i="13"/>
  <c r="AE8" i="13"/>
  <c r="AA8" i="13"/>
  <c r="AB13" i="1"/>
  <c r="H58" i="11" s="1"/>
  <c r="AK58" i="11" s="1"/>
  <c r="AG10" i="1"/>
  <c r="AK10" i="1"/>
  <c r="AD10" i="1"/>
  <c r="AF10" i="1"/>
  <c r="AI10" i="1"/>
  <c r="AC10" i="1"/>
  <c r="S8" i="1"/>
  <c r="T8" i="1" s="1"/>
  <c r="AP8" i="1" s="1"/>
  <c r="AJ10" i="1"/>
  <c r="AL10" i="1"/>
  <c r="CG4" i="1"/>
  <c r="CH4" i="1" s="1"/>
  <c r="DE4" i="1"/>
  <c r="AE5" i="1"/>
  <c r="AB5" i="1"/>
  <c r="AB10" i="1" s="1"/>
  <c r="BL8" i="1"/>
  <c r="AM5" i="1"/>
  <c r="AH5" i="1"/>
  <c r="S4" i="1"/>
  <c r="T4" i="1" s="1"/>
  <c r="AP4" i="1" s="1"/>
  <c r="AE4" i="1"/>
  <c r="BV8" i="1"/>
  <c r="DA4" i="1"/>
  <c r="O4" i="1"/>
  <c r="P4" i="1" s="1"/>
  <c r="AM4" i="1"/>
  <c r="CY4" i="1"/>
  <c r="N4" i="1"/>
  <c r="N10" i="1" s="1"/>
  <c r="AH4" i="1"/>
  <c r="CK4" i="1"/>
  <c r="CL4" i="1" s="1"/>
  <c r="CW4" i="1"/>
  <c r="G8" i="13"/>
  <c r="H8" i="13" s="1"/>
  <c r="AA78" i="13"/>
  <c r="AA94" i="13" s="1"/>
  <c r="AM78" i="13"/>
  <c r="AM5" i="13" s="1"/>
  <c r="AL78" i="13"/>
  <c r="AL5" i="13" s="1"/>
  <c r="AF5" i="13"/>
  <c r="Z78" i="13"/>
  <c r="Z94" i="13" s="1"/>
  <c r="AG5" i="13"/>
  <c r="AK78" i="13"/>
  <c r="AK94" i="13" s="1"/>
  <c r="AE78" i="13"/>
  <c r="AE5" i="13" s="1"/>
  <c r="AN78" i="13"/>
  <c r="AN13" i="13" s="1"/>
  <c r="AK13" i="1"/>
  <c r="Q58" i="11" s="1"/>
  <c r="AG13" i="1"/>
  <c r="M58" i="11" s="1"/>
  <c r="CF4" i="1"/>
  <c r="AI13" i="1"/>
  <c r="O58" i="11" s="1"/>
  <c r="BV78" i="1"/>
  <c r="BV13" i="1" s="1"/>
  <c r="BM78" i="1"/>
  <c r="BN78" i="1"/>
  <c r="BK78" i="1"/>
  <c r="BR78" i="1"/>
  <c r="BT78" i="1"/>
  <c r="BP78" i="1"/>
  <c r="BQ78" i="1"/>
  <c r="AW5" i="1" s="1"/>
  <c r="BS78" i="1"/>
  <c r="BO78" i="1"/>
  <c r="BL78" i="1"/>
  <c r="BU78" i="1"/>
  <c r="BI13" i="1"/>
  <c r="AL13" i="1"/>
  <c r="S58" i="11" s="1"/>
  <c r="AD13" i="1"/>
  <c r="J58" i="11" s="1"/>
  <c r="AC13" i="1"/>
  <c r="I58" i="11" s="1"/>
  <c r="AJ13" i="1"/>
  <c r="P58" i="11" s="1"/>
  <c r="AF13" i="1"/>
  <c r="L58" i="11" s="1"/>
  <c r="O10" i="1"/>
  <c r="P10" i="1" s="1"/>
  <c r="AH13" i="1"/>
  <c r="N58" i="11" s="1"/>
  <c r="AE13" i="1"/>
  <c r="K58" i="11" s="1"/>
  <c r="AM13" i="1"/>
  <c r="T58" i="11" s="1"/>
  <c r="AI12" i="46" l="1"/>
  <c r="AI1" i="46" s="1"/>
  <c r="BL13" i="1"/>
  <c r="G5" i="47"/>
  <c r="H5" i="47" s="1"/>
  <c r="AG12" i="46"/>
  <c r="AG1" i="46" s="1"/>
  <c r="BP13" i="1"/>
  <c r="AM12" i="46"/>
  <c r="AM1" i="46" s="1"/>
  <c r="AP12" i="46"/>
  <c r="AP1" i="46" s="1"/>
  <c r="AI5" i="47"/>
  <c r="AI10" i="47" s="1"/>
  <c r="AF5" i="47"/>
  <c r="AF10" i="47" s="1"/>
  <c r="AN94" i="47"/>
  <c r="AF94" i="47"/>
  <c r="Z5" i="47"/>
  <c r="Z10" i="47" s="1"/>
  <c r="AK10" i="47"/>
  <c r="AL13" i="47"/>
  <c r="W73" i="14" s="1"/>
  <c r="AD10" i="47"/>
  <c r="AD12" i="47" s="1"/>
  <c r="AD1" i="47" s="1"/>
  <c r="AG10" i="45"/>
  <c r="AF12" i="46"/>
  <c r="AF1" i="46" s="1"/>
  <c r="CZ8" i="1"/>
  <c r="AA12" i="46"/>
  <c r="AA1" i="46" s="1"/>
  <c r="AA5" i="47"/>
  <c r="AA10" i="47" s="1"/>
  <c r="AJ94" i="47"/>
  <c r="AC10" i="47"/>
  <c r="AK13" i="47"/>
  <c r="V73" i="14" s="1"/>
  <c r="AO5" i="47"/>
  <c r="AO10" i="47" s="1"/>
  <c r="AO12" i="47" s="1"/>
  <c r="AO1" i="47" s="1"/>
  <c r="AI94" i="47"/>
  <c r="AJ10" i="47"/>
  <c r="AH10" i="47"/>
  <c r="AC13" i="47"/>
  <c r="N73" i="14" s="1"/>
  <c r="AC94" i="47"/>
  <c r="Z94" i="47"/>
  <c r="I10" i="47"/>
  <c r="AE13" i="47"/>
  <c r="P73" i="14" s="1"/>
  <c r="AN10" i="47"/>
  <c r="AN12" i="47" s="1"/>
  <c r="AN1" i="47" s="1"/>
  <c r="AL5" i="47"/>
  <c r="AL10" i="47" s="1"/>
  <c r="AL12" i="47" s="1"/>
  <c r="AL1" i="47" s="1"/>
  <c r="AH13" i="47"/>
  <c r="S73" i="14" s="1"/>
  <c r="AB12" i="47"/>
  <c r="AB1" i="47" s="1"/>
  <c r="AD13" i="47"/>
  <c r="O73" i="14" s="1"/>
  <c r="AG5" i="47"/>
  <c r="AG10" i="47" s="1"/>
  <c r="AG12" i="47" s="1"/>
  <c r="AG1" i="47" s="1"/>
  <c r="AH94" i="47"/>
  <c r="AM5" i="47"/>
  <c r="AM10" i="47" s="1"/>
  <c r="AP13" i="47"/>
  <c r="AA73" i="14" s="1"/>
  <c r="D73" i="14" s="1"/>
  <c r="AA94" i="47"/>
  <c r="AG13" i="47"/>
  <c r="R73" i="14" s="1"/>
  <c r="AP5" i="47"/>
  <c r="AP10" i="47" s="1"/>
  <c r="AP12" i="47" s="1"/>
  <c r="AP1" i="47" s="1"/>
  <c r="AM94" i="47"/>
  <c r="AJ13" i="47"/>
  <c r="U73" i="14" s="1"/>
  <c r="AE5" i="47"/>
  <c r="AE10" i="47" s="1"/>
  <c r="AE12" i="47" s="1"/>
  <c r="AE1" i="47" s="1"/>
  <c r="AK12" i="46"/>
  <c r="AK1" i="46" s="1"/>
  <c r="H4" i="47"/>
  <c r="G10" i="47"/>
  <c r="H10" i="47" s="1"/>
  <c r="J73" i="14" s="1"/>
  <c r="AN13" i="47"/>
  <c r="Y73" i="14" s="1"/>
  <c r="AK94" i="47"/>
  <c r="AK12" i="47" s="1"/>
  <c r="AK1" i="47" s="1"/>
  <c r="BQ8" i="1"/>
  <c r="AE12" i="46"/>
  <c r="AE1" i="46" s="1"/>
  <c r="AO94" i="45"/>
  <c r="T30" i="14" a="1"/>
  <c r="T30" i="14" s="1"/>
  <c r="T31" i="14"/>
  <c r="AA31" i="14"/>
  <c r="AA30" i="14" a="1"/>
  <c r="AA30" i="14" s="1"/>
  <c r="AN12" i="46"/>
  <c r="AN1" i="46" s="1"/>
  <c r="BS13" i="1"/>
  <c r="AB10" i="43"/>
  <c r="AO12" i="46"/>
  <c r="AO1" i="46" s="1"/>
  <c r="AJ12" i="46"/>
  <c r="AJ1" i="46" s="1"/>
  <c r="AD12" i="46"/>
  <c r="AD1" i="46" s="1"/>
  <c r="AC12" i="46"/>
  <c r="AC1" i="46" s="1"/>
  <c r="AG94" i="44"/>
  <c r="AM13" i="45"/>
  <c r="X71" i="14" s="1"/>
  <c r="Z5" i="44"/>
  <c r="Z10" i="44" s="1"/>
  <c r="BT13" i="1"/>
  <c r="Q59" i="11" s="1"/>
  <c r="R59" i="11" s="1"/>
  <c r="Z94" i="44"/>
  <c r="Z12" i="44" s="1"/>
  <c r="Z1" i="44" s="1"/>
  <c r="AJ94" i="44"/>
  <c r="F72" i="14"/>
  <c r="AO13" i="44"/>
  <c r="Z70" i="14" s="1"/>
  <c r="AL13" i="44"/>
  <c r="W70" i="14" s="1"/>
  <c r="AH13" i="45"/>
  <c r="S71" i="14" s="1"/>
  <c r="CT8" i="1"/>
  <c r="CT10" i="1" s="1"/>
  <c r="BR13" i="1"/>
  <c r="O59" i="11" s="1"/>
  <c r="C59" i="11" s="1"/>
  <c r="AO70" i="14"/>
  <c r="G10" i="46"/>
  <c r="H10" i="46" s="1"/>
  <c r="J72" i="14" s="1"/>
  <c r="AD94" i="44"/>
  <c r="AM13" i="44"/>
  <c r="X70" i="14" s="1"/>
  <c r="BM13" i="1"/>
  <c r="J59" i="11" s="1"/>
  <c r="AB13" i="44"/>
  <c r="M70" i="14" s="1"/>
  <c r="AA94" i="44"/>
  <c r="BU13" i="1"/>
  <c r="BK13" i="1"/>
  <c r="H59" i="11" s="1"/>
  <c r="AA94" i="45"/>
  <c r="AB12" i="46"/>
  <c r="AB1" i="46" s="1"/>
  <c r="CV10" i="1"/>
  <c r="CK8" i="1"/>
  <c r="CL8" i="1" s="1"/>
  <c r="AL94" i="44"/>
  <c r="AL12" i="44" s="1"/>
  <c r="AL1" i="44" s="1"/>
  <c r="Z12" i="46"/>
  <c r="Z1" i="46" s="1"/>
  <c r="AF13" i="44"/>
  <c r="Q70" i="14" s="1"/>
  <c r="BO13" i="1"/>
  <c r="L59" i="11" s="1"/>
  <c r="AE94" i="44"/>
  <c r="AC13" i="45"/>
  <c r="N71" i="14" s="1"/>
  <c r="BN8" i="1"/>
  <c r="Z13" i="44"/>
  <c r="K70" i="14" s="1"/>
  <c r="AB13" i="45"/>
  <c r="M71" i="14" s="1"/>
  <c r="CG8" i="1"/>
  <c r="CH8" i="1" s="1"/>
  <c r="BN13" i="1"/>
  <c r="K59" i="11" s="1"/>
  <c r="AN59" i="11" s="1"/>
  <c r="AO12" i="44"/>
  <c r="AO1" i="44" s="1"/>
  <c r="AN10" i="45"/>
  <c r="AM12" i="44"/>
  <c r="AM1" i="44" s="1"/>
  <c r="AB12" i="44"/>
  <c r="AB1" i="44" s="1"/>
  <c r="AI94" i="44"/>
  <c r="AI12" i="44" s="1"/>
  <c r="AI1" i="44" s="1"/>
  <c r="AF12" i="44"/>
  <c r="AF1" i="44" s="1"/>
  <c r="AN12" i="44"/>
  <c r="AN1" i="44" s="1"/>
  <c r="AJ10" i="45"/>
  <c r="AJ13" i="45"/>
  <c r="U71" i="14" s="1"/>
  <c r="AI10" i="43"/>
  <c r="AI10" i="45"/>
  <c r="AK12" i="44"/>
  <c r="AK1" i="44" s="1"/>
  <c r="AI13" i="45"/>
  <c r="T71" i="14" s="1"/>
  <c r="T34" i="14" s="1" a="1"/>
  <c r="T34" i="14" s="1"/>
  <c r="AB94" i="45"/>
  <c r="AH94" i="45"/>
  <c r="AA13" i="45"/>
  <c r="L71" i="14" s="1"/>
  <c r="AG13" i="45"/>
  <c r="R71" i="14" s="1"/>
  <c r="AB5" i="45"/>
  <c r="AB10" i="45" s="1"/>
  <c r="AC5" i="45"/>
  <c r="AC10" i="45" s="1"/>
  <c r="AI94" i="45"/>
  <c r="AM5" i="45"/>
  <c r="AM10" i="45" s="1"/>
  <c r="AA5" i="45"/>
  <c r="AA10" i="45" s="1"/>
  <c r="Z5" i="45"/>
  <c r="Z10" i="45" s="1"/>
  <c r="AN94" i="45"/>
  <c r="AP10" i="45"/>
  <c r="AC94" i="45"/>
  <c r="AE10" i="45"/>
  <c r="AK5" i="45"/>
  <c r="AK10" i="45" s="1"/>
  <c r="AK13" i="45"/>
  <c r="V71" i="14" s="1"/>
  <c r="H4" i="45"/>
  <c r="G10" i="45"/>
  <c r="H10" i="45" s="1"/>
  <c r="J71" i="14" s="1"/>
  <c r="AD10" i="45"/>
  <c r="AO5" i="45"/>
  <c r="AO10" i="45" s="1"/>
  <c r="AO12" i="45" s="1"/>
  <c r="AO1" i="45" s="1"/>
  <c r="AE12" i="44"/>
  <c r="AE1" i="44" s="1"/>
  <c r="I5" i="45"/>
  <c r="AO13" i="45"/>
  <c r="Z71" i="14" s="1"/>
  <c r="AG94" i="45"/>
  <c r="AG12" i="45" s="1"/>
  <c r="AG1" i="45" s="1"/>
  <c r="AM94" i="45"/>
  <c r="AP94" i="45"/>
  <c r="AN13" i="45"/>
  <c r="Y71" i="14" s="1"/>
  <c r="AF13" i="45"/>
  <c r="Q71" i="14" s="1"/>
  <c r="AF94" i="45"/>
  <c r="AF12" i="45" s="1"/>
  <c r="AF1" i="45" s="1"/>
  <c r="AK94" i="45"/>
  <c r="AP13" i="45"/>
  <c r="AA71" i="14" s="1"/>
  <c r="AA34" i="14" s="1" a="1"/>
  <c r="AA34" i="14" s="1"/>
  <c r="AE13" i="45"/>
  <c r="P71" i="14" s="1"/>
  <c r="AL5" i="45"/>
  <c r="AL10" i="45" s="1"/>
  <c r="AL94" i="45"/>
  <c r="AH5" i="45"/>
  <c r="AH10" i="45" s="1"/>
  <c r="AJ94" i="45"/>
  <c r="AD94" i="45"/>
  <c r="Z13" i="45"/>
  <c r="K71" i="14" s="1"/>
  <c r="AE94" i="45"/>
  <c r="AL13" i="45"/>
  <c r="W71" i="14" s="1"/>
  <c r="AD13" i="45"/>
  <c r="O71" i="14" s="1"/>
  <c r="Z94" i="45"/>
  <c r="AO69" i="14"/>
  <c r="BI70" i="14"/>
  <c r="BI69" i="14"/>
  <c r="AD12" i="44"/>
  <c r="AD1" i="44" s="1"/>
  <c r="AI12" i="43"/>
  <c r="AI1" i="43" s="1"/>
  <c r="AC12" i="44"/>
  <c r="AC1" i="44" s="1"/>
  <c r="AJ12" i="44"/>
  <c r="AJ1" i="44" s="1"/>
  <c r="AP12" i="44"/>
  <c r="AP1" i="44" s="1"/>
  <c r="AH12" i="44"/>
  <c r="AH1" i="44" s="1"/>
  <c r="G10" i="44"/>
  <c r="H10" i="44" s="1"/>
  <c r="J70" i="14" s="1"/>
  <c r="AA12" i="44"/>
  <c r="AA1" i="44" s="1"/>
  <c r="AC12" i="21"/>
  <c r="AC1" i="21" s="1"/>
  <c r="AG12" i="44"/>
  <c r="AG1" i="44" s="1"/>
  <c r="AV69" i="14"/>
  <c r="BP69" i="14"/>
  <c r="BP70" i="14"/>
  <c r="AV70" i="14"/>
  <c r="AP94" i="21"/>
  <c r="DB10" i="1"/>
  <c r="AC5" i="43"/>
  <c r="AC10" i="43" s="1"/>
  <c r="AC13" i="43"/>
  <c r="N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J13" i="43"/>
  <c r="U69" i="14" s="1"/>
  <c r="AO5" i="43"/>
  <c r="AO10" i="43" s="1"/>
  <c r="AO12" i="43" s="1"/>
  <c r="AO1" i="43" s="1"/>
  <c r="H4" i="43"/>
  <c r="BP67" i="14"/>
  <c r="BP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O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O60" i="11"/>
  <c r="I59" i="11"/>
  <c r="S59" i="11"/>
  <c r="AV59" i="11" s="1"/>
  <c r="P59" i="11"/>
  <c r="AS59" i="11" s="1"/>
  <c r="T59" i="11"/>
  <c r="M59" i="11"/>
  <c r="AP59" i="11" s="1"/>
  <c r="H60" i="1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A73" i="14"/>
  <c r="B73" i="14"/>
  <c r="B72" i="14"/>
  <c r="A65" i="14"/>
  <c r="A66" i="14"/>
  <c r="A72" i="14"/>
  <c r="B66" i="14"/>
  <c r="B71" i="14"/>
  <c r="A67" i="14"/>
  <c r="B70" i="14"/>
  <c r="B65" i="14"/>
  <c r="A71" i="14"/>
  <c r="B63" i="14"/>
  <c r="B67" i="14"/>
  <c r="A70" i="14"/>
  <c r="AI12" i="47" l="1"/>
  <c r="AI1" i="47" s="1"/>
  <c r="O34" i="14" a="1"/>
  <c r="O34" i="14" s="1"/>
  <c r="O35" i="14"/>
  <c r="W34" i="14" a="1"/>
  <c r="W34" i="14" s="1"/>
  <c r="W35" i="14"/>
  <c r="K35" i="14"/>
  <c r="K34" i="14" a="1"/>
  <c r="K34" i="14" s="1"/>
  <c r="N34" i="14" a="1"/>
  <c r="N34" i="14" s="1"/>
  <c r="N35" i="14"/>
  <c r="AA35" i="14"/>
  <c r="AU73" i="14"/>
  <c r="T35" i="14"/>
  <c r="T33" i="14" s="1"/>
  <c r="P34" i="14" a="1"/>
  <c r="P34" i="14" s="1"/>
  <c r="P35" i="14"/>
  <c r="L34" i="14" a="1"/>
  <c r="L34" i="14" s="1"/>
  <c r="L35" i="14"/>
  <c r="BB73" i="14"/>
  <c r="S35" i="14"/>
  <c r="S34" i="14" a="1"/>
  <c r="S34" i="14" s="1"/>
  <c r="U34" i="14" a="1"/>
  <c r="U34" i="14" s="1"/>
  <c r="U35" i="14"/>
  <c r="M34" i="14" a="1"/>
  <c r="M34" i="14" s="1"/>
  <c r="M35" i="14"/>
  <c r="Z12" i="47"/>
  <c r="Z1" i="47" s="1"/>
  <c r="AF12" i="47"/>
  <c r="AF1" i="47" s="1"/>
  <c r="AJ12" i="47"/>
  <c r="AJ1" i="47" s="1"/>
  <c r="AM12" i="47"/>
  <c r="AM1" i="47" s="1"/>
  <c r="AA12" i="47"/>
  <c r="AA1" i="47" s="1"/>
  <c r="AH12" i="47"/>
  <c r="AH1" i="47" s="1"/>
  <c r="BJ73" i="14"/>
  <c r="AC12" i="47"/>
  <c r="AC1" i="47" s="1"/>
  <c r="BC73" i="14"/>
  <c r="AI73" i="14"/>
  <c r="BF73" i="14"/>
  <c r="BA73" i="14"/>
  <c r="AG73" i="14"/>
  <c r="AH73" i="14"/>
  <c r="AP73" i="14"/>
  <c r="AJ73" i="14"/>
  <c r="BD73" i="14"/>
  <c r="AA12" i="45"/>
  <c r="AA1" i="45" s="1"/>
  <c r="BH73" i="14"/>
  <c r="AN73" i="14"/>
  <c r="BL73" i="14"/>
  <c r="AR73" i="14"/>
  <c r="BE73" i="14"/>
  <c r="AK73" i="14"/>
  <c r="T32" i="14"/>
  <c r="BI73" i="14"/>
  <c r="AO73" i="14"/>
  <c r="F73" i="14"/>
  <c r="BP73" i="14"/>
  <c r="AV73" i="14"/>
  <c r="BG73" i="14"/>
  <c r="M31" i="14"/>
  <c r="M30" i="14" a="1"/>
  <c r="M30" i="14" s="1"/>
  <c r="BI71" i="14"/>
  <c r="N31" i="14"/>
  <c r="N30" i="14" a="1"/>
  <c r="N30" i="14" s="1"/>
  <c r="T29" i="14"/>
  <c r="K30" i="14" a="1"/>
  <c r="K30" i="14" s="1"/>
  <c r="K31" i="14"/>
  <c r="P30" i="14" a="1"/>
  <c r="P30" i="14" s="1"/>
  <c r="P31" i="14"/>
  <c r="W31" i="14"/>
  <c r="W30" i="14" a="1"/>
  <c r="W30" i="14" s="1"/>
  <c r="S31" i="14"/>
  <c r="S30" i="14" a="1"/>
  <c r="S30" i="14" s="1"/>
  <c r="O31" i="14"/>
  <c r="O30" i="14" a="1"/>
  <c r="O30" i="14" s="1"/>
  <c r="U31" i="14"/>
  <c r="U30" i="14" a="1"/>
  <c r="U30" i="14" s="1"/>
  <c r="L30" i="14" a="1"/>
  <c r="L30" i="14" s="1"/>
  <c r="L31" i="14"/>
  <c r="AG72" i="14"/>
  <c r="BA72" i="14"/>
  <c r="BD72" i="14"/>
  <c r="AJ72" i="14"/>
  <c r="AR72" i="14"/>
  <c r="BL72" i="14"/>
  <c r="AK72" i="14"/>
  <c r="BE72" i="14"/>
  <c r="BP71" i="14"/>
  <c r="D71" i="14"/>
  <c r="AV72" i="14"/>
  <c r="BP72" i="14"/>
  <c r="E71" i="14"/>
  <c r="AO71" i="14"/>
  <c r="BI72" i="14"/>
  <c r="AO72" i="14"/>
  <c r="AH72" i="14"/>
  <c r="BB72" i="14"/>
  <c r="AN72" i="14"/>
  <c r="BH72" i="14"/>
  <c r="C71" i="14"/>
  <c r="BC72" i="14"/>
  <c r="AI72" i="14"/>
  <c r="AP72" i="14"/>
  <c r="BJ72" i="14"/>
  <c r="F70" i="14"/>
  <c r="T36" i="14"/>
  <c r="AB12" i="45"/>
  <c r="AB1" i="45" s="1"/>
  <c r="AJ12" i="45"/>
  <c r="AJ1" i="45" s="1"/>
  <c r="AH12" i="45"/>
  <c r="AH1" i="45" s="1"/>
  <c r="AA32" i="14"/>
  <c r="CK10" i="1"/>
  <c r="AN12" i="45"/>
  <c r="AN1" i="45" s="1"/>
  <c r="AC12" i="45"/>
  <c r="AC1" i="45" s="1"/>
  <c r="AI12" i="45"/>
  <c r="AI1" i="45" s="1"/>
  <c r="AE12" i="45"/>
  <c r="AE1" i="45" s="1"/>
  <c r="AV71" i="14"/>
  <c r="Z12" i="45"/>
  <c r="Z1" i="45" s="1"/>
  <c r="AD12" i="45"/>
  <c r="AD1" i="45" s="1"/>
  <c r="AP12" i="45"/>
  <c r="AP1" i="45" s="1"/>
  <c r="AF12" i="43"/>
  <c r="AF1" i="43" s="1"/>
  <c r="AM12" i="45"/>
  <c r="AM1" i="45" s="1"/>
  <c r="AK12" i="45"/>
  <c r="AK1" i="45" s="1"/>
  <c r="AL12" i="45"/>
  <c r="AL1" i="45" s="1"/>
  <c r="F71" i="14"/>
  <c r="AP12" i="43"/>
  <c r="AP1" i="43" s="1"/>
  <c r="AH12" i="43"/>
  <c r="AH1" i="43" s="1"/>
  <c r="AN71" i="14"/>
  <c r="BH71" i="14"/>
  <c r="AN69" i="14"/>
  <c r="AN70" i="14"/>
  <c r="BH69" i="14"/>
  <c r="BH70" i="14"/>
  <c r="BD71" i="14"/>
  <c r="AJ69" i="14"/>
  <c r="AJ70" i="14"/>
  <c r="AJ71" i="14"/>
  <c r="BD69" i="14"/>
  <c r="BD70" i="14"/>
  <c r="AP69" i="14"/>
  <c r="BJ69" i="14"/>
  <c r="AP71" i="14"/>
  <c r="AP70" i="14"/>
  <c r="BJ71" i="14"/>
  <c r="BJ70" i="14"/>
  <c r="AG69" i="14"/>
  <c r="AG70" i="14"/>
  <c r="BA69" i="14"/>
  <c r="BA70" i="14"/>
  <c r="AG71" i="14"/>
  <c r="BA71" i="14"/>
  <c r="BE71" i="14"/>
  <c r="BE69" i="14"/>
  <c r="AK69" i="14"/>
  <c r="BE70" i="14"/>
  <c r="AK70" i="14"/>
  <c r="AK71" i="14"/>
  <c r="AR70" i="14"/>
  <c r="BL71" i="14"/>
  <c r="BL70" i="14"/>
  <c r="AR69" i="14"/>
  <c r="BL69" i="14"/>
  <c r="AR71" i="14"/>
  <c r="BC69" i="14"/>
  <c r="AI71" i="14"/>
  <c r="BC71" i="14"/>
  <c r="BC70" i="14"/>
  <c r="AI69" i="14"/>
  <c r="AI70" i="14"/>
  <c r="AH69" i="14"/>
  <c r="BB70" i="14"/>
  <c r="BB69" i="14"/>
  <c r="AH71" i="14"/>
  <c r="BB71" i="14"/>
  <c r="AH70" i="14"/>
  <c r="AP12" i="21"/>
  <c r="AP1" i="21" s="1"/>
  <c r="F69" i="14"/>
  <c r="N32" i="14"/>
  <c r="N36" i="14"/>
  <c r="AC12" i="43"/>
  <c r="AC1" i="43" s="1"/>
  <c r="G10" i="21"/>
  <c r="H10" i="21" s="1"/>
  <c r="J68" i="14" s="1"/>
  <c r="AL12" i="43"/>
  <c r="AL1" i="43" s="1"/>
  <c r="AG12" i="43"/>
  <c r="AG1" i="43" s="1"/>
  <c r="AN12" i="43"/>
  <c r="AN1" i="43" s="1"/>
  <c r="Z12" i="43"/>
  <c r="Z1" i="43" s="1"/>
  <c r="AM12" i="43"/>
  <c r="AM1" i="43" s="1"/>
  <c r="AA29" i="14"/>
  <c r="AE12" i="43"/>
  <c r="AE1" i="43" s="1"/>
  <c r="AA33" i="14"/>
  <c r="G10" i="43"/>
  <c r="H10" i="43" s="1"/>
  <c r="J69" i="14" s="1"/>
  <c r="F65" i="14"/>
  <c r="BJ65" i="14"/>
  <c r="BJ67" i="14"/>
  <c r="BJ66" i="14"/>
  <c r="BJ63" i="14"/>
  <c r="BJ68" i="14"/>
  <c r="BJ64" i="14"/>
  <c r="BH64" i="14"/>
  <c r="BH65" i="14"/>
  <c r="BH63" i="14"/>
  <c r="BH66" i="14"/>
  <c r="BH68" i="14"/>
  <c r="BH67" i="14"/>
  <c r="BE67" i="14"/>
  <c r="BE63" i="14"/>
  <c r="BE64" i="14"/>
  <c r="BE68" i="14"/>
  <c r="BE65" i="14"/>
  <c r="BE66" i="14"/>
  <c r="BL64" i="14"/>
  <c r="BL68" i="14"/>
  <c r="BL67" i="14"/>
  <c r="BL66" i="14"/>
  <c r="BL63" i="14"/>
  <c r="BL65" i="14"/>
  <c r="BO65" i="14"/>
  <c r="F64" i="14"/>
  <c r="BO66" i="14"/>
  <c r="AG66" i="14"/>
  <c r="BA64" i="14"/>
  <c r="BA68" i="14"/>
  <c r="BA63" i="14"/>
  <c r="BA65" i="14"/>
  <c r="BA67" i="14"/>
  <c r="BA66" i="14"/>
  <c r="BB64" i="14"/>
  <c r="BB65" i="14"/>
  <c r="BB66" i="14"/>
  <c r="BB68" i="14"/>
  <c r="BB67" i="14"/>
  <c r="F66" i="14"/>
  <c r="BD67" i="14"/>
  <c r="BD64" i="14"/>
  <c r="BD65" i="14"/>
  <c r="BD66" i="14"/>
  <c r="BD63" i="14"/>
  <c r="BD68" i="14"/>
  <c r="BO64" i="14"/>
  <c r="Z68" i="14"/>
  <c r="Z67" i="14"/>
  <c r="Z35" i="14" s="1"/>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M73" i="14" s="1"/>
  <c r="AG12" i="13"/>
  <c r="AG1" i="13" s="1"/>
  <c r="AH64" i="14"/>
  <c r="AJ12" i="16"/>
  <c r="AJ1" i="16" s="1"/>
  <c r="Z12" i="13"/>
  <c r="Z1" i="13" s="1"/>
  <c r="AA12" i="13"/>
  <c r="AA1" i="13" s="1"/>
  <c r="Q63" i="14"/>
  <c r="AF12" i="13"/>
  <c r="AF1" i="13" s="1"/>
  <c r="AD12" i="13"/>
  <c r="AD1" i="13" s="1"/>
  <c r="AK10" i="18"/>
  <c r="AK12" i="18" s="1"/>
  <c r="AK1" i="18" s="1"/>
  <c r="X63" i="14"/>
  <c r="BM73" i="14" s="1"/>
  <c r="AM12" i="13"/>
  <c r="AM1" i="13" s="1"/>
  <c r="AN12" i="18"/>
  <c r="AN1" i="18" s="1"/>
  <c r="V63" i="14"/>
  <c r="AQ73" i="14" s="1"/>
  <c r="AK12" i="13"/>
  <c r="AK1" i="13" s="1"/>
  <c r="Y63" i="14"/>
  <c r="BN73" i="14" s="1"/>
  <c r="AN12" i="13"/>
  <c r="AN1" i="13" s="1"/>
  <c r="AH12" i="21"/>
  <c r="AH1" i="21" s="1"/>
  <c r="AH68" i="14"/>
  <c r="AL12" i="20"/>
  <c r="AL1" i="20" s="1"/>
  <c r="AG12" i="21"/>
  <c r="AG1" i="21" s="1"/>
  <c r="AE12" i="21"/>
  <c r="AE1" i="21" s="1"/>
  <c r="AH10" i="20"/>
  <c r="AH12" i="20" s="1"/>
  <c r="AH1" i="20" s="1"/>
  <c r="AM1" i="20"/>
  <c r="AU65" i="14"/>
  <c r="AO1" i="21"/>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AP68" i="14"/>
  <c r="AK65" i="14"/>
  <c r="AG68" i="14"/>
  <c r="AJ68"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A69" i="14"/>
  <c r="B68" i="14"/>
  <c r="A63" i="14"/>
  <c r="B64" i="14"/>
  <c r="B69" i="14"/>
  <c r="A68" i="14"/>
  <c r="A64" i="14"/>
  <c r="BF72" i="14" l="1"/>
  <c r="Q35" i="14"/>
  <c r="Q34" i="14" a="1"/>
  <c r="Q34" i="14" s="1"/>
  <c r="C34" i="14" a="1"/>
  <c r="C34" i="14" s="1"/>
  <c r="C35" i="14"/>
  <c r="C32" i="14"/>
  <c r="E35" i="14"/>
  <c r="E34" i="14" a="1"/>
  <c r="E34" i="14" s="1"/>
  <c r="AS73" i="14"/>
  <c r="Z34" i="14" a="1"/>
  <c r="Z34" i="14" s="1"/>
  <c r="AL73" i="14"/>
  <c r="D35" i="14"/>
  <c r="D34" i="14" a="1"/>
  <c r="D34" i="14" s="1"/>
  <c r="BO73" i="14"/>
  <c r="X34" i="14" a="1"/>
  <c r="X34" i="14" s="1"/>
  <c r="X35" i="14"/>
  <c r="X33" i="14" s="1"/>
  <c r="V34" i="14" a="1"/>
  <c r="V34" i="14" s="1"/>
  <c r="V35" i="14"/>
  <c r="R34" i="14" a="1"/>
  <c r="R34" i="14" s="1"/>
  <c r="R35" i="14"/>
  <c r="BK73" i="14"/>
  <c r="AT72" i="14"/>
  <c r="Y35" i="14"/>
  <c r="Y34" i="14" a="1"/>
  <c r="Y34" i="14" s="1"/>
  <c r="AT73" i="14"/>
  <c r="A35" i="14"/>
  <c r="B35" i="14"/>
  <c r="A34" i="14" a="1"/>
  <c r="A34" i="14" s="1"/>
  <c r="B34" i="14" a="1"/>
  <c r="B34" i="14" s="1"/>
  <c r="J2" i="14"/>
  <c r="AE73" i="14"/>
  <c r="AY73" i="14"/>
  <c r="AD73" i="14"/>
  <c r="H2" i="14"/>
  <c r="AX73" i="14"/>
  <c r="AZ73" i="14"/>
  <c r="L2" i="14"/>
  <c r="AF73" i="14"/>
  <c r="AU72" i="14"/>
  <c r="Z30" i="14" a="1"/>
  <c r="Z30" i="14" s="1"/>
  <c r="BO72" i="14"/>
  <c r="Z31" i="14"/>
  <c r="N29" i="14"/>
  <c r="N33" i="14"/>
  <c r="A31" i="14"/>
  <c r="A30" i="14" a="1"/>
  <c r="A30" i="14" s="1"/>
  <c r="B31" i="14"/>
  <c r="B30" i="14" a="1"/>
  <c r="B30" i="14" s="1"/>
  <c r="V31" i="14"/>
  <c r="V30" i="14" a="1"/>
  <c r="V30" i="14" s="1"/>
  <c r="X30" i="14" a="1"/>
  <c r="X30" i="14" s="1"/>
  <c r="X31" i="14"/>
  <c r="AL72" i="14"/>
  <c r="R30" i="14" a="1"/>
  <c r="R30" i="14" s="1"/>
  <c r="R31" i="14"/>
  <c r="BG72" i="14"/>
  <c r="Y30" i="14" a="1"/>
  <c r="Y30" i="14" s="1"/>
  <c r="Y31" i="14"/>
  <c r="AM72" i="14"/>
  <c r="BM72" i="14"/>
  <c r="BK72" i="14"/>
  <c r="Q30" i="14" a="1"/>
  <c r="Q30" i="14" s="1"/>
  <c r="Q31" i="14"/>
  <c r="BN72" i="14"/>
  <c r="AS72" i="14"/>
  <c r="AQ72" i="14"/>
  <c r="AF72" i="14"/>
  <c r="AZ72" i="14"/>
  <c r="AD72" i="14"/>
  <c r="AX72" i="14"/>
  <c r="AE72" i="14"/>
  <c r="AY72" i="14"/>
  <c r="AZ68" i="14"/>
  <c r="AZ69" i="14"/>
  <c r="AZ71" i="14"/>
  <c r="AE71" i="14"/>
  <c r="AY68" i="14"/>
  <c r="AY69" i="14"/>
  <c r="AY70" i="14"/>
  <c r="AY71" i="14"/>
  <c r="AZ70" i="14"/>
  <c r="AE68" i="14"/>
  <c r="AE70" i="14"/>
  <c r="AE69" i="14"/>
  <c r="E36" i="14"/>
  <c r="BO71" i="14"/>
  <c r="AU71" i="14"/>
  <c r="M28" i="11"/>
  <c r="BM69" i="14"/>
  <c r="AS69" i="14"/>
  <c r="BM71" i="14"/>
  <c r="AS70" i="14"/>
  <c r="AS71" i="14"/>
  <c r="BM70" i="14"/>
  <c r="BO70" i="14"/>
  <c r="BG71" i="14"/>
  <c r="BG69" i="14"/>
  <c r="BG70" i="14"/>
  <c r="AM69" i="14"/>
  <c r="AM70" i="14"/>
  <c r="AM71" i="14"/>
  <c r="BN71" i="14"/>
  <c r="AT69" i="14"/>
  <c r="BN70" i="14"/>
  <c r="AT71" i="14"/>
  <c r="AT70" i="14"/>
  <c r="BN69" i="14"/>
  <c r="AF68" i="14"/>
  <c r="AF71" i="14"/>
  <c r="AF69" i="14"/>
  <c r="AF70" i="14"/>
  <c r="AL71" i="14"/>
  <c r="BF70" i="14"/>
  <c r="AL69" i="14"/>
  <c r="BF71" i="14"/>
  <c r="BF69" i="14"/>
  <c r="AL70" i="14"/>
  <c r="AU70" i="14"/>
  <c r="AQ70" i="14"/>
  <c r="BK70" i="14"/>
  <c r="BK69" i="14"/>
  <c r="BK71" i="14"/>
  <c r="AQ69" i="14"/>
  <c r="AQ71" i="14"/>
  <c r="BO69" i="14"/>
  <c r="AU69" i="14"/>
  <c r="AM64" i="14"/>
  <c r="AU67" i="14"/>
  <c r="F68" i="14"/>
  <c r="S33" i="14"/>
  <c r="K33" i="14"/>
  <c r="O33" i="14"/>
  <c r="P33" i="14"/>
  <c r="M33" i="14"/>
  <c r="U33" i="14"/>
  <c r="W33" i="14"/>
  <c r="AD67" i="14"/>
  <c r="L33" i="14"/>
  <c r="AU68" i="14"/>
  <c r="Z36" i="14"/>
  <c r="Z32" i="14"/>
  <c r="AT66" i="14"/>
  <c r="BN64" i="14"/>
  <c r="BN63" i="14"/>
  <c r="BN67" i="14"/>
  <c r="BN65" i="14"/>
  <c r="BN66" i="14"/>
  <c r="BN68" i="14"/>
  <c r="BO67" i="14"/>
  <c r="F67" i="14"/>
  <c r="BF65" i="14"/>
  <c r="BF64" i="14"/>
  <c r="BF67" i="14"/>
  <c r="BF68" i="14"/>
  <c r="BF63" i="14"/>
  <c r="BF66" i="14"/>
  <c r="F63" i="14"/>
  <c r="AM67" i="14"/>
  <c r="BG67" i="14"/>
  <c r="BG63" i="14"/>
  <c r="BG64" i="14"/>
  <c r="BG66" i="14"/>
  <c r="BG68" i="14"/>
  <c r="BG65" i="14"/>
  <c r="BK65" i="14"/>
  <c r="BK68" i="14"/>
  <c r="BK66" i="14"/>
  <c r="BK67" i="14"/>
  <c r="BK63" i="14"/>
  <c r="BK64" i="14"/>
  <c r="BO68" i="14"/>
  <c r="AS66" i="14"/>
  <c r="BM64" i="14"/>
  <c r="BM67" i="14"/>
  <c r="BM63" i="14"/>
  <c r="BM68" i="14"/>
  <c r="BM66" i="14"/>
  <c r="BM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Y36" i="14"/>
  <c r="V32" i="14"/>
  <c r="AT64" i="14"/>
  <c r="AQ65" i="14"/>
  <c r="V36"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K2" i="14" s="1"/>
  <c r="D36" i="14"/>
  <c r="A31" i="11"/>
  <c r="A29" i="11"/>
  <c r="E32" i="11"/>
  <c r="BA59" i="11"/>
  <c r="BA58" i="11"/>
  <c r="E31" i="11"/>
  <c r="R28" i="11"/>
  <c r="B30" i="11"/>
  <c r="B29" i="11"/>
  <c r="C28" i="11"/>
  <c r="J28" i="11"/>
  <c r="E30" i="11"/>
  <c r="E29" i="11"/>
  <c r="J39" i="14" l="1"/>
  <c r="J38" i="14"/>
  <c r="J37" i="14"/>
  <c r="F39" i="14"/>
  <c r="AX68" i="14"/>
  <c r="AX69" i="14"/>
  <c r="AX71" i="14"/>
  <c r="AX70" i="14"/>
  <c r="B36" i="14"/>
  <c r="C36" i="14"/>
  <c r="R29" i="14"/>
  <c r="Q29" i="14"/>
  <c r="Y33" i="14"/>
  <c r="Q33" i="14"/>
  <c r="R33" i="14"/>
  <c r="V33" i="14"/>
  <c r="AD69" i="14"/>
  <c r="AD71" i="14"/>
  <c r="AD70" i="14"/>
  <c r="Z29" i="14"/>
  <c r="Z33" i="14"/>
  <c r="E33" i="14"/>
  <c r="D33" i="14"/>
  <c r="AD68" i="14"/>
  <c r="I2" i="14"/>
  <c r="X29" i="14"/>
  <c r="Y29" i="14"/>
  <c r="V29" i="14"/>
  <c r="B32" i="14"/>
  <c r="A32" i="14"/>
  <c r="A36" i="14"/>
  <c r="D28" i="11"/>
  <c r="AF63" i="14"/>
  <c r="AF66" i="14"/>
  <c r="AF67" i="14"/>
  <c r="AF64" i="14"/>
  <c r="AF65" i="14"/>
  <c r="N28" i="11"/>
  <c r="A28" i="11"/>
  <c r="M29" i="14"/>
  <c r="P29" i="14"/>
  <c r="D29" i="14"/>
  <c r="E32" i="14"/>
  <c r="M2" i="14" s="1"/>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6.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7.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8.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9.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<sst xmlns="http://schemas.openxmlformats.org/spreadsheetml/2006/main" count="14374" uniqueCount="1331">
  <si>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</si>
  <si>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</si>
  <si>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</si>
  <si>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</si>
  <si>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</si>
  <si>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</si>
  <si>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</si>
  <si>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</si>
  <si>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</si>
  <si>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</si>
  <si>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</si>
  <si>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</si>
  <si>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</si>
  <si>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</si>
  <si>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</si>
  <si>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</si>
  <si>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</si>
  <si>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</si>
  <si>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</si>
  <si>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</si>
  <si>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</si>
  <si>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</si>
  <si>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</si>
  <si>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</si>
  <si>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</si>
  <si>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</si>
  <si>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</si>
  <si>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</si>
  <si>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</si>
  <si>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</si>
  <si>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</si>
  <si>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</si>
  <si>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</si>
  <si>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</si>
  <si>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</si>
  <si>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</si>
  <si>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</si>
  <si>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</si>
  <si>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</si>
  <si>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</si>
  <si>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</si>
  <si>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</si>
  <si>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</si>
  <si>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</si>
  <si>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</si>
  <si>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</si>
  <si>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</si>
  <si>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</si>
  <si>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</si>
  <si>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</si>
  <si>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</si>
  <si>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</si>
  <si>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</si>
  <si>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</si>
  <si>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</si>
  <si>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</si>
  <si>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</si>
  <si>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</si>
  <si>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</si>
  <si>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</si>
  <si>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</si>
  <si>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</si>
  <si>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</si>
  <si>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</si>
  <si>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</si>
  <si>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</si>
  <si>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</si>
  <si>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</si>
  <si>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</si>
  <si>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</si>
  <si>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</si>
  <si>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</si>
  <si>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</si>
  <si>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</si>
  <si>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</si>
  <si>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</si>
  <si>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</si>
  <si>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</si>
  <si>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</si>
  <si>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</si>
  <si>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</si>
  <si>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</si>
  <si>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</si>
  <si>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</si>
  <si>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</si>
  <si>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</si>
  <si>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</si>
  <si>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</si>
  <si>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</si>
  <si>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</si>
  <si>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</si>
  <si>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</si>
  <si>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</si>
  <si>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</si>
  <si>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</si>
  <si>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</si>
  <si>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</si>
  <si>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</si>
  <si>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</si>
  <si>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</si>
  <si>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</si>
  <si>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</si>
  <si>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</si>
  <si>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</si>
  <si>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</si>
  <si>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</si>
  <si>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</si>
  <si>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</si>
  <si>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</si>
  <si>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</si>
  <si>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</si>
  <si>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</si>
  <si>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</si>
  <si>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</si>
  <si>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</si>
  <si>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</si>
  <si>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</si>
  <si>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</si>
  <si>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</si>
  <si>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</si>
  <si>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</si>
  <si>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</si>
  <si>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</si>
  <si>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</si>
  <si>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</si>
  <si>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</si>
  <si>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</si>
  <si>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</si>
  <si>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</si>
  <si>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</si>
  <si>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</si>
  <si>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</si>
  <si>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</si>
  <si>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</si>
  <si>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</si>
  <si>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</si>
  <si>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</si>
  <si>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</si>
  <si>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</si>
  <si>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</si>
  <si>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</si>
  <si>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</si>
  <si>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</si>
  <si>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</si>
  <si>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</si>
  <si>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</si>
  <si>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</si>
  <si>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</si>
  <si>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</si>
  <si>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</si>
  <si>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</si>
  <si>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</si>
  <si>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</si>
  <si>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</si>
  <si>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</si>
  <si>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</si>
  <si>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</si>
  <si>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</si>
  <si>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</si>
  <si>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</si>
  <si>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</si>
  <si>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</si>
  <si>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</si>
  <si>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</si>
  <si>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</si>
  <si>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</si>
  <si>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</si>
  <si>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</si>
  <si>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</si>
  <si>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</si>
  <si>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</si>
  <si>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</si>
  <si>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</si>
  <si>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</si>
  <si>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</si>
  <si>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</si>
  <si>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</si>
  <si>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</si>
  <si>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</si>
  <si>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</si>
  <si>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</si>
  <si>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</si>
  <si>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</si>
  <si>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</si>
  <si>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</si>
  <si>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</si>
  <si>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</si>
  <si>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</si>
  <si>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</si>
  <si>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</si>
  <si>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</si>
  <si>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</si>
  <si>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</si>
  <si>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</si>
  <si>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</si>
  <si>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</si>
  <si>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</si>
  <si>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</si>
  <si>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</si>
  <si>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</si>
  <si>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</si>
  <si>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</si>
  <si>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</si>
  <si>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</si>
  <si>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</si>
  <si>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</si>
  <si>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</si>
  <si>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</si>
  <si>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</si>
  <si>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</si>
  <si>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</si>
  <si>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</si>
  <si>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</si>
  <si>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</si>
  <si>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</si>
  <si>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</si>
  <si>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</si>
  <si>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</si>
  <si>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</si>
  <si>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</si>
  <si>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</si>
  <si>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</si>
  <si>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</si>
  <si>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</si>
  <si>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</si>
  <si>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</si>
  <si>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</si>
  <si>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</si>
  <si>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</si>
  <si>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</si>
  <si>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</si>
  <si>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</si>
  <si>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</si>
  <si>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</si>
  <si>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</si>
  <si>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</si>
  <si>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</si>
  <si>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</si>
  <si>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</si>
  <si>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</si>
  <si>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</si>
  <si>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</si>
  <si>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</si>
  <si>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</si>
  <si>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</si>
  <si>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</si>
  <si>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</si>
  <si>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</si>
  <si>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</si>
  <si>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</si>
  <si>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</si>
  <si>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</si>
  <si>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</si>
  <si>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</si>
  <si>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</si>
  <si>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</si>
  <si>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</si>
  <si>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</si>
  <si>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</si>
  <si>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</si>
  <si>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</si>
  <si>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</si>
  <si>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</si>
  <si>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</si>
  <si>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</si>
  <si>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</si>
  <si>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</si>
  <si>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</si>
  <si>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</si>
  <si>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</si>
  <si>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</si>
  <si>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</si>
  <si>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</si>
  <si>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</si>
  <si>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</si>
  <si>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</si>
  <si>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</si>
  <si>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</si>
  <si>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</si>
  <si>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</si>
  <si>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</si>
  <si>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</si>
  <si>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</si>
  <si>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</si>
  <si>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</si>
  <si>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</si>
  <si>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</si>
  <si>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</si>
  <si>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</si>
  <si>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</si>
  <si>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</si>
  <si>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</si>
  <si>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</si>
  <si>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</si>
  <si>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</si>
  <si>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</si>
  <si>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</si>
  <si>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</si>
  <si>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</si>
  <si>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</si>
  <si>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</si>
  <si>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</si>
  <si>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</si>
  <si>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</si>
  <si>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</si>
  <si>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</si>
  <si>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</si>
  <si>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</si>
  <si>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</si>
  <si>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</si>
  <si>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</si>
  <si>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</si>
  <si>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</si>
  <si>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</si>
  <si>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</si>
  <si>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</si>
  <si>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</si>
  <si>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</si>
  <si>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</si>
  <si>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</si>
  <si>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</si>
  <si>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</si>
  <si>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</si>
  <si>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</si>
  <si>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</si>
  <si>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</si>
  <si>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</si>
  <si>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</si>
  <si>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</si>
  <si>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</si>
  <si>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</si>
  <si>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</si>
  <si>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</si>
  <si>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</si>
  <si>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</si>
  <si>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</si>
  <si>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</si>
  <si>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</si>
  <si>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</si>
  <si>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</si>
  <si>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</si>
  <si>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</si>
  <si>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</si>
  <si>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</si>
  <si>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</si>
  <si>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</si>
  <si>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</si>
  <si>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</si>
  <si>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</si>
  <si>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</si>
  <si>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</si>
  <si>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</si>
  <si>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</si>
  <si>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</si>
  <si>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</si>
  <si>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</si>
  <si>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</si>
  <si>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</si>
  <si>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</si>
  <si>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</si>
  <si>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</si>
  <si>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</si>
  <si>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</si>
  <si>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</si>
  <si>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</si>
  <si>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</si>
  <si>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</si>
  <si>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</si>
  <si>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</si>
  <si>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</si>
  <si>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</si>
  <si>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</si>
  <si>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</si>
  <si>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</si>
  <si>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</si>
  <si>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</si>
  <si>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</si>
  <si>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</si>
  <si>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</si>
  <si>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</si>
  <si>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</si>
  <si>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</si>
  <si>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</si>
  <si>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</si>
  <si>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</si>
  <si>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</si>
  <si>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</si>
  <si>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</si>
  <si>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</si>
  <si>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</si>
  <si>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</si>
  <si>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</si>
  <si>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</si>
  <si>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</si>
  <si>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</si>
  <si>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</si>
  <si>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</si>
  <si>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</si>
  <si>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</si>
  <si>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</si>
  <si>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</si>
  <si>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</si>
  <si>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</si>
  <si>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</si>
  <si>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</si>
  <si>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</si>
  <si>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</si>
  <si>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</si>
  <si>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</si>
  <si>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</si>
  <si>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</si>
  <si>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</si>
  <si>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</si>
  <si>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</si>
  <si>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</si>
  <si>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</si>
  <si>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</si>
  <si>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</si>
  <si>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</si>
  <si>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</si>
  <si>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</si>
  <si>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</si>
  <si>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</si>
  <si>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</si>
  <si>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</si>
  <si>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</si>
  <si>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</si>
  <si>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</si>
  <si>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</si>
  <si>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</si>
  <si>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</si>
  <si>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</si>
  <si>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</si>
  <si>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</si>
  <si>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</si>
  <si>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</si>
  <si>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</si>
  <si>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</si>
  <si>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</si>
  <si>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</si>
  <si>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</si>
  <si>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</si>
  <si>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</si>
  <si>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</si>
  <si>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</si>
  <si>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</si>
  <si>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</si>
  <si>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</si>
  <si>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</si>
  <si>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</si>
  <si>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</si>
  <si>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</si>
  <si>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</si>
  <si>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</si>
  <si>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</si>
  <si>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</si>
  <si>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</si>
  <si>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</si>
  <si>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</si>
  <si>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</si>
  <si>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</si>
  <si>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</si>
  <si>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</si>
  <si>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</si>
  <si>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</si>
  <si>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</si>
  <si>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</si>
  <si>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</si>
  <si>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</si>
  <si>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</si>
  <si>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</si>
  <si>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</si>
  <si>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</si>
  <si>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</si>
  <si>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</si>
  <si>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</si>
  <si>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</si>
  <si>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</si>
  <si>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</si>
  <si>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</si>
  <si>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</si>
  <si>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</si>
  <si>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</si>
  <si>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</si>
  <si>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</si>
  <si>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</si>
  <si>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</si>
  <si>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</si>
  <si>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</si>
  <si>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</si>
  <si>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</si>
  <si>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</si>
  <si>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</si>
  <si>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</si>
  <si>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</si>
  <si>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</si>
  <si>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</si>
  <si>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</si>
  <si>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</si>
  <si>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</si>
  <si>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</si>
  <si>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</si>
  <si>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</si>
  <si>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</si>
  <si>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</si>
  <si>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</si>
  <si>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</si>
  <si>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</si>
  <si>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</si>
  <si>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</si>
  <si>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</si>
  <si>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</si>
  <si>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</si>
  <si>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</si>
  <si>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</si>
  <si>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</si>
  <si>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</si>
  <si>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</si>
  <si>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</si>
  <si>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</si>
  <si>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</si>
  <si>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</si>
  <si>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</si>
  <si>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</si>
  <si>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</si>
  <si>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</si>
  <si>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</si>
  <si>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</si>
  <si>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</si>
  <si>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</si>
  <si>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</si>
  <si>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</si>
  <si>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</si>
  <si>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</si>
  <si>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</si>
  <si>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</si>
  <si>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</si>
  <si>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</si>
  <si>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</si>
  <si>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</si>
  <si>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</si>
  <si>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</si>
  <si>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</si>
  <si>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</si>
  <si>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</si>
  <si>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</si>
  <si>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</si>
  <si>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</si>
  <si>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</si>
  <si>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</si>
  <si>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</si>
  <si>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</si>
  <si>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</si>
  <si>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</si>
  <si>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</si>
  <si>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</si>
  <si>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</si>
  <si>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</si>
  <si>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</si>
  <si>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</si>
  <si>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</si>
  <si>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</si>
  <si>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</si>
  <si>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</si>
  <si>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</si>
  <si>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</si>
  <si>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</si>
  <si>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</si>
  <si>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</si>
  <si>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</si>
  <si>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</si>
  <si>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</si>
  <si>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</si>
  <si>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</si>
  <si>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</si>
  <si>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</si>
  <si>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</si>
  <si>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</si>
  <si>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</si>
  <si>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</si>
  <si>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</si>
  <si>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</si>
  <si>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</si>
  <si>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</si>
  <si>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</si>
  <si>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</si>
  <si>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</si>
  <si>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</si>
  <si>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</si>
  <si>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</si>
  <si>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</si>
  <si>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</si>
  <si>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</si>
  <si>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</si>
  <si>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</si>
  <si>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</si>
  <si>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</si>
  <si>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</si>
  <si>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</si>
  <si>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</si>
  <si>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</si>
  <si>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</si>
  <si>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</si>
  <si>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</si>
  <si>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</si>
  <si>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</si>
  <si>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</si>
  <si>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</si>
  <si>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</si>
  <si>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</si>
  <si>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</si>
  <si>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</si>
  <si>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</si>
  <si>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</si>
  <si>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</si>
  <si>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</si>
  <si>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</si>
  <si>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</si>
  <si>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</si>
  <si>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</si>
  <si>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</si>
  <si>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</si>
  <si>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</si>
  <si>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</si>
  <si>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</si>
  <si>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</si>
  <si>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</si>
  <si>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</si>
  <si>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</si>
  <si>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</si>
  <si>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</si>
  <si>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</si>
  <si>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</si>
  <si>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</si>
  <si>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</si>
  <si>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</si>
  <si>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</si>
  <si>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</si>
  <si>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</si>
  <si>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</si>
  <si>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</si>
  <si>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</si>
  <si>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</si>
  <si>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</si>
  <si>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</si>
  <si>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</si>
  <si>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</si>
  <si>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</si>
  <si>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</si>
  <si>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</si>
  <si>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</si>
  <si>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</si>
  <si>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</si>
  <si>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</si>
  <si>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</si>
  <si>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</si>
  <si>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</si>
  <si>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</si>
  <si>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</si>
  <si>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</si>
  <si>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</si>
  <si>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</si>
  <si>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</si>
  <si>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</si>
  <si>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</si>
  <si>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</si>
  <si>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</si>
  <si>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</si>
  <si>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</si>
  <si>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</si>
  <si>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</si>
  <si>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</si>
  <si>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</si>
  <si>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</si>
  <si>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</si>
  <si>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</si>
  <si>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</si>
  <si>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</si>
  <si>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</si>
  <si>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</si>
  <si>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</si>
  <si>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</si>
  <si>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</si>
  <si>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</si>
  <si>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</si>
  <si>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</si>
  <si>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</si>
  <si>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</si>
  <si>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</si>
  <si>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</si>
  <si>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</si>
  <si>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</si>
  <si>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</si>
  <si>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</si>
  <si>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</si>
  <si>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</si>
  <si>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</si>
  <si>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</si>
  <si>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</si>
  <si>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</si>
  <si>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</si>
  <si>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</si>
  <si>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</si>
  <si>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</si>
  <si>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</si>
  <si>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</si>
  <si>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</si>
  <si>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</si>
  <si>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</si>
  <si>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</si>
  <si>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</si>
  <si>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</si>
  <si>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</si>
  <si>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</si>
  <si>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</si>
  <si>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</si>
  <si>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</si>
  <si>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</si>
  <si>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</si>
  <si>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</si>
  <si>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</si>
  <si>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</si>
  <si>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</si>
  <si>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</si>
  <si>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</si>
  <si>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</si>
  <si>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</si>
  <si>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</si>
  <si>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</si>
  <si>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</si>
  <si>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</si>
  <si>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</si>
  <si>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</si>
  <si>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</si>
  <si>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</si>
  <si>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</si>
  <si>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</si>
  <si>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</si>
  <si>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</si>
  <si>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</si>
  <si>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</si>
  <si>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</si>
  <si>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</si>
  <si>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</si>
  <si>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</si>
  <si>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</si>
  <si>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</si>
  <si>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</si>
  <si>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</si>
  <si>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</si>
  <si>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</si>
  <si>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</si>
  <si>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</si>
  <si>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</si>
  <si>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</si>
  <si>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</si>
  <si>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</si>
  <si>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</si>
  <si>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</si>
  <si>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</si>
  <si>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</si>
  <si>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</si>
  <si>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</si>
  <si>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</si>
  <si>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</si>
  <si>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</si>
  <si>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</si>
  <si>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</si>
  <si>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</si>
  <si>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</si>
  <si>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</si>
  <si>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</si>
  <si>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</si>
  <si>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</si>
  <si>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</si>
  <si>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</si>
  <si>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</si>
  <si>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</si>
  <si>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</si>
  <si>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</si>
  <si>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</si>
  <si>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</si>
  <si>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</si>
  <si>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</si>
  <si>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</si>
  <si>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</si>
  <si>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</si>
  <si>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</si>
  <si>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</si>
  <si>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</si>
  <si>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</si>
  <si>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</si>
  <si>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</si>
  <si>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</si>
  <si>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</si>
  <si>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</si>
  <si>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</si>
  <si>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</si>
  <si>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</si>
  <si>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</si>
  <si>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</si>
  <si>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</si>
  <si>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</si>
  <si>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</si>
  <si>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</si>
  <si>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</si>
  <si>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</si>
  <si>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</si>
  <si>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</si>
  <si>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</si>
  <si>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</si>
  <si>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</si>
  <si>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</si>
  <si>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</si>
  <si>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</si>
  <si>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</si>
  <si>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</si>
  <si>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</si>
  <si>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</si>
  <si>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</si>
  <si>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</si>
  <si>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</si>
  <si>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</si>
  <si>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</si>
  <si>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</si>
  <si>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</si>
  <si>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</si>
  <si>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</si>
  <si>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</si>
  <si>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</si>
  <si>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</si>
  <si>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</si>
  <si>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</si>
  <si>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</si>
  <si>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</si>
  <si>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</si>
  <si>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</si>
  <si>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</si>
  <si>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</si>
  <si>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</si>
  <si>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</si>
  <si>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</si>
  <si>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</si>
  <si>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</si>
  <si>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</si>
  <si>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</si>
  <si>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</si>
  <si>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</si>
  <si>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</si>
  <si>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</si>
  <si>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</si>
  <si>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</si>
  <si>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</si>
  <si>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</si>
  <si>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</si>
  <si>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</si>
  <si>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</si>
  <si>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</si>
  <si>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</si>
  <si>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</si>
  <si>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</si>
  <si>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</si>
  <si>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</si>
  <si>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</si>
  <si>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</si>
  <si>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</si>
  <si>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</si>
  <si>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</si>
  <si>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</si>
  <si>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</si>
  <si>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</si>
  <si>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</si>
  <si>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</si>
  <si>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</si>
  <si>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</si>
  <si>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</si>
  <si>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</si>
  <si>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</si>
  <si>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</si>
  <si>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</si>
  <si>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</si>
  <si>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</si>
  <si>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</si>
  <si>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</si>
  <si>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</si>
  <si>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</si>
  <si>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</si>
  <si>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</si>
  <si>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</si>
  <si>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</si>
  <si>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</si>
  <si>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</si>
  <si>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</si>
  <si>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</si>
  <si>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</si>
  <si>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</si>
  <si>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</si>
  <si>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</si>
  <si>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</si>
  <si>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</si>
  <si>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</si>
  <si>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</si>
  <si>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</si>
  <si>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</si>
  <si>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</si>
  <si>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</si>
  <si>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</si>
  <si>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</si>
  <si>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</si>
  <si>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</si>
  <si>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</si>
  <si>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</si>
  <si>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</si>
  <si>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</si>
  <si>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</si>
  <si>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</si>
  <si>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</si>
  <si>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</si>
  <si>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</si>
  <si>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</si>
  <si>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</si>
  <si>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</si>
  <si>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</si>
  <si>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</si>
  <si>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</si>
  <si>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</si>
  <si>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</si>
  <si>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</si>
  <si>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</si>
  <si>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</si>
  <si>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</si>
  <si>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</si>
  <si>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</si>
  <si>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</si>
  <si>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</si>
  <si>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</si>
  <si>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</si>
  <si>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</si>
  <si>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</si>
  <si>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</si>
  <si>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</si>
  <si>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</si>
  <si>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</si>
  <si>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</si>
  <si>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</si>
  <si>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</si>
  <si>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</si>
  <si>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</si>
  <si>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</si>
  <si>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</si>
  <si>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</si>
  <si>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</si>
  <si>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</si>
  <si>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</si>
  <si>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</si>
  <si>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</si>
  <si>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</si>
  <si>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</si>
  <si>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</si>
  <si>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</si>
  <si>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</si>
  <si>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</si>
  <si>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</si>
  <si>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</si>
  <si>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</si>
  <si>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</si>
  <si>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</si>
  <si>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</si>
  <si>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</si>
  <si>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</si>
  <si>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</si>
  <si>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</si>
  <si>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</si>
  <si>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</si>
  <si>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</si>
  <si>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</si>
  <si>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</si>
  <si>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</si>
  <si>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</si>
  <si>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</si>
  <si>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</si>
  <si>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</si>
  <si>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</si>
  <si>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</si>
  <si>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</si>
  <si>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</si>
  <si>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</si>
  <si>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</si>
  <si>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</si>
  <si>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</si>
  <si>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</si>
  <si>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</si>
  <si>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</si>
  <si>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</si>
  <si>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</si>
  <si>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</si>
  <si>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</si>
  <si>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</si>
  <si>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</si>
  <si>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</si>
  <si>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</si>
  <si>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</si>
  <si>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</si>
  <si>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</si>
  <si>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</si>
  <si>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</si>
  <si>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</si>
  <si>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</si>
  <si>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</si>
  <si>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</si>
  <si>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</si>
  <si>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</si>
  <si>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</si>
  <si>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</si>
  <si>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</si>
  <si>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</si>
  <si>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</si>
  <si>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</si>
  <si>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</si>
  <si>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</si>
  <si>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</si>
  <si>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</si>
  <si>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</si>
  <si>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</si>
  <si>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</si>
  <si>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</si>
  <si>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</si>
  <si>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</si>
  <si>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</si>
  <si>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</si>
  <si>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</si>
  <si>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</si>
  <si>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</si>
  <si>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</si>
  <si>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</si>
  <si>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</si>
  <si>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</si>
  <si>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</si>
  <si>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</si>
  <si>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</si>
  <si>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</si>
  <si>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</si>
  <si>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</si>
  <si>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</si>
  <si>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</si>
  <si>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</si>
  <si>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</si>
  <si>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</si>
  <si>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</si>
  <si>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</si>
  <si>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</si>
  <si>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</si>
  <si>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</si>
  <si>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</si>
  <si>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</si>
  <si>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</si>
  <si>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</si>
  <si>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</si>
  <si>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</si>
  <si>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</si>
  <si>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</si>
  <si>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</si>
  <si>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</si>
  <si>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</si>
  <si>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</si>
  <si>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</si>
  <si>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</si>
  <si>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</si>
  <si>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</si>
  <si>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</si>
  <si>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</si>
  <si>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</si>
  <si>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</si>
  <si>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</si>
  <si>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</si>
  <si>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</si>
  <si>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</si>
  <si>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</si>
  <si>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</si>
  <si>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</si>
  <si>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</si>
  <si>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</si>
  <si>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</si>
  <si>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</si>
  <si>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</si>
  <si>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</si>
  <si>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</si>
  <si>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</si>
  <si>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</si>
  <si>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</si>
  <si>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</si>
  <si>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</si>
  <si>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</si>
  <si>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</si>
  <si>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</si>
  <si>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</si>
  <si>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</si>
  <si>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</si>
  <si>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</si>
  <si>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</si>
  <si>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</si>
  <si>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</si>
  <si>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</si>
  <si>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</si>
  <si>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</si>
  <si>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</si>
  <si>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</si>
  <si>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</si>
  <si>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</si>
  <si>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</si>
  <si>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</si>
  <si>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</si>
  <si>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</si>
  <si>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</si>
  <si>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</si>
  <si>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</si>
  <si>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</si>
  <si>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</si>
  <si>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</si>
  <si>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</si>
  <si>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</si>
  <si>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</si>
  <si>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</si>
  <si>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</si>
  <si>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</si>
  <si>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</si>
  <si>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</si>
  <si>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</si>
  <si>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</si>
  <si>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</si>
  <si>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</si>
  <si>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</si>
  <si>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</si>
  <si>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</si>
  <si>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</si>
  <si>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</si>
  <si>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</si>
  <si>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</si>
  <si>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</si>
  <si>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</si>
  <si>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</si>
  <si>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</si>
  <si>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</si>
  <si>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</si>
  <si>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</si>
  <si>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</si>
  <si>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</si>
  <si>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</si>
  <si>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</si>
  <si>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</si>
  <si>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</si>
  <si>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</si>
  <si>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</si>
  <si>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</si>
  <si>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</si>
  <si>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</si>
  <si>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</si>
  <si>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</si>
  <si>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</si>
  <si>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</si>
  <si>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</si>
  <si>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</si>
  <si>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</si>
  <si>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</si>
  <si>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</si>
  <si>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</si>
  <si>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</si>
  <si>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</si>
  <si>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</si>
  <si>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</si>
  <si>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</si>
  <si>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</si>
  <si>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</si>
  <si>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</si>
  <si>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</si>
  <si>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</si>
  <si>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</si>
  <si>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</si>
  <si>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</si>
  <si>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</si>
  <si>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</si>
  <si>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</si>
  <si>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</si>
  <si>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</si>
  <si>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</si>
  <si>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</si>
  <si>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</si>
  <si>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</si>
  <si>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</si>
  <si>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</si>
  <si>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</si>
  <si>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</si>
  <si>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</si>
  <si>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</si>
  <si>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</si>
  <si>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</si>
  <si>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</si>
  <si>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</si>
  <si>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</si>
  <si>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</si>
  <si>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</si>
  <si>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</si>
  <si>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</si>
  <si>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</si>
  <si>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</si>
  <si>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</si>
  <si>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</si>
  <si>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</si>
  <si>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</si>
  <si>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</si>
  <si>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</si>
  <si>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</si>
  <si>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</si>
  <si>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</si>
  <si>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</si>
  <si>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</si>
  <si>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</si>
  <si>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</si>
  <si>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</si>
  <si>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</si>
  <si>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</si>
  <si>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</si>
  <si>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</si>
  <si>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</si>
  <si>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</si>
  <si>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</si>
  <si>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</si>
  <si>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</si>
  <si>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</si>
  <si>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</si>
  <si>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</si>
  <si>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</si>
  <si>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</si>
  <si>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</si>
  <si>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</si>
  <si>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</si>
  <si>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</si>
  <si>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</si>
  <si>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</si>
  <si>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</si>
  <si>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</si>
  <si>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</si>
  <si>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</si>
  <si>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</si>
  <si>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</si>
  <si>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</si>
  <si>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</si>
  <si>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</si>
  <si>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</si>
  <si>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</si>
  <si>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</si>
  <si>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</si>
  <si>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</si>
  <si>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</si>
  <si>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</si>
  <si>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</si>
  <si>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</si>
  <si>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</si>
  <si>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</si>
  <si>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</si>
  <si>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</si>
  <si>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</si>
  <si>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</si>
  <si>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</si>
  <si>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</si>
  <si>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</si>
  <si>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</si>
  <si>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</si>
  <si>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</si>
  <si>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</si>
  <si>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</si>
  <si>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</si>
  <si>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</si>
  <si>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</si>
  <si>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</si>
  <si>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</si>
  <si>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</si>
  <si>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</si>
  <si>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Avg</t>
  </si>
  <si>
    <t>Max Risk</t>
  </si>
  <si>
    <t>Avg.Volatility Actual</t>
  </si>
  <si>
    <t>Avg. Vol.Est.</t>
  </si>
  <si>
    <t>20 Day Avg. Volatility Est.</t>
  </si>
  <si>
    <t>ACT LONG%</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</si>
  <si>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</si>
  <si>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</si>
  <si>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</si>
  <si>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</si>
  <si>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</si>
  <si>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</si>
  <si>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</si>
  <si>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</si>
  <si>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</si>
  <si>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</si>
  <si>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</si>
  <si>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</si>
  <si>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</si>
  <si>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</si>
  <si>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</si>
  <si>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</si>
  <si>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</si>
  <si>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</si>
  <si>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</si>
  <si>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</si>
  <si>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</si>
  <si>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</si>
  <si>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</si>
  <si>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Top 3 systems by 3-Day Reward/Risk Ratio</t>
  </si>
  <si>
    <t>Other</t>
  </si>
  <si>
    <t>Anti-Seasonality</t>
  </si>
  <si>
    <t>ANTI-SEASONALITY</t>
  </si>
  <si>
    <t>シーグリーン</t>
  </si>
  <si>
    <t>50/50- 50% Anti-Lowest Eq, 50% Anti-Highest Eq.</t>
  </si>
  <si>
    <t>margin</t>
  </si>
  <si>
    <t>SW-MIN-VOTING</t>
  </si>
  <si>
    <t>SW-MIN-SYS</t>
  </si>
  <si>
    <t>push adj_volsize with updated system</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</si>
  <si>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 xml:space="preserve">run v4orders, </t>
    </r>
  </si>
  <si>
    <t>prepare and send daily email report</t>
  </si>
  <si>
    <t>exit futures/currencyATR files</t>
  </si>
  <si>
    <t>ii.  check with futuresResults_Last if sums agree, update fhist (%L)</t>
  </si>
  <si>
    <t>yoko (c2)</t>
  </si>
  <si>
    <t>cum. Yoko</t>
  </si>
  <si>
    <t>cum. Toshi</t>
  </si>
  <si>
    <t>cum. Hidemi</t>
  </si>
  <si>
    <t>max</t>
  </si>
  <si>
    <t>min</t>
  </si>
  <si>
    <t>One or the Other</t>
  </si>
  <si>
    <t>20 Day Totals</t>
  </si>
  <si>
    <t>20 Day Re/Ri</t>
  </si>
  <si>
    <t>Cum. Re/Ri</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</si>
</sst>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2">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
      <patternFill patternType="solid">
        <fgColor rgb="FFFF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44">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40" fontId="0" fillId="23" borderId="0" xfId="0" applyNumberFormat="1" applyFill="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40" fontId="0" fillId="35" borderId="31" xfId="0" applyNumberFormat="1" applyFill="1" applyBorder="1"/>
    <xf numFmtId="40" fontId="0" fillId="40" borderId="0" xfId="0" applyNumberFormat="1" applyFill="1" applyBorder="1"/>
    <xf numFmtId="40" fontId="0" fillId="40" borderId="7" xfId="0" applyNumberFormat="1" applyFill="1" applyBorder="1"/>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xf numFmtId="40" fontId="0" fillId="30" borderId="0" xfId="0" applyNumberFormat="1" applyFill="1" applyBorder="1"/>
    <xf numFmtId="40" fontId="0" fillId="0" borderId="14" xfId="0" applyNumberFormat="1" applyFill="1" applyBorder="1"/>
    <xf numFmtId="0" fontId="22" fillId="0" borderId="0" xfId="0" applyFont="1" applyAlignment="1">
      <alignment horizontal="left" indent="1"/>
    </xf>
    <xf numFmtId="0" fontId="22" fillId="0" borderId="0" xfId="0" applyFont="1"/>
    <xf numFmtId="0" fontId="7" fillId="0" borderId="0" xfId="0" applyFont="1" applyAlignment="1">
      <alignment horizontal="left" indent="1"/>
    </xf>
    <xf numFmtId="0" fontId="0" fillId="41" borderId="0" xfId="0" applyFill="1"/>
    <xf numFmtId="40" fontId="0" fillId="41" borderId="0" xfId="0" applyNumberFormat="1" applyFill="1"/>
    <xf numFmtId="164" fontId="0" fillId="41" borderId="0" xfId="1" applyNumberFormat="1" applyFont="1" applyFill="1"/>
    <xf numFmtId="40" fontId="0" fillId="41" borderId="9" xfId="0" applyNumberFormat="1" applyFill="1" applyBorder="1"/>
    <xf numFmtId="40" fontId="0" fillId="41" borderId="6" xfId="0" applyNumberFormat="1" applyFill="1" applyBorder="1"/>
    <xf numFmtId="40" fontId="0" fillId="41" borderId="27" xfId="0" applyNumberFormat="1" applyFill="1" applyBorder="1"/>
    <xf numFmtId="9" fontId="0" fillId="41" borderId="0" xfId="3" applyFont="1" applyFill="1" applyBorder="1"/>
    <xf numFmtId="164" fontId="0" fillId="41" borderId="0" xfId="1" applyNumberFormat="1" applyFont="1" applyFill="1" applyBorder="1"/>
    <xf numFmtId="9" fontId="0" fillId="41" borderId="0" xfId="0" applyNumberFormat="1" applyFill="1"/>
    <xf numFmtId="40" fontId="0" fillId="6" borderId="7" xfId="0" applyNumberFormat="1" applyFill="1" applyBorder="1"/>
    <xf numFmtId="40" fontId="0" fillId="35" borderId="0" xfId="0" applyNumberFormat="1" applyFill="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23" borderId="0" xfId="0" applyFill="1" applyAlignment="1">
      <alignment horizontal="center"/>
    </xf>
    <xf numFmtId="0" fontId="0" fillId="0" borderId="13" xfId="0" applyBorder="1" applyAlignment="1">
      <alignment horizontal="center"/>
    </xf>
    <xf numFmtId="0" fontId="0" fillId="0" borderId="7"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0" fillId="40" borderId="0" xfId="0"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16" fillId="0" borderId="1" xfId="0" applyFont="1" applyFill="1" applyBorder="1" applyAlignment="1">
      <alignment horizontal="center"/>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0" fillId="4" borderId="0" xfId="0" applyFont="1" applyFill="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FFFFCC"/>
      <color rgb="FFCCFFFF"/>
      <color rgb="FF00FFCC"/>
      <color rgb="FFD60093"/>
      <color rgb="FFFF99CC"/>
      <color rgb="FF47FF15"/>
      <color rgb="FFFF9999"/>
      <color rgb="FFFF9966"/>
      <color rgb="FFFF3399"/>
      <color rgb="FFEAA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(2)'!$AC$71</c:f>
              <c:strCache>
                <c:ptCount val="1"/>
                <c:pt idx="0">
                  <c:v>20160812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(2)'!$AD$71:$AV$71</c:f>
              <c:numCache>
                <c:formatCode>#,##0.00_);[Red]\(#,##0.00\)</c:formatCode>
                <c:ptCount val="19"/>
                <c:pt idx="0">
                  <c:v>82513.862382983862</c:v>
                </c:pt>
                <c:pt idx="1">
                  <c:v>22205.281428174207</c:v>
                </c:pt>
                <c:pt idx="2">
                  <c:v>19229.655254420453</c:v>
                </c:pt>
                <c:pt idx="3">
                  <c:v>138797.54331077411</c:v>
                </c:pt>
                <c:pt idx="4">
                  <c:v>-138797.54331077411</c:v>
                </c:pt>
                <c:pt idx="5">
                  <c:v>-16070.748109326589</c:v>
                </c:pt>
                <c:pt idx="6">
                  <c:v>16070.748109326589</c:v>
                </c:pt>
                <c:pt idx="7">
                  <c:v>78224.69579224872</c:v>
                </c:pt>
                <c:pt idx="8">
                  <c:v>-28240.608867191258</c:v>
                </c:pt>
                <c:pt idx="9">
                  <c:v>-18551.915140214598</c:v>
                </c:pt>
                <c:pt idx="10">
                  <c:v>-74794.24871835552</c:v>
                </c:pt>
                <c:pt idx="11">
                  <c:v>74794.24871835552</c:v>
                </c:pt>
                <c:pt idx="12">
                  <c:v>-62711.671856767141</c:v>
                </c:pt>
                <c:pt idx="13">
                  <c:v>1031.2621150815094</c:v>
                </c:pt>
                <c:pt idx="14">
                  <c:v>-686.91795207938503</c:v>
                </c:pt>
                <c:pt idx="15">
                  <c:v>63446.585066076324</c:v>
                </c:pt>
                <c:pt idx="16">
                  <c:v>68019.832526993618</c:v>
                </c:pt>
                <c:pt idx="17">
                  <c:v>28855.785617955633</c:v>
                </c:pt>
                <c:pt idx="18">
                  <c:v>112240.95475067657</c:v>
                </c:pt>
              </c:numCache>
            </c:numRef>
          </c:val>
        </c:ser>
        <c:dLbls>
          <c:dLblPos val="outEnd"/>
          <c:showLegendKey val="0"/>
          <c:showVal val="1"/>
          <c:showCatName val="0"/>
          <c:showSerName val="0"/>
          <c:showPercent val="0"/>
          <c:showBubbleSize val="0"/>
        </c:dLbls>
        <c:gapWidth val="444"/>
        <c:overlap val="-90"/>
        <c:axId val="2137199616"/>
        <c:axId val="2137196896"/>
      </c:barChart>
      <c:catAx>
        <c:axId val="2137199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37196896"/>
        <c:crosses val="autoZero"/>
        <c:auto val="1"/>
        <c:lblAlgn val="ctr"/>
        <c:lblOffset val="100"/>
        <c:noMultiLvlLbl val="0"/>
      </c:catAx>
      <c:valAx>
        <c:axId val="2137196896"/>
        <c:scaling>
          <c:orientation val="minMax"/>
        </c:scaling>
        <c:delete val="1"/>
        <c:axPos val="l"/>
        <c:numFmt formatCode="#,##0.00_);[Red]\(#,##0.00\)" sourceLinked="1"/>
        <c:majorTickMark val="none"/>
        <c:minorTickMark val="none"/>
        <c:tickLblPos val="nextTo"/>
        <c:crossAx val="213719961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numRef>
              <c:f>'daily (2)'!$G$67:$G$71</c:f>
              <c:numCache>
                <c:formatCode>General</c:formatCode>
                <c:ptCount val="5"/>
                <c:pt idx="0">
                  <c:v>20160808</c:v>
                </c:pt>
                <c:pt idx="1">
                  <c:v>20160809</c:v>
                </c:pt>
                <c:pt idx="2">
                  <c:v>20160810</c:v>
                </c:pt>
                <c:pt idx="3">
                  <c:v>20160811</c:v>
                </c:pt>
                <c:pt idx="4">
                  <c:v>20160812</c:v>
                </c:pt>
              </c:numCache>
            </c:numRef>
          </c:cat>
          <c:val>
            <c:numRef>
              <c:f>'daily (2)'!$H$67:$H$71</c:f>
              <c:numCache>
                <c:formatCode>0%</c:formatCode>
                <c:ptCount val="5"/>
                <c:pt idx="0">
                  <c:v>0.63380281690140849</c:v>
                </c:pt>
                <c:pt idx="1">
                  <c:v>0.70422535211267601</c:v>
                </c:pt>
                <c:pt idx="2">
                  <c:v>0.52112676056338025</c:v>
                </c:pt>
                <c:pt idx="3">
                  <c:v>0.57746478873239437</c:v>
                </c:pt>
                <c:pt idx="4">
                  <c:v>0.50704225352112675</c:v>
                </c:pt>
              </c:numCache>
            </c:numRef>
          </c:val>
        </c:ser>
        <c:dLbls>
          <c:showLegendKey val="0"/>
          <c:showVal val="0"/>
          <c:showCatName val="0"/>
          <c:showSerName val="0"/>
          <c:showPercent val="0"/>
          <c:showBubbleSize val="0"/>
        </c:dLbls>
        <c:gapWidth val="269"/>
        <c:axId val="307550576"/>
        <c:axId val="307553840"/>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numRef>
              <c:f>'daily (2)'!$G$67:$G$71</c:f>
              <c:numCache>
                <c:formatCode>General</c:formatCode>
                <c:ptCount val="5"/>
                <c:pt idx="0">
                  <c:v>20160808</c:v>
                </c:pt>
                <c:pt idx="1">
                  <c:v>20160809</c:v>
                </c:pt>
                <c:pt idx="2">
                  <c:v>20160810</c:v>
                </c:pt>
                <c:pt idx="3">
                  <c:v>20160811</c:v>
                </c:pt>
                <c:pt idx="4">
                  <c:v>20160812</c:v>
                </c:pt>
              </c:numCache>
            </c:numRef>
          </c:cat>
          <c:val>
            <c:numRef>
              <c:f>'daily (2)'!$J$67:$J$71</c:f>
              <c:numCache>
                <c:formatCode>_(* #,##0.00_);_(* \(#,##0.00\);_(* "-"??_);_(@_)</c:formatCode>
                <c:ptCount val="5"/>
                <c:pt idx="0">
                  <c:v>1006.0742655221744</c:v>
                </c:pt>
                <c:pt idx="1">
                  <c:v>987.26977859958072</c:v>
                </c:pt>
                <c:pt idx="2">
                  <c:v>1239.0720509076896</c:v>
                </c:pt>
                <c:pt idx="3">
                  <c:v>1455.5424402308481</c:v>
                </c:pt>
                <c:pt idx="4">
                  <c:v>970.1178830994337</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(2)'!$G$67:$G$71</c:f>
              <c:numCache>
                <c:formatCode>General</c:formatCode>
                <c:ptCount val="5"/>
                <c:pt idx="0">
                  <c:v>20160808</c:v>
                </c:pt>
                <c:pt idx="1">
                  <c:v>20160809</c:v>
                </c:pt>
                <c:pt idx="2">
                  <c:v>20160810</c:v>
                </c:pt>
                <c:pt idx="3">
                  <c:v>20160811</c:v>
                </c:pt>
                <c:pt idx="4">
                  <c:v>20160812</c:v>
                </c:pt>
              </c:numCache>
            </c:numRef>
          </c:cat>
          <c:val>
            <c:numRef>
              <c:f>'daily (2)'!$I$67:$I$71</c:f>
              <c:numCache>
                <c:formatCode>_(* #,##0.00_);_(* \(#,##0.00\);_(* "-"??_);_(@_)</c:formatCode>
                <c:ptCount val="5"/>
                <c:pt idx="0">
                  <c:v>2531.8078544341006</c:v>
                </c:pt>
                <c:pt idx="1">
                  <c:v>2509.7678798792708</c:v>
                </c:pt>
                <c:pt idx="2">
                  <c:v>2477.3122879457305</c:v>
                </c:pt>
                <c:pt idx="3">
                  <c:v>2504.1822790998299</c:v>
                </c:pt>
                <c:pt idx="4">
                  <c:v>2505.8825765419137</c:v>
                </c:pt>
              </c:numCache>
            </c:numRef>
          </c:val>
          <c:smooth val="0"/>
        </c:ser>
        <c:dLbls>
          <c:showLegendKey val="0"/>
          <c:showVal val="0"/>
          <c:showCatName val="0"/>
          <c:showSerName val="0"/>
          <c:showPercent val="0"/>
          <c:showBubbleSize val="0"/>
        </c:dLbls>
        <c:marker val="1"/>
        <c:smooth val="0"/>
        <c:axId val="307554928"/>
        <c:axId val="307554384"/>
      </c:lineChart>
      <c:catAx>
        <c:axId val="30755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07553840"/>
        <c:crosses val="autoZero"/>
        <c:auto val="1"/>
        <c:lblAlgn val="ctr"/>
        <c:lblOffset val="100"/>
        <c:noMultiLvlLbl val="0"/>
      </c:catAx>
      <c:valAx>
        <c:axId val="307553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50576"/>
        <c:crosses val="autoZero"/>
        <c:crossBetween val="between"/>
      </c:valAx>
      <c:valAx>
        <c:axId val="307554384"/>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54928"/>
        <c:crosses val="max"/>
        <c:crossBetween val="between"/>
      </c:valAx>
      <c:catAx>
        <c:axId val="307554928"/>
        <c:scaling>
          <c:orientation val="minMax"/>
        </c:scaling>
        <c:delete val="1"/>
        <c:axPos val="b"/>
        <c:numFmt formatCode="General" sourceLinked="1"/>
        <c:majorTickMark val="out"/>
        <c:minorTickMark val="none"/>
        <c:tickLblPos val="nextTo"/>
        <c:crossAx val="307554384"/>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Cumulative Accumulated profit/loss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(2)'!$AW$71</c:f>
              <c:strCache>
                <c:ptCount val="1"/>
                <c:pt idx="0">
                  <c:v>20160812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'daily (2)'!$AX$40:$BP$40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(2)'!$AX$71:$BP$71</c:f>
              <c:numCache>
                <c:formatCode>#,##0.00_);[Red]\(#,##0.00\)</c:formatCode>
                <c:ptCount val="19"/>
                <c:pt idx="0">
                  <c:v>103406.91552534608</c:v>
                </c:pt>
                <c:pt idx="1">
                  <c:v>50776.861918080831</c:v>
                </c:pt>
                <c:pt idx="2">
                  <c:v>-93403.155991795007</c:v>
                </c:pt>
                <c:pt idx="3">
                  <c:v>130993.84127657392</c:v>
                </c:pt>
                <c:pt idx="4">
                  <c:v>-130993.84127657392</c:v>
                </c:pt>
                <c:pt idx="5">
                  <c:v>-50261.665780039977</c:v>
                </c:pt>
                <c:pt idx="6">
                  <c:v>50261.665780039977</c:v>
                </c:pt>
                <c:pt idx="7">
                  <c:v>127089.59498941223</c:v>
                </c:pt>
                <c:pt idx="8">
                  <c:v>-48694.146592946847</c:v>
                </c:pt>
                <c:pt idx="9">
                  <c:v>-49266.338579676398</c:v>
                </c:pt>
                <c:pt idx="10">
                  <c:v>-3828.3241040650428</c:v>
                </c:pt>
                <c:pt idx="11">
                  <c:v>3828.3241040650428</c:v>
                </c:pt>
                <c:pt idx="12">
                  <c:v>76136.994252532095</c:v>
                </c:pt>
                <c:pt idx="13">
                  <c:v>-16217.180849369821</c:v>
                </c:pt>
                <c:pt idx="14">
                  <c:v>80803.777282053488</c:v>
                </c:pt>
                <c:pt idx="15">
                  <c:v>11131.692453614773</c:v>
                </c:pt>
                <c:pt idx="16">
                  <c:v>80518.370802040357</c:v>
                </c:pt>
                <c:pt idx="17">
                  <c:v>-50108.899403673997</c:v>
                </c:pt>
                <c:pt idx="18">
                  <c:v>125920.26597715293</c:v>
                </c:pt>
              </c:numCache>
            </c:numRef>
          </c:val>
        </c:ser>
        <c:dLbls>
          <c:dLblPos val="outEnd"/>
          <c:showLegendKey val="0"/>
          <c:showVal val="1"/>
          <c:showCatName val="0"/>
          <c:showSerName val="0"/>
          <c:showPercent val="0"/>
          <c:showBubbleSize val="0"/>
        </c:dLbls>
        <c:gapWidth val="444"/>
        <c:overlap val="-90"/>
        <c:axId val="307552752"/>
        <c:axId val="307555472"/>
      </c:barChart>
      <c:catAx>
        <c:axId val="30755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07555472"/>
        <c:crosses val="autoZero"/>
        <c:auto val="1"/>
        <c:lblAlgn val="ctr"/>
        <c:lblOffset val="100"/>
        <c:noMultiLvlLbl val="0"/>
      </c:catAx>
      <c:valAx>
        <c:axId val="307555472"/>
        <c:scaling>
          <c:orientation val="minMax"/>
        </c:scaling>
        <c:delete val="1"/>
        <c:axPos val="l"/>
        <c:numFmt formatCode="#,##0.00_);[Red]\(#,##0.00\)" sourceLinked="1"/>
        <c:majorTickMark val="none"/>
        <c:minorTickMark val="none"/>
        <c:tickLblPos val="nextTo"/>
        <c:crossAx val="307552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'daily (2)'!$G$2</c:f>
          <c:strCache>
            <c:ptCount val="1"/>
            <c:pt idx="0">
              <c:v>Regular $1mil 20160812</c:v>
            </c:pt>
          </c:strCache>
        </c:strRef>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'daily (2)'!$G$2</c:f>
              <c:strCache>
                <c:ptCount val="1"/>
                <c:pt idx="0">
                  <c:v>Regular $1mil 20160812</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layout>
                <c:manualLayout>
                  <c:x val="0"/>
                  <c:y val="-7.8703703703703623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4"/>
              <c:layout>
                <c:manualLayout>
                  <c:x val="-1.0185067526415994E-16"/>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'daily (2)'!$H$1:$M$1</c:f>
              <c:strCache>
                <c:ptCount val="6"/>
                <c:pt idx="0">
                  <c:v>yoko (c2)</c:v>
                </c:pt>
                <c:pt idx="1">
                  <c:v>cum. Yoko</c:v>
                </c:pt>
                <c:pt idx="2">
                  <c:v>toshi</c:v>
                </c:pt>
                <c:pt idx="3">
                  <c:v>cum. Toshi</c:v>
                </c:pt>
                <c:pt idx="4">
                  <c:v>hidemi</c:v>
                </c:pt>
                <c:pt idx="5">
                  <c:v>cum. Hidemi</c:v>
                </c:pt>
              </c:strCache>
            </c:strRef>
          </c:cat>
          <c:val>
            <c:numRef>
              <c:f>'daily (2)'!$H$2:$M$2</c:f>
              <c:numCache>
                <c:formatCode>#,##0.00_);[Red]\(#,##0.00\)</c:formatCode>
                <c:ptCount val="6"/>
                <c:pt idx="0">
                  <c:v>-3551.0376537920247</c:v>
                </c:pt>
                <c:pt idx="1">
                  <c:v>103406.91552534608</c:v>
                </c:pt>
                <c:pt idx="2">
                  <c:v>1091.2799834234288</c:v>
                </c:pt>
                <c:pt idx="3">
                  <c:v>50776.861918080831</c:v>
                </c:pt>
                <c:pt idx="4">
                  <c:v>-3067.229050180953</c:v>
                </c:pt>
                <c:pt idx="5">
                  <c:v>-93403.155991795007</c:v>
                </c:pt>
              </c:numCache>
            </c:numRef>
          </c:val>
        </c:ser>
        <c:dLbls>
          <c:dLblPos val="inEnd"/>
          <c:showLegendKey val="0"/>
          <c:showVal val="1"/>
          <c:showCatName val="0"/>
          <c:showSerName val="0"/>
          <c:showPercent val="0"/>
          <c:showBubbleSize val="0"/>
        </c:dLbls>
        <c:gapWidth val="41"/>
        <c:axId val="307550032"/>
        <c:axId val="307556560"/>
      </c:barChart>
      <c:catAx>
        <c:axId val="307550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07556560"/>
        <c:crosses val="autoZero"/>
        <c:auto val="1"/>
        <c:lblAlgn val="ctr"/>
        <c:lblOffset val="100"/>
        <c:noMultiLvlLbl val="0"/>
      </c:catAx>
      <c:valAx>
        <c:axId val="307556560"/>
        <c:scaling>
          <c:orientation val="minMax"/>
        </c:scaling>
        <c:delete val="1"/>
        <c:axPos val="l"/>
        <c:numFmt formatCode="#,##0.00_);[Red]\(#,##0.00\)" sourceLinked="1"/>
        <c:majorTickMark val="none"/>
        <c:minorTickMark val="none"/>
        <c:tickLblPos val="nextTo"/>
        <c:crossAx val="30755003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3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fhist!$A$19</c:f>
              <c:strCache>
                <c:ptCount val="1"/>
                <c:pt idx="0">
                  <c:v>20160810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fhist!$B$19:$J$19</c:f>
              <c:numCache>
                <c:formatCode>0%</c:formatCode>
                <c:ptCount val="9"/>
                <c:pt idx="0">
                  <c:v>0.52112676056338025</c:v>
                </c:pt>
                <c:pt idx="1">
                  <c:v>0.88888888888888884</c:v>
                </c:pt>
                <c:pt idx="2">
                  <c:v>0</c:v>
                </c:pt>
                <c:pt idx="3">
                  <c:v>0.6</c:v>
                </c:pt>
                <c:pt idx="4">
                  <c:v>0.2857142857142857</c:v>
                </c:pt>
                <c:pt idx="5">
                  <c:v>0.33333333333333331</c:v>
                </c:pt>
                <c:pt idx="6">
                  <c:v>1</c:v>
                </c:pt>
                <c:pt idx="7">
                  <c:v>1</c:v>
                </c:pt>
                <c:pt idx="8">
                  <c:v>0.14285714285714285</c:v>
                </c:pt>
              </c:numCache>
            </c:numRef>
          </c:val>
        </c:ser>
        <c:ser>
          <c:idx val="1"/>
          <c:order val="1"/>
          <c:tx>
            <c:strRef>
              <c:f>fhist!$A$20</c:f>
              <c:strCache>
                <c:ptCount val="1"/>
                <c:pt idx="0">
                  <c:v>20160811</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fhist!$B$20:$J$20</c:f>
              <c:numCache>
                <c:formatCode>0%</c:formatCode>
                <c:ptCount val="9"/>
                <c:pt idx="0">
                  <c:v>0.57746478873239437</c:v>
                </c:pt>
                <c:pt idx="1">
                  <c:v>0.55555555555555558</c:v>
                </c:pt>
                <c:pt idx="2">
                  <c:v>0.83333333333333337</c:v>
                </c:pt>
                <c:pt idx="3">
                  <c:v>0.5</c:v>
                </c:pt>
                <c:pt idx="4">
                  <c:v>0.8571428571428571</c:v>
                </c:pt>
                <c:pt idx="5">
                  <c:v>0</c:v>
                </c:pt>
                <c:pt idx="6">
                  <c:v>0.2</c:v>
                </c:pt>
                <c:pt idx="7">
                  <c:v>0.4</c:v>
                </c:pt>
                <c:pt idx="8">
                  <c:v>0.42857142857142855</c:v>
                </c:pt>
              </c:numCache>
            </c:numRef>
          </c:val>
        </c:ser>
        <c:ser>
          <c:idx val="2"/>
          <c:order val="2"/>
          <c:tx>
            <c:strRef>
              <c:f>fhist!$A$21</c:f>
              <c:strCache>
                <c:ptCount val="1"/>
                <c:pt idx="0">
                  <c:v>20160812</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fhist!$B$21:$J$21</c:f>
              <c:numCache>
                <c:formatCode>0%</c:formatCode>
                <c:ptCount val="9"/>
                <c:pt idx="0">
                  <c:v>0.50704225352112675</c:v>
                </c:pt>
                <c:pt idx="1">
                  <c:v>0.33333333333333331</c:v>
                </c:pt>
                <c:pt idx="2">
                  <c:v>1</c:v>
                </c:pt>
                <c:pt idx="3">
                  <c:v>0.6</c:v>
                </c:pt>
                <c:pt idx="4">
                  <c:v>0.47619047619047616</c:v>
                </c:pt>
                <c:pt idx="5">
                  <c:v>0.66666666666666663</c:v>
                </c:pt>
                <c:pt idx="6">
                  <c:v>0</c:v>
                </c:pt>
                <c:pt idx="7">
                  <c:v>0.7</c:v>
                </c:pt>
                <c:pt idx="8">
                  <c:v>0.2857142857142857</c:v>
                </c:pt>
              </c:numCache>
            </c:numRef>
          </c:val>
        </c:ser>
        <c:dLbls>
          <c:dLblPos val="outEnd"/>
          <c:showLegendKey val="0"/>
          <c:showVal val="1"/>
          <c:showCatName val="0"/>
          <c:showSerName val="0"/>
          <c:showPercent val="0"/>
          <c:showBubbleSize val="0"/>
        </c:dLbls>
        <c:gapWidth val="164"/>
        <c:overlap val="-22"/>
        <c:axId val="441410752"/>
        <c:axId val="441425984"/>
      </c:barChart>
      <c:catAx>
        <c:axId val="4414107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25984"/>
        <c:crosses val="autoZero"/>
        <c:auto val="1"/>
        <c:lblAlgn val="ctr"/>
        <c:lblOffset val="100"/>
        <c:noMultiLvlLbl val="0"/>
      </c:catAx>
      <c:valAx>
        <c:axId val="4414259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10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'0816'!$Y$2</c:f>
              <c:strCache>
                <c:ptCount val="1"/>
                <c:pt idx="0">
                  <c:v>currency</c:v>
                </c:pt>
              </c:strCache>
            </c:strRef>
          </c:tx>
          <c:spPr>
            <a:solidFill>
              <a:schemeClr val="accent1"/>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'0816'!$Y$3</c:f>
              <c:strCache>
                <c:ptCount val="1"/>
                <c:pt idx="0">
                  <c:v>energy</c:v>
                </c:pt>
              </c:strCache>
            </c:strRef>
          </c:tx>
          <c:spPr>
            <a:solidFill>
              <a:schemeClr val="accent2"/>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'0816'!$Y$4</c:f>
              <c:strCache>
                <c:ptCount val="1"/>
                <c:pt idx="0">
                  <c:v>grain</c:v>
                </c:pt>
              </c:strCache>
            </c:strRef>
          </c:tx>
          <c:spPr>
            <a:solidFill>
              <a:schemeClr val="accent3"/>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'0816'!$Y$5</c:f>
              <c:strCache>
                <c:ptCount val="1"/>
                <c:pt idx="0">
                  <c:v>index</c:v>
                </c:pt>
              </c:strCache>
            </c:strRef>
          </c:tx>
          <c:spPr>
            <a:solidFill>
              <a:schemeClr val="accent4"/>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'0816'!$Y$6</c:f>
              <c:strCache>
                <c:ptCount val="1"/>
                <c:pt idx="0">
                  <c:v>meat</c:v>
                </c:pt>
              </c:strCache>
            </c:strRef>
          </c:tx>
          <c:spPr>
            <a:solidFill>
              <a:schemeClr val="accent5"/>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'0816'!$Y$7</c:f>
              <c:strCache>
                <c:ptCount val="1"/>
                <c:pt idx="0">
                  <c:v>metal</c:v>
                </c:pt>
              </c:strCache>
            </c:strRef>
          </c:tx>
          <c:spPr>
            <a:solidFill>
              <a:schemeClr val="accent6"/>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'0816'!$Y$8</c:f>
              <c:strCache>
                <c:ptCount val="1"/>
                <c:pt idx="0">
                  <c:v>rates</c:v>
                </c:pt>
              </c:strCache>
            </c:strRef>
          </c:tx>
          <c:spPr>
            <a:solidFill>
              <a:schemeClr val="accent1">
                <a:lumMod val="60000"/>
              </a:schemeClr>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'0816'!$Y$9</c:f>
              <c:strCache>
                <c:ptCount val="1"/>
                <c:pt idx="0">
                  <c:v>soft</c:v>
                </c:pt>
              </c:strCache>
            </c:strRef>
          </c:tx>
          <c:spPr>
            <a:solidFill>
              <a:schemeClr val="accent2">
                <a:lumMod val="60000"/>
              </a:schemeClr>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441412384"/>
        <c:axId val="441411296"/>
      </c:barChart>
      <c:catAx>
        <c:axId val="441412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41411296"/>
        <c:crosses val="autoZero"/>
        <c:auto val="1"/>
        <c:lblAlgn val="ctr"/>
        <c:lblOffset val="100"/>
        <c:noMultiLvlLbl val="0"/>
      </c:catAx>
      <c:valAx>
        <c:axId val="4414112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123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'0816'!$BI$1</c:f>
          <c:strCache>
            <c:ptCount val="1"/>
            <c:pt idx="0">
              <c:v>NET POSITION BY SYSTEM FOR 20160816</c:v>
            </c:pt>
          </c:strCache>
        </c:strRef>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'0816'!$J$2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'0816'!$J$3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'0816'!$J$4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'0816'!$J$5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'0816'!$J$6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'0816'!$J$7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'0816'!$J$8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'0816'!$J$9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441415648"/>
        <c:axId val="441426528"/>
      </c:barChart>
      <c:catAx>
        <c:axId val="44141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441426528"/>
        <c:crosses val="autoZero"/>
        <c:auto val="1"/>
        <c:lblAlgn val="ctr"/>
        <c:lblOffset val="100"/>
        <c:noMultiLvlLbl val="0"/>
      </c:catAx>
      <c:valAx>
        <c:axId val="441426528"/>
        <c:scaling>
          <c:orientation val="minMax"/>
        </c:scaling>
        <c:delete val="1"/>
        <c:axPos val="l"/>
        <c:numFmt formatCode="#,##0_)%;[Red]\(#,##0\)%" sourceLinked="1"/>
        <c:majorTickMark val="none"/>
        <c:minorTickMark val="none"/>
        <c:tickLblPos val="nextTo"/>
        <c:crossAx val="44141564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'0815'!$Y$2</c:f>
              <c:strCache>
                <c:ptCount val="1"/>
                <c:pt idx="0">
                  <c:v>currency</c:v>
                </c:pt>
              </c:strCache>
            </c:strRef>
          </c:tx>
          <c:spPr>
            <a:solidFill>
              <a:schemeClr val="accent1"/>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'0815'!$Y$3</c:f>
              <c:strCache>
                <c:ptCount val="1"/>
                <c:pt idx="0">
                  <c:v>energy</c:v>
                </c:pt>
              </c:strCache>
            </c:strRef>
          </c:tx>
          <c:spPr>
            <a:solidFill>
              <a:schemeClr val="accent2"/>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'0815'!$Y$4</c:f>
              <c:strCache>
                <c:ptCount val="1"/>
                <c:pt idx="0">
                  <c:v>grain</c:v>
                </c:pt>
              </c:strCache>
            </c:strRef>
          </c:tx>
          <c:spPr>
            <a:solidFill>
              <a:schemeClr val="accent3"/>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'0815'!$Y$5</c:f>
              <c:strCache>
                <c:ptCount val="1"/>
                <c:pt idx="0">
                  <c:v>index</c:v>
                </c:pt>
              </c:strCache>
            </c:strRef>
          </c:tx>
          <c:spPr>
            <a:solidFill>
              <a:schemeClr val="accent4"/>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'0815'!$Y$6</c:f>
              <c:strCache>
                <c:ptCount val="1"/>
                <c:pt idx="0">
                  <c:v>meat</c:v>
                </c:pt>
              </c:strCache>
            </c:strRef>
          </c:tx>
          <c:spPr>
            <a:solidFill>
              <a:schemeClr val="accent5"/>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'0815'!$Y$7</c:f>
              <c:strCache>
                <c:ptCount val="1"/>
                <c:pt idx="0">
                  <c:v>metal</c:v>
                </c:pt>
              </c:strCache>
            </c:strRef>
          </c:tx>
          <c:spPr>
            <a:solidFill>
              <a:schemeClr val="accent6"/>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'0815'!$Y$8</c:f>
              <c:strCache>
                <c:ptCount val="1"/>
                <c:pt idx="0">
                  <c:v>rates</c:v>
                </c:pt>
              </c:strCache>
            </c:strRef>
          </c:tx>
          <c:spPr>
            <a:solidFill>
              <a:schemeClr val="accent1">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'0815'!$Y$9</c:f>
              <c:strCache>
                <c:ptCount val="1"/>
                <c:pt idx="0">
                  <c:v>soft</c:v>
                </c:pt>
              </c:strCache>
            </c:strRef>
          </c:tx>
          <c:spPr>
            <a:solidFill>
              <a:schemeClr val="accent2">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441415104"/>
        <c:axId val="441420544"/>
      </c:barChart>
      <c:catAx>
        <c:axId val="4414151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41420544"/>
        <c:crosses val="autoZero"/>
        <c:auto val="1"/>
        <c:lblAlgn val="ctr"/>
        <c:lblOffset val="100"/>
        <c:noMultiLvlLbl val="0"/>
      </c:catAx>
      <c:valAx>
        <c:axId val="441420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15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'0815'!$BI$1</c:f>
          <c:strCache>
            <c:ptCount val="1"/>
            <c:pt idx="0">
              <c:v>NET POSITION BY SYSTEM FOR 20160815</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'0815'!$K$2:$V$2</c:f>
              <c:numCache>
                <c:formatCode>#,##0_)%;[Red]\(#,##0\)%</c:formatCode>
                <c:ptCount val="12"/>
                <c:pt idx="0">
                  <c:v>-0.33333333333333331</c:v>
                </c:pt>
                <c:pt idx="1">
                  <c:v>0.33333333333333331</c:v>
                </c:pt>
                <c:pt idx="2">
                  <c:v>-0.1111111111111111</c:v>
                </c:pt>
                <c:pt idx="3">
                  <c:v>0.55555555555555558</c:v>
                </c:pt>
                <c:pt idx="4">
                  <c:v>-0.33333333333333331</c:v>
                </c:pt>
                <c:pt idx="5">
                  <c:v>0.55555555555555558</c:v>
                </c:pt>
                <c:pt idx="6">
                  <c:v>0.33333333333333331</c:v>
                </c:pt>
                <c:pt idx="7">
                  <c:v>0.77777777777777779</c:v>
                </c:pt>
                <c:pt idx="8">
                  <c:v>0.55555555555555558</c:v>
                </c:pt>
                <c:pt idx="9">
                  <c:v>0.77777777777777779</c:v>
                </c:pt>
                <c:pt idx="10">
                  <c:v>-0.55555555555555558</c:v>
                </c:pt>
                <c:pt idx="11">
                  <c:v>0.33333333333333331</c:v>
                </c:pt>
              </c:numCache>
            </c:numRef>
          </c:val>
        </c:ser>
        <c:ser>
          <c:idx val="1"/>
          <c:order val="1"/>
          <c:tx>
            <c:strRef>
              <c:f>'0815'!$J$3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'0815'!$K$3:$V$3</c:f>
              <c:numCache>
                <c:formatCode>#,##0_)%;[Red]\(#,##0\)%</c:formatCode>
                <c:ptCount val="12"/>
                <c:pt idx="0">
                  <c:v>1</c:v>
                </c:pt>
                <c:pt idx="1">
                  <c:v>0.33333333333333331</c:v>
                </c:pt>
                <c:pt idx="2">
                  <c:v>0.33333333333333331</c:v>
                </c:pt>
                <c:pt idx="3">
                  <c:v>0.33333333333333331</c:v>
                </c:pt>
                <c:pt idx="4">
                  <c:v>-0.66666666666666663</c:v>
                </c:pt>
                <c:pt idx="5">
                  <c:v>0</c:v>
                </c:pt>
                <c:pt idx="6">
                  <c:v>1</c:v>
                </c:pt>
                <c:pt idx="7">
                  <c:v>-0.33333333333333331</c:v>
                </c:pt>
                <c:pt idx="8">
                  <c:v>0</c:v>
                </c:pt>
                <c:pt idx="9">
                  <c:v>0</c:v>
                </c:pt>
                <c:pt idx="10">
                  <c:v>0</c:v>
                </c:pt>
                <c:pt idx="11">
                  <c:v>0.33333333333333331</c:v>
                </c:pt>
              </c:numCache>
            </c:numRef>
          </c:val>
        </c:ser>
        <c:ser>
          <c:idx val="2"/>
          <c:order val="2"/>
          <c:tx>
            <c:strRef>
              <c:f>'0815'!$J$4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'0815'!$K$4:$V$4</c:f>
              <c:numCache>
                <c:formatCode>#,##0_)%;[Red]\(#,##0\)%</c:formatCode>
                <c:ptCount val="12"/>
                <c:pt idx="0">
                  <c:v>0.2</c:v>
                </c:pt>
                <c:pt idx="1">
                  <c:v>0</c:v>
                </c:pt>
                <c:pt idx="2">
                  <c:v>0</c:v>
                </c:pt>
                <c:pt idx="3">
                  <c:v>0.2</c:v>
                </c:pt>
                <c:pt idx="4">
                  <c:v>0.8</c:v>
                </c:pt>
                <c:pt idx="5">
                  <c:v>0.2</c:v>
                </c:pt>
                <c:pt idx="6">
                  <c:v>0</c:v>
                </c:pt>
                <c:pt idx="7">
                  <c:v>-0.2</c:v>
                </c:pt>
                <c:pt idx="8">
                  <c:v>-0.6</c:v>
                </c:pt>
                <c:pt idx="9">
                  <c:v>-0.6</c:v>
                </c:pt>
                <c:pt idx="10">
                  <c:v>-0.4</c:v>
                </c:pt>
                <c:pt idx="11">
                  <c:v>-0.4</c:v>
                </c:pt>
              </c:numCache>
            </c:numRef>
          </c:val>
        </c:ser>
        <c:ser>
          <c:idx val="3"/>
          <c:order val="3"/>
          <c:tx>
            <c:strRef>
              <c:f>'0815'!$J$5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'0815'!$K$5:$V$5</c:f>
              <c:numCache>
                <c:formatCode>#,##0_)%;[Red]\(#,##0\)%</c:formatCode>
                <c:ptCount val="12"/>
                <c:pt idx="0">
                  <c:v>-4.7619047619047616E-2</c:v>
                </c:pt>
                <c:pt idx="1">
                  <c:v>0.42857142857142855</c:v>
                </c:pt>
                <c:pt idx="2">
                  <c:v>-0.14285714285714285</c:v>
                </c:pt>
                <c:pt idx="3">
                  <c:v>0.42857142857142855</c:v>
                </c:pt>
                <c:pt idx="4">
                  <c:v>4.7619047619047616E-2</c:v>
                </c:pt>
                <c:pt idx="5">
                  <c:v>0.33333333333333331</c:v>
                </c:pt>
                <c:pt idx="6">
                  <c:v>0.42857142857142855</c:v>
                </c:pt>
                <c:pt idx="7">
                  <c:v>0.23809523809523808</c:v>
                </c:pt>
                <c:pt idx="8">
                  <c:v>-4.7619047619047616E-2</c:v>
                </c:pt>
                <c:pt idx="9">
                  <c:v>0.14285714285714285</c:v>
                </c:pt>
                <c:pt idx="10">
                  <c:v>-0.33333333333333331</c:v>
                </c:pt>
                <c:pt idx="11">
                  <c:v>-4.7619047619047616E-2</c:v>
                </c:pt>
              </c:numCache>
            </c:numRef>
          </c:val>
        </c:ser>
        <c:ser>
          <c:idx val="4"/>
          <c:order val="4"/>
          <c:tx>
            <c:strRef>
              <c:f>'0815'!$J$6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'0815'!$K$6:$V$6</c:f>
              <c:numCache>
                <c:formatCode>#,##0_)%;[Red]\(#,##0\)%</c:formatCode>
                <c:ptCount val="12"/>
                <c:pt idx="0">
                  <c:v>0.33333333333333331</c:v>
                </c:pt>
                <c:pt idx="1">
                  <c:v>0.33333333333333331</c:v>
                </c:pt>
                <c:pt idx="2">
                  <c:v>-0.33333333333333331</c:v>
                </c:pt>
                <c:pt idx="3">
                  <c:v>0.33333333333333331</c:v>
                </c:pt>
                <c:pt idx="4">
                  <c:v>-1</c:v>
                </c:pt>
                <c:pt idx="5">
                  <c:v>-1</c:v>
                </c:pt>
                <c:pt idx="6">
                  <c:v>0.33333333333333331</c:v>
                </c:pt>
                <c:pt idx="7">
                  <c:v>-0.33333333333333331</c:v>
                </c:pt>
                <c:pt idx="8">
                  <c:v>1</c:v>
                </c:pt>
                <c:pt idx="9">
                  <c:v>1</c:v>
                </c:pt>
                <c:pt idx="10">
                  <c:v>1</c:v>
                </c:pt>
                <c:pt idx="11">
                  <c:v>-0.33333333333333331</c:v>
                </c:pt>
              </c:numCache>
            </c:numRef>
          </c:val>
        </c:ser>
        <c:ser>
          <c:idx val="5"/>
          <c:order val="5"/>
          <c:tx>
            <c:strRef>
              <c:f>'0815'!$J$7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'0815'!$K$7:$V$7</c:f>
              <c:numCache>
                <c:formatCode>#,##0_)%;[Red]\(#,##0\)%</c:formatCode>
                <c:ptCount val="12"/>
                <c:pt idx="0">
                  <c:v>-1</c:v>
                </c:pt>
                <c:pt idx="1">
                  <c:v>-0.2</c:v>
                </c:pt>
                <c:pt idx="2">
                  <c:v>0.2</c:v>
                </c:pt>
                <c:pt idx="3">
                  <c:v>-0.2</c:v>
                </c:pt>
                <c:pt idx="4">
                  <c:v>-0.6</c:v>
                </c:pt>
                <c:pt idx="5">
                  <c:v>-1</c:v>
                </c:pt>
                <c:pt idx="6">
                  <c:v>-0.2</c:v>
                </c:pt>
                <c:pt idx="7">
                  <c:v>0.2</c:v>
                </c:pt>
                <c:pt idx="8">
                  <c:v>0.6</c:v>
                </c:pt>
                <c:pt idx="9">
                  <c:v>0.2</c:v>
                </c:pt>
                <c:pt idx="10">
                  <c:v>0.2</c:v>
                </c:pt>
                <c:pt idx="11">
                  <c:v>1</c:v>
                </c:pt>
              </c:numCache>
            </c:numRef>
          </c:val>
        </c:ser>
        <c:ser>
          <c:idx val="6"/>
          <c:order val="6"/>
          <c:tx>
            <c:strRef>
              <c:f>'0815'!$J$8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'0815'!$K$8:$V$8</c:f>
              <c:numCache>
                <c:formatCode>#,##0_)%;[Red]\(#,##0\)%</c:formatCode>
                <c:ptCount val="12"/>
                <c:pt idx="0">
                  <c:v>0.4</c:v>
                </c:pt>
                <c:pt idx="1">
                  <c:v>0</c:v>
                </c:pt>
                <c:pt idx="2">
                  <c:v>0</c:v>
                </c:pt>
                <c:pt idx="3">
                  <c:v>0.4</c:v>
                </c:pt>
                <c:pt idx="4">
                  <c:v>1</c:v>
                </c:pt>
                <c:pt idx="5">
                  <c:v>0.2</c:v>
                </c:pt>
                <c:pt idx="6">
                  <c:v>0</c:v>
                </c:pt>
                <c:pt idx="7">
                  <c:v>0</c:v>
                </c:pt>
                <c:pt idx="8">
                  <c:v>-0.8</c:v>
                </c:pt>
                <c:pt idx="9">
                  <c:v>-0.6</c:v>
                </c:pt>
                <c:pt idx="10">
                  <c:v>-0.2</c:v>
                </c:pt>
                <c:pt idx="11">
                  <c:v>-0.8</c:v>
                </c:pt>
              </c:numCache>
            </c:numRef>
          </c:val>
        </c:ser>
        <c:ser>
          <c:idx val="7"/>
          <c:order val="7"/>
          <c:tx>
            <c:strRef>
              <c:f>'0815'!$J$9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50/50 l% 62.03%</c:v>
                </c:pt>
                <c:pt idx="2">
                  <c:v>&gt;equity l% 49.37%</c:v>
                </c:pt>
                <c:pt idx="3">
                  <c:v>&lt;equity l% 67.09%</c:v>
                </c:pt>
                <c:pt idx="4">
                  <c:v>SEA1 l% 58.23%</c:v>
                </c:pt>
                <c:pt idx="5">
                  <c:v>SEA-ADJ l% 54.43%</c:v>
                </c:pt>
                <c:pt idx="6">
                  <c:v>v1 l% 59.49%</c:v>
                </c:pt>
                <c:pt idx="7">
                  <c:v>v2 l% 55.7%</c:v>
                </c:pt>
                <c:pt idx="8">
                  <c:v>v3 l% 48.1%</c:v>
                </c:pt>
                <c:pt idx="9">
                  <c:v>v4 l% 51.9%</c:v>
                </c:pt>
                <c:pt idx="10">
                  <c:v>v5 l% 39.24%</c:v>
                </c:pt>
                <c:pt idx="11">
                  <c:v>v6 l% 44.3%</c:v>
                </c:pt>
              </c:strCache>
            </c:strRef>
          </c:cat>
          <c:val>
            <c:numRef>
              <c:f>'0815'!$K$9:$V$9</c:f>
              <c:numCache>
                <c:formatCode>#,##0_)%;[Red]\(#,##0\)%</c:formatCode>
                <c:ptCount val="12"/>
                <c:pt idx="0">
                  <c:v>-0.42857142857142855</c:v>
                </c:pt>
                <c:pt idx="1">
                  <c:v>0.14285714285714285</c:v>
                </c:pt>
                <c:pt idx="2">
                  <c:v>-0.14285714285714285</c:v>
                </c:pt>
                <c:pt idx="3">
                  <c:v>0.14285714285714285</c:v>
                </c:pt>
                <c:pt idx="4">
                  <c:v>0.42857142857142855</c:v>
                </c:pt>
                <c:pt idx="5">
                  <c:v>-0.14285714285714285</c:v>
                </c:pt>
                <c:pt idx="6">
                  <c:v>-0.42857142857142855</c:v>
                </c:pt>
                <c:pt idx="7">
                  <c:v>0.14285714285714285</c:v>
                </c:pt>
                <c:pt idx="8">
                  <c:v>0.14285714285714285</c:v>
                </c:pt>
                <c:pt idx="9">
                  <c:v>-0.14285714285714285</c:v>
                </c:pt>
                <c:pt idx="10">
                  <c:v>-0.42857142857142855</c:v>
                </c:pt>
                <c:pt idx="11">
                  <c:v>-0.14285714285714285</c:v>
                </c:pt>
              </c:numCache>
            </c:numRef>
          </c:val>
        </c:ser>
        <c:dLbls>
          <c:dLblPos val="ctr"/>
          <c:showLegendKey val="0"/>
          <c:showVal val="1"/>
          <c:showCatName val="0"/>
          <c:showSerName val="0"/>
          <c:showPercent val="0"/>
          <c:showBubbleSize val="0"/>
        </c:dLbls>
        <c:gapWidth val="79"/>
        <c:overlap val="100"/>
        <c:axId val="441416736"/>
        <c:axId val="441413472"/>
      </c:barChart>
      <c:catAx>
        <c:axId val="441416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441413472"/>
        <c:crosses val="autoZero"/>
        <c:auto val="1"/>
        <c:lblAlgn val="ctr"/>
        <c:lblOffset val="100"/>
        <c:noMultiLvlLbl val="0"/>
      </c:catAx>
      <c:valAx>
        <c:axId val="441413472"/>
        <c:scaling>
          <c:orientation val="minMax"/>
        </c:scaling>
        <c:delete val="1"/>
        <c:axPos val="l"/>
        <c:numFmt formatCode="#,##0_)%;[Red]\(#,##0\)%" sourceLinked="1"/>
        <c:majorTickMark val="none"/>
        <c:minorTickMark val="none"/>
        <c:tickLblPos val="nextTo"/>
        <c:crossAx val="441416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'0812'!$Y$2</c:f>
              <c:strCache>
                <c:ptCount val="1"/>
                <c:pt idx="0">
                  <c:v>currency</c:v>
                </c:pt>
              </c:strCache>
            </c:strRef>
          </c:tx>
          <c:spPr>
            <a:solidFill>
              <a:schemeClr val="accent1"/>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'0812'!$Z$2:$AP$2</c:f>
              <c:numCache>
                <c:formatCode>"$"#,##0_);[Red]\("$"#,##0\)</c:formatCode>
                <c:ptCount val="17"/>
                <c:pt idx="0">
                  <c:v>7282.7146343391005</c:v>
                </c:pt>
                <c:pt idx="1">
                  <c:v>-3886.0095857375495</c:v>
                </c:pt>
                <c:pt idx="2">
                  <c:v>3886.0095857375495</c:v>
                </c:pt>
                <c:pt idx="3">
                  <c:v>-1244.0387456576686</c:v>
                </c:pt>
                <c:pt idx="4">
                  <c:v>1244.0387456576686</c:v>
                </c:pt>
                <c:pt idx="5">
                  <c:v>3052.6037876535656</c:v>
                </c:pt>
                <c:pt idx="6">
                  <c:v>-2435.4992856897775</c:v>
                </c:pt>
                <c:pt idx="7">
                  <c:v>-2435.4992856897775</c:v>
                </c:pt>
                <c:pt idx="8">
                  <c:v>5997.1358865197062</c:v>
                </c:pt>
                <c:pt idx="9">
                  <c:v>-5997.1358865197062</c:v>
                </c:pt>
                <c:pt idx="10">
                  <c:v>-1308.0893967391889</c:v>
                </c:pt>
                <c:pt idx="11">
                  <c:v>-4579.5928576509186</c:v>
                </c:pt>
                <c:pt idx="12">
                  <c:v>-282.9503243396843</c:v>
                </c:pt>
                <c:pt idx="13">
                  <c:v>-3853.0423145585632</c:v>
                </c:pt>
                <c:pt idx="14">
                  <c:v>-4751.1673145571267</c:v>
                </c:pt>
                <c:pt idx="15">
                  <c:v>-836.00417522195266</c:v>
                </c:pt>
                <c:pt idx="16">
                  <c:v>-282.9503243396843</c:v>
                </c:pt>
              </c:numCache>
            </c:numRef>
          </c:val>
        </c:ser>
        <c:ser>
          <c:idx val="1"/>
          <c:order val="1"/>
          <c:tx>
            <c:strRef>
              <c:f>'0812'!$Y$3</c:f>
              <c:strCache>
                <c:ptCount val="1"/>
                <c:pt idx="0">
                  <c:v>energy</c:v>
                </c:pt>
              </c:strCache>
            </c:strRef>
          </c:tx>
          <c:spPr>
            <a:solidFill>
              <a:schemeClr val="accent2"/>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'0812'!$Z$3:$AP$3</c:f>
              <c:numCache>
                <c:formatCode>"$"#,##0_);[Red]\("$"#,##0\)</c:formatCode>
                <c:ptCount val="17"/>
                <c:pt idx="0">
                  <c:v>9075.5200132956052</c:v>
                </c:pt>
                <c:pt idx="1">
                  <c:v>9075.5200132956052</c:v>
                </c:pt>
                <c:pt idx="2">
                  <c:v>-9075.5200132956052</c:v>
                </c:pt>
                <c:pt idx="3">
                  <c:v>6913.7793124131413</c:v>
                </c:pt>
                <c:pt idx="4">
                  <c:v>-6913.7793124131413</c:v>
                </c:pt>
                <c:pt idx="5">
                  <c:v>-1771.5912029478498</c:v>
                </c:pt>
                <c:pt idx="6">
                  <c:v>4271.8438285363618</c:v>
                </c:pt>
                <c:pt idx="7">
                  <c:v>5357.7368360961091</c:v>
                </c:pt>
                <c:pt idx="8">
                  <c:v>-5025.7822993869468</c:v>
                </c:pt>
                <c:pt idx="9">
                  <c:v>5025.7822993869468</c:v>
                </c:pt>
                <c:pt idx="10">
                  <c:v>2715.8013522193287</c:v>
                </c:pt>
                <c:pt idx="11">
                  <c:v>6913.7793124131413</c:v>
                </c:pt>
                <c:pt idx="12">
                  <c:v>-3327.6336792648826</c:v>
                </c:pt>
                <c:pt idx="13">
                  <c:v>2383.8468155101664</c:v>
                </c:pt>
                <c:pt idx="14">
                  <c:v>2383.8468155101664</c:v>
                </c:pt>
                <c:pt idx="15">
                  <c:v>-2715.8013522193287</c:v>
                </c:pt>
                <c:pt idx="16">
                  <c:v>-1771.5912029478498</c:v>
                </c:pt>
              </c:numCache>
            </c:numRef>
          </c:val>
        </c:ser>
        <c:ser>
          <c:idx val="2"/>
          <c:order val="2"/>
          <c:tx>
            <c:strRef>
              <c:f>'0812'!$Y$4</c:f>
              <c:strCache>
                <c:ptCount val="1"/>
                <c:pt idx="0">
                  <c:v>grain</c:v>
                </c:pt>
              </c:strCache>
            </c:strRef>
          </c:tx>
          <c:spPr>
            <a:solidFill>
              <a:schemeClr val="accent3"/>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'0812'!$Z$4:$AP$4</c:f>
              <c:numCache>
                <c:formatCode>"$"#,##0_);[Red]\("$"#,##0\)</c:formatCode>
                <c:ptCount val="17"/>
                <c:pt idx="0">
                  <c:v>10074.64371504591</c:v>
                </c:pt>
                <c:pt idx="1">
                  <c:v>7230.2083415735233</c:v>
                </c:pt>
                <c:pt idx="2">
                  <c:v>-7230.2083415735233</c:v>
                </c:pt>
                <c:pt idx="3">
                  <c:v>145.14040144602041</c:v>
                </c:pt>
                <c:pt idx="4">
                  <c:v>-145.14040144602041</c:v>
                </c:pt>
                <c:pt idx="5">
                  <c:v>1042.8590177142919</c:v>
                </c:pt>
                <c:pt idx="6">
                  <c:v>5941.362838762112</c:v>
                </c:pt>
                <c:pt idx="7">
                  <c:v>5941.362838762112</c:v>
                </c:pt>
                <c:pt idx="8">
                  <c:v>5779.4787544891306</c:v>
                </c:pt>
                <c:pt idx="9">
                  <c:v>-5779.4787544891306</c:v>
                </c:pt>
                <c:pt idx="10">
                  <c:v>81.49671990106026</c:v>
                </c:pt>
                <c:pt idx="11">
                  <c:v>145.14040144602041</c:v>
                </c:pt>
                <c:pt idx="12">
                  <c:v>-616.40694404797057</c:v>
                </c:pt>
                <c:pt idx="13">
                  <c:v>16.74368282696048</c:v>
                </c:pt>
                <c:pt idx="14">
                  <c:v>-454.52285977498991</c:v>
                </c:pt>
                <c:pt idx="15">
                  <c:v>-81.49671990106026</c:v>
                </c:pt>
                <c:pt idx="16">
                  <c:v>-101.39900002338277</c:v>
                </c:pt>
              </c:numCache>
            </c:numRef>
          </c:val>
        </c:ser>
        <c:ser>
          <c:idx val="3"/>
          <c:order val="3"/>
          <c:tx>
            <c:strRef>
              <c:f>'0812'!$Y$5</c:f>
              <c:strCache>
                <c:ptCount val="1"/>
                <c:pt idx="0">
                  <c:v>index</c:v>
                </c:pt>
              </c:strCache>
            </c:strRef>
          </c:tx>
          <c:spPr>
            <a:solidFill>
              <a:schemeClr val="accent4"/>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'0812'!$Z$5:$AP$5</c:f>
              <c:numCache>
                <c:formatCode>"$"#,##0_);[Red]\("$"#,##0\)</c:formatCode>
                <c:ptCount val="17"/>
                <c:pt idx="0">
                  <c:v>14909.999675999901</c:v>
                </c:pt>
                <c:pt idx="1">
                  <c:v>6303.0981067577541</c:v>
                </c:pt>
                <c:pt idx="2">
                  <c:v>-6303.0981067577541</c:v>
                </c:pt>
                <c:pt idx="3">
                  <c:v>1585.535734604015</c:v>
                </c:pt>
                <c:pt idx="4">
                  <c:v>-1585.535734604015</c:v>
                </c:pt>
                <c:pt idx="5">
                  <c:v>83.564683483522685</c:v>
                </c:pt>
                <c:pt idx="6">
                  <c:v>-7076.7763882478121</c:v>
                </c:pt>
                <c:pt idx="7">
                  <c:v>-7076.7763882478121</c:v>
                </c:pt>
                <c:pt idx="8">
                  <c:v>926.24833083150497</c:v>
                </c:pt>
                <c:pt idx="9">
                  <c:v>-926.24833083150497</c:v>
                </c:pt>
                <c:pt idx="10">
                  <c:v>5864.3348316650645</c:v>
                </c:pt>
                <c:pt idx="11">
                  <c:v>646.42427361064006</c:v>
                </c:pt>
                <c:pt idx="12">
                  <c:v>1121.9569059735395</c:v>
                </c:pt>
                <c:pt idx="13">
                  <c:v>-8649.4489926899587</c:v>
                </c:pt>
                <c:pt idx="14">
                  <c:v>-5941.9563521124019</c:v>
                </c:pt>
                <c:pt idx="15">
                  <c:v>3567.6330080734974</c:v>
                </c:pt>
                <c:pt idx="16">
                  <c:v>1121.9569059735395</c:v>
                </c:pt>
              </c:numCache>
            </c:numRef>
          </c:val>
        </c:ser>
        <c:ser>
          <c:idx val="4"/>
          <c:order val="4"/>
          <c:tx>
            <c:strRef>
              <c:f>'0812'!$Y$6</c:f>
              <c:strCache>
                <c:ptCount val="1"/>
                <c:pt idx="0">
                  <c:v>meat</c:v>
                </c:pt>
              </c:strCache>
            </c:strRef>
          </c:tx>
          <c:spPr>
            <a:solidFill>
              <a:schemeClr val="accent5"/>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'0812'!$Z$6:$AP$6</c:f>
              <c:numCache>
                <c:formatCode>"$"#,##0_);[Red]\("$"#,##0\)</c:formatCode>
                <c:ptCount val="17"/>
                <c:pt idx="0">
                  <c:v>2171.2210698137415</c:v>
                </c:pt>
                <c:pt idx="1">
                  <c:v>2111.2341645321731</c:v>
                </c:pt>
                <c:pt idx="2">
                  <c:v>-2111.2341645321731</c:v>
                </c:pt>
                <c:pt idx="3">
                  <c:v>-2111.2341645321731</c:v>
                </c:pt>
                <c:pt idx="4">
                  <c:v>2111.2341645321731</c:v>
                </c:pt>
                <c:pt idx="5">
                  <c:v>1710.6788018118582</c:v>
                </c:pt>
                <c:pt idx="6">
                  <c:v>-1770.6657070934266</c:v>
                </c:pt>
                <c:pt idx="7">
                  <c:v>-1770.6657070934266</c:v>
                </c:pt>
                <c:pt idx="8">
                  <c:v>-2111.2341645321731</c:v>
                </c:pt>
                <c:pt idx="9">
                  <c:v>2111.2341645321731</c:v>
                </c:pt>
                <c:pt idx="10">
                  <c:v>1770.6657070934266</c:v>
                </c:pt>
                <c:pt idx="11">
                  <c:v>-1770.6657070934266</c:v>
                </c:pt>
                <c:pt idx="12">
                  <c:v>1710.6788018118582</c:v>
                </c:pt>
                <c:pt idx="13">
                  <c:v>2111.2341645321731</c:v>
                </c:pt>
                <c:pt idx="14">
                  <c:v>2111.2341645321731</c:v>
                </c:pt>
                <c:pt idx="15">
                  <c:v>-2111.2341645321731</c:v>
                </c:pt>
                <c:pt idx="16">
                  <c:v>2111.2341645321731</c:v>
                </c:pt>
              </c:numCache>
            </c:numRef>
          </c:val>
        </c:ser>
        <c:ser>
          <c:idx val="5"/>
          <c:order val="5"/>
          <c:tx>
            <c:strRef>
              <c:f>'0812'!$Y$7</c:f>
              <c:strCache>
                <c:ptCount val="1"/>
                <c:pt idx="0">
                  <c:v>metal</c:v>
                </c:pt>
              </c:strCache>
            </c:strRef>
          </c:tx>
          <c:spPr>
            <a:solidFill>
              <a:schemeClr val="accent6"/>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'0812'!$Z$7:$AP$7</c:f>
              <c:numCache>
                <c:formatCode>"$"#,##0_);[Red]\("$"#,##0\)</c:formatCode>
                <c:ptCount val="17"/>
                <c:pt idx="0">
                  <c:v>8291.8858819458965</c:v>
                </c:pt>
                <c:pt idx="1">
                  <c:v>2884.4084033543036</c:v>
                </c:pt>
                <c:pt idx="2">
                  <c:v>-2884.4084033543036</c:v>
                </c:pt>
                <c:pt idx="3">
                  <c:v>3283.8302015608028</c:v>
                </c:pt>
                <c:pt idx="4">
                  <c:v>-3283.8302015608028</c:v>
                </c:pt>
                <c:pt idx="5">
                  <c:v>-235.39729095812254</c:v>
                </c:pt>
                <c:pt idx="6">
                  <c:v>-235.39729095812254</c:v>
                </c:pt>
                <c:pt idx="7">
                  <c:v>2542.274752012474</c:v>
                </c:pt>
                <c:pt idx="8">
                  <c:v>5585.5866226850467</c:v>
                </c:pt>
                <c:pt idx="9">
                  <c:v>-5585.5866226850467</c:v>
                </c:pt>
                <c:pt idx="10">
                  <c:v>2941.6965502189732</c:v>
                </c:pt>
                <c:pt idx="11">
                  <c:v>-2465.7809283726201</c:v>
                </c:pt>
                <c:pt idx="12">
                  <c:v>-577.5309422999519</c:v>
                </c:pt>
                <c:pt idx="13">
                  <c:v>-5585.5866226850467</c:v>
                </c:pt>
                <c:pt idx="14">
                  <c:v>-5585.5866226850467</c:v>
                </c:pt>
                <c:pt idx="15">
                  <c:v>-2542.274752012474</c:v>
                </c:pt>
                <c:pt idx="16">
                  <c:v>-5585.5866226850467</c:v>
                </c:pt>
              </c:numCache>
            </c:numRef>
          </c:val>
        </c:ser>
        <c:ser>
          <c:idx val="6"/>
          <c:order val="6"/>
          <c:tx>
            <c:strRef>
              <c:f>'0812'!$Y$8</c:f>
              <c:strCache>
                <c:ptCount val="1"/>
                <c:pt idx="0">
                  <c:v>rates</c:v>
                </c:pt>
              </c:strCache>
            </c:strRef>
          </c:tx>
          <c:spPr>
            <a:solidFill>
              <a:schemeClr val="accent1">
                <a:lumMod val="60000"/>
              </a:schemeClr>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'0812'!$Z$8:$AP$8</c:f>
              <c:numCache>
                <c:formatCode>"$"#,##0_);[Red]\("$"#,##0\)</c:formatCode>
                <c:ptCount val="17"/>
                <c:pt idx="0">
                  <c:v>12169.401261991554</c:v>
                </c:pt>
                <c:pt idx="1">
                  <c:v>-6058.4176955310186</c:v>
                </c:pt>
                <c:pt idx="2">
                  <c:v>6058.4176955310186</c:v>
                </c:pt>
                <c:pt idx="3">
                  <c:v>-10929.122950774843</c:v>
                </c:pt>
                <c:pt idx="4">
                  <c:v>10929.122950774843</c:v>
                </c:pt>
                <c:pt idx="5">
                  <c:v>-2968.505027884803</c:v>
                </c:pt>
                <c:pt idx="6">
                  <c:v>-5891.0064058534326</c:v>
                </c:pt>
                <c:pt idx="7">
                  <c:v>-1286.6145775435537</c:v>
                </c:pt>
                <c:pt idx="8">
                  <c:v>6058.4176955310186</c:v>
                </c:pt>
                <c:pt idx="9">
                  <c:v>-6058.4176955310186</c:v>
                </c:pt>
                <c:pt idx="10">
                  <c:v>-4526.4872581454092</c:v>
                </c:pt>
                <c:pt idx="11">
                  <c:v>-6873.8339828520047</c:v>
                </c:pt>
                <c:pt idx="12">
                  <c:v>-108.42711645175109</c:v>
                </c:pt>
                <c:pt idx="13">
                  <c:v>-471.19829022256931</c:v>
                </c:pt>
                <c:pt idx="14">
                  <c:v>-471.19829022256931</c:v>
                </c:pt>
                <c:pt idx="15">
                  <c:v>471.19829022256931</c:v>
                </c:pt>
                <c:pt idx="16">
                  <c:v>2451.3030877460606</c:v>
                </c:pt>
              </c:numCache>
            </c:numRef>
          </c:val>
        </c:ser>
        <c:ser>
          <c:idx val="7"/>
          <c:order val="7"/>
          <c:tx>
            <c:strRef>
              <c:f>'0812'!$Y$9</c:f>
              <c:strCache>
                <c:ptCount val="1"/>
                <c:pt idx="0">
                  <c:v>soft</c:v>
                </c:pt>
              </c:strCache>
            </c:strRef>
          </c:tx>
          <c:spPr>
            <a:solidFill>
              <a:schemeClr val="accent2">
                <a:lumMod val="60000"/>
              </a:schemeClr>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'0812'!$Z$9:$AP$9</c:f>
              <c:numCache>
                <c:formatCode>"$"#,##0_);[Red]\("$"#,##0\)</c:formatCode>
                <c:ptCount val="17"/>
                <c:pt idx="0">
                  <c:v>4902.9834476280848</c:v>
                </c:pt>
                <c:pt idx="1">
                  <c:v>-3350.3802713563537</c:v>
                </c:pt>
                <c:pt idx="2">
                  <c:v>3350.3802713563537</c:v>
                </c:pt>
                <c:pt idx="3">
                  <c:v>-1194.9274428513233</c:v>
                </c:pt>
                <c:pt idx="4">
                  <c:v>1194.9274428513233</c:v>
                </c:pt>
                <c:pt idx="5">
                  <c:v>-1958.4664867402169</c:v>
                </c:pt>
                <c:pt idx="6">
                  <c:v>-1159.9470333230497</c:v>
                </c:pt>
                <c:pt idx="7">
                  <c:v>-1159.9470333230497</c:v>
                </c:pt>
                <c:pt idx="8">
                  <c:v>-4902.9834476280848</c:v>
                </c:pt>
                <c:pt idx="9">
                  <c:v>4902.9834476280848</c:v>
                </c:pt>
                <c:pt idx="10">
                  <c:v>-1215.7312249382428</c:v>
                </c:pt>
                <c:pt idx="11">
                  <c:v>-203.79601427975041</c:v>
                </c:pt>
                <c:pt idx="12">
                  <c:v>-1417.7985211269777</c:v>
                </c:pt>
                <c:pt idx="13">
                  <c:v>3946.8324285847857</c:v>
                </c:pt>
                <c:pt idx="14">
                  <c:v>1334.1064646064847</c:v>
                </c:pt>
                <c:pt idx="15">
                  <c:v>1180.7508154099689</c:v>
                </c:pt>
                <c:pt idx="16">
                  <c:v>3148.3129751676183</c:v>
                </c:pt>
              </c:numCache>
            </c:numRef>
          </c:val>
        </c:ser>
        <c:dLbls>
          <c:showLegendKey val="0"/>
          <c:showVal val="0"/>
          <c:showCatName val="0"/>
          <c:showSerName val="0"/>
          <c:showPercent val="0"/>
          <c:showBubbleSize val="0"/>
        </c:dLbls>
        <c:gapWidth val="150"/>
        <c:overlap val="100"/>
        <c:axId val="441422720"/>
        <c:axId val="441417824"/>
      </c:barChart>
      <c:catAx>
        <c:axId val="4414227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400" b="1" i="0" u="none" strike="noStrike" kern="1000" baseline="58000">
                <a:solidFill>
                  <a:schemeClr val="tx1">
                    <a:lumMod val="65000"/>
                    <a:lumOff val="35000"/>
                  </a:schemeClr>
                </a:solidFill>
                <a:latin typeface="+mn-lt"/>
                <a:ea typeface="+mn-ea"/>
                <a:cs typeface="+mn-cs"/>
              </a:defRPr>
            </a:pPr>
            <a:endParaRPr lang="en-US"/>
          </a:p>
        </c:txPr>
        <c:crossAx val="441417824"/>
        <c:crosses val="autoZero"/>
        <c:auto val="1"/>
        <c:lblAlgn val="ctr"/>
        <c:lblOffset val="100"/>
        <c:noMultiLvlLbl val="0"/>
      </c:catAx>
      <c:valAx>
        <c:axId val="4414178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2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'0812'!$BI$1</c:f>
          <c:strCache>
            <c:ptCount val="1"/>
            <c:pt idx="0">
              <c:v>NET POSITION BY SYSTEM FOR 20160812</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'0812'!$J$2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'0812'!$K$2:$V$2</c:f>
              <c:numCache>
                <c:formatCode>#,##0_)%;[Red]\(#,##0\)%</c:formatCode>
                <c:ptCount val="12"/>
                <c:pt idx="0">
                  <c:v>0.1111111111111111</c:v>
                </c:pt>
                <c:pt idx="1">
                  <c:v>-0.1111111111111111</c:v>
                </c:pt>
                <c:pt idx="2">
                  <c:v>-0.1111111111111111</c:v>
                </c:pt>
                <c:pt idx="3">
                  <c:v>-0.1111111111111111</c:v>
                </c:pt>
                <c:pt idx="4">
                  <c:v>-0.33333333333333331</c:v>
                </c:pt>
                <c:pt idx="5">
                  <c:v>0.55555555555555558</c:v>
                </c:pt>
                <c:pt idx="6">
                  <c:v>0.33333333333333331</c:v>
                </c:pt>
                <c:pt idx="7">
                  <c:v>0.1111111111111111</c:v>
                </c:pt>
                <c:pt idx="8">
                  <c:v>-0.1111111111111111</c:v>
                </c:pt>
                <c:pt idx="9">
                  <c:v>0.1111111111111111</c:v>
                </c:pt>
                <c:pt idx="10">
                  <c:v>-0.1111111111111111</c:v>
                </c:pt>
                <c:pt idx="11">
                  <c:v>0.1111111111111111</c:v>
                </c:pt>
              </c:numCache>
            </c:numRef>
          </c:val>
        </c:ser>
        <c:ser>
          <c:idx val="1"/>
          <c:order val="1"/>
          <c:tx>
            <c:strRef>
              <c:f>'0812'!$J$3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'0812'!$K$3:$V$3</c:f>
              <c:numCache>
                <c:formatCode>#,##0_)%;[Red]\(#,##0\)%</c:formatCode>
                <c:ptCount val="12"/>
                <c:pt idx="0">
                  <c:v>0.66666666666666663</c:v>
                </c:pt>
                <c:pt idx="1">
                  <c:v>0.33333333333333331</c:v>
                </c:pt>
                <c:pt idx="2">
                  <c:v>0</c:v>
                </c:pt>
                <c:pt idx="3">
                  <c:v>0.33333333333333331</c:v>
                </c:pt>
                <c:pt idx="4">
                  <c:v>-0.66666666666666663</c:v>
                </c:pt>
                <c:pt idx="5">
                  <c:v>0</c:v>
                </c:pt>
                <c:pt idx="6">
                  <c:v>0.66666666666666663</c:v>
                </c:pt>
                <c:pt idx="7">
                  <c:v>-0.33333333333333331</c:v>
                </c:pt>
                <c:pt idx="8">
                  <c:v>0.33333333333333331</c:v>
                </c:pt>
                <c:pt idx="9">
                  <c:v>0.33333333333333331</c:v>
                </c:pt>
                <c:pt idx="10">
                  <c:v>0</c:v>
                </c:pt>
                <c:pt idx="11">
                  <c:v>0</c:v>
                </c:pt>
              </c:numCache>
            </c:numRef>
          </c:val>
        </c:ser>
        <c:ser>
          <c:idx val="2"/>
          <c:order val="2"/>
          <c:tx>
            <c:strRef>
              <c:f>'0812'!$J$4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'0812'!$K$4:$V$4</c:f>
              <c:numCache>
                <c:formatCode>#,##0_)%;[Red]\(#,##0\)%</c:formatCode>
                <c:ptCount val="12"/>
                <c:pt idx="0">
                  <c:v>0</c:v>
                </c:pt>
                <c:pt idx="1">
                  <c:v>0.4</c:v>
                </c:pt>
                <c:pt idx="2">
                  <c:v>0</c:v>
                </c:pt>
                <c:pt idx="3">
                  <c:v>0.4</c:v>
                </c:pt>
                <c:pt idx="4">
                  <c:v>0.8</c:v>
                </c:pt>
                <c:pt idx="5">
                  <c:v>0.2</c:v>
                </c:pt>
                <c:pt idx="6">
                  <c:v>0</c:v>
                </c:pt>
                <c:pt idx="7">
                  <c:v>0.2</c:v>
                </c:pt>
                <c:pt idx="8">
                  <c:v>-0.4</c:v>
                </c:pt>
                <c:pt idx="9">
                  <c:v>-0.2</c:v>
                </c:pt>
                <c:pt idx="10">
                  <c:v>-0.2</c:v>
                </c:pt>
                <c:pt idx="11">
                  <c:v>-0.4</c:v>
                </c:pt>
              </c:numCache>
            </c:numRef>
          </c:val>
        </c:ser>
        <c:ser>
          <c:idx val="3"/>
          <c:order val="3"/>
          <c:tx>
            <c:strRef>
              <c:f>'0812'!$J$5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'0812'!$K$5:$V$5</c:f>
              <c:numCache>
                <c:formatCode>#,##0_)%;[Red]\(#,##0\)%</c:formatCode>
                <c:ptCount val="12"/>
                <c:pt idx="0">
                  <c:v>0.7142857142857143</c:v>
                </c:pt>
                <c:pt idx="1">
                  <c:v>0.23809523809523808</c:v>
                </c:pt>
                <c:pt idx="2">
                  <c:v>-0.52380952380952384</c:v>
                </c:pt>
                <c:pt idx="3">
                  <c:v>0.23809523809523808</c:v>
                </c:pt>
                <c:pt idx="4">
                  <c:v>0.14285714285714285</c:v>
                </c:pt>
                <c:pt idx="5">
                  <c:v>0.14285714285714285</c:v>
                </c:pt>
                <c:pt idx="6">
                  <c:v>0.33333333333333331</c:v>
                </c:pt>
                <c:pt idx="7">
                  <c:v>-0.7142857142857143</c:v>
                </c:pt>
                <c:pt idx="8">
                  <c:v>-0.23809523809523808</c:v>
                </c:pt>
                <c:pt idx="9">
                  <c:v>-0.23809523809523808</c:v>
                </c:pt>
                <c:pt idx="10">
                  <c:v>4.7619047619047616E-2</c:v>
                </c:pt>
                <c:pt idx="11">
                  <c:v>-0.7142857142857143</c:v>
                </c:pt>
              </c:numCache>
            </c:numRef>
          </c:val>
        </c:ser>
        <c:ser>
          <c:idx val="4"/>
          <c:order val="4"/>
          <c:tx>
            <c:strRef>
              <c:f>'0812'!$J$6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'0812'!$K$6:$V$6</c:f>
              <c:numCache>
                <c:formatCode>#,##0_)%;[Red]\(#,##0\)%</c:formatCode>
                <c:ptCount val="12"/>
                <c:pt idx="0">
                  <c:v>-1</c:v>
                </c:pt>
                <c:pt idx="1">
                  <c:v>0.33333333333333331</c:v>
                </c:pt>
                <c:pt idx="2">
                  <c:v>0.33333333333333331</c:v>
                </c:pt>
                <c:pt idx="3">
                  <c:v>0.33333333333333331</c:v>
                </c:pt>
                <c:pt idx="4">
                  <c:v>-1</c:v>
                </c:pt>
                <c:pt idx="5">
                  <c:v>-0.33333333333333331</c:v>
                </c:pt>
                <c:pt idx="6">
                  <c:v>0.33333333333333331</c:v>
                </c:pt>
                <c:pt idx="7">
                  <c:v>0.33333333333333331</c:v>
                </c:pt>
                <c:pt idx="8">
                  <c:v>1</c:v>
                </c:pt>
                <c:pt idx="9">
                  <c:v>1</c:v>
                </c:pt>
                <c:pt idx="10">
                  <c:v>-1</c:v>
                </c:pt>
                <c:pt idx="11">
                  <c:v>1</c:v>
                </c:pt>
              </c:numCache>
            </c:numRef>
          </c:val>
        </c:ser>
        <c:ser>
          <c:idx val="5"/>
          <c:order val="5"/>
          <c:tx>
            <c:strRef>
              <c:f>'0812'!$J$7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'0812'!$K$7:$V$7</c:f>
              <c:numCache>
                <c:formatCode>#,##0_)%;[Red]\(#,##0\)%</c:formatCode>
                <c:ptCount val="12"/>
                <c:pt idx="0">
                  <c:v>-0.6</c:v>
                </c:pt>
                <c:pt idx="1">
                  <c:v>0.2</c:v>
                </c:pt>
                <c:pt idx="2">
                  <c:v>0.2</c:v>
                </c:pt>
                <c:pt idx="3">
                  <c:v>-0.2</c:v>
                </c:pt>
                <c:pt idx="4">
                  <c:v>-0.6</c:v>
                </c:pt>
                <c:pt idx="5">
                  <c:v>-0.6</c:v>
                </c:pt>
                <c:pt idx="6">
                  <c:v>0.2</c:v>
                </c:pt>
                <c:pt idx="7">
                  <c:v>0.2</c:v>
                </c:pt>
                <c:pt idx="8">
                  <c:v>0.6</c:v>
                </c:pt>
                <c:pt idx="9">
                  <c:v>0.6</c:v>
                </c:pt>
                <c:pt idx="10">
                  <c:v>0.2</c:v>
                </c:pt>
                <c:pt idx="11">
                  <c:v>0.6</c:v>
                </c:pt>
              </c:numCache>
            </c:numRef>
          </c:val>
        </c:ser>
        <c:ser>
          <c:idx val="6"/>
          <c:order val="6"/>
          <c:tx>
            <c:strRef>
              <c:f>'0812'!$J$8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'0812'!$K$8:$V$8</c:f>
              <c:numCache>
                <c:formatCode>#,##0_)%;[Red]\(#,##0\)%</c:formatCode>
                <c:ptCount val="12"/>
                <c:pt idx="0">
                  <c:v>-0.2</c:v>
                </c:pt>
                <c:pt idx="1">
                  <c:v>-0.2</c:v>
                </c:pt>
                <c:pt idx="2">
                  <c:v>0</c:v>
                </c:pt>
                <c:pt idx="3">
                  <c:v>-0.2</c:v>
                </c:pt>
                <c:pt idx="4">
                  <c:v>1</c:v>
                </c:pt>
                <c:pt idx="5">
                  <c:v>0</c:v>
                </c:pt>
                <c:pt idx="6">
                  <c:v>-0.6</c:v>
                </c:pt>
                <c:pt idx="7">
                  <c:v>0</c:v>
                </c:pt>
                <c:pt idx="8">
                  <c:v>-0.6</c:v>
                </c:pt>
                <c:pt idx="9">
                  <c:v>-0.6</c:v>
                </c:pt>
                <c:pt idx="10">
                  <c:v>0.4</c:v>
                </c:pt>
                <c:pt idx="11">
                  <c:v>-0.4</c:v>
                </c:pt>
              </c:numCache>
            </c:numRef>
          </c:val>
        </c:ser>
        <c:ser>
          <c:idx val="7"/>
          <c:order val="7"/>
          <c:tx>
            <c:strRef>
              <c:f>'0812'!$J$9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'0812'!$K$9:$V$9</c:f>
              <c:numCache>
                <c:formatCode>#,##0_)%;[Red]\(#,##0\)%</c:formatCode>
                <c:ptCount val="12"/>
                <c:pt idx="0">
                  <c:v>-0.14285714285714285</c:v>
                </c:pt>
                <c:pt idx="1">
                  <c:v>0.42857142857142855</c:v>
                </c:pt>
                <c:pt idx="2">
                  <c:v>0.14285714285714285</c:v>
                </c:pt>
                <c:pt idx="3">
                  <c:v>0.42857142857142855</c:v>
                </c:pt>
                <c:pt idx="4">
                  <c:v>0.42857142857142855</c:v>
                </c:pt>
                <c:pt idx="5">
                  <c:v>-0.42857142857142855</c:v>
                </c:pt>
                <c:pt idx="6">
                  <c:v>0.14285714285714285</c:v>
                </c:pt>
                <c:pt idx="7">
                  <c:v>0.14285714285714285</c:v>
                </c:pt>
                <c:pt idx="8">
                  <c:v>-0.14285714285714285</c:v>
                </c:pt>
                <c:pt idx="9">
                  <c:v>-0.14285714285714285</c:v>
                </c:pt>
                <c:pt idx="10">
                  <c:v>-0.14285714285714285</c:v>
                </c:pt>
                <c:pt idx="11">
                  <c:v>-0.42857142857142855</c:v>
                </c:pt>
              </c:numCache>
            </c:numRef>
          </c:val>
        </c:ser>
        <c:dLbls>
          <c:dLblPos val="ctr"/>
          <c:showLegendKey val="0"/>
          <c:showVal val="1"/>
          <c:showCatName val="0"/>
          <c:showSerName val="0"/>
          <c:showPercent val="0"/>
          <c:showBubbleSize val="0"/>
        </c:dLbls>
        <c:gapWidth val="79"/>
        <c:overlap val="100"/>
        <c:axId val="441424352"/>
        <c:axId val="441424896"/>
      </c:barChart>
      <c:catAx>
        <c:axId val="44142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441424896"/>
        <c:crosses val="autoZero"/>
        <c:auto val="1"/>
        <c:lblAlgn val="ctr"/>
        <c:lblOffset val="100"/>
        <c:noMultiLvlLbl val="0"/>
      </c:catAx>
      <c:valAx>
        <c:axId val="441424896"/>
        <c:scaling>
          <c:orientation val="minMax"/>
        </c:scaling>
        <c:delete val="1"/>
        <c:axPos val="l"/>
        <c:numFmt formatCode="#,##0_)%;[Red]\(#,##0\)%" sourceLinked="1"/>
        <c:majorTickMark val="none"/>
        <c:minorTickMark val="none"/>
        <c:tickLblPos val="nextTo"/>
        <c:crossAx val="441424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0811 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'0811'!$Z$2:$AP$2</c:f>
              <c:numCache>
                <c:formatCode>"$"#,##0_);[Red]\("$"#,##0\)</c:formatCode>
                <c:ptCount val="17"/>
                <c:pt idx="0">
                  <c:v>9247.7182347227881</c:v>
                </c:pt>
                <c:pt idx="1">
                  <c:v>3088.5709976328503</c:v>
                </c:pt>
                <c:pt idx="2">
                  <c:v>-3088.5709976328503</c:v>
                </c:pt>
                <c:pt idx="3">
                  <c:v>82.086097032594381</c:v>
                </c:pt>
                <c:pt idx="4">
                  <c:v>-82.086097032594381</c:v>
                </c:pt>
                <c:pt idx="5">
                  <c:v>-8707.6344157486656</c:v>
                </c:pt>
                <c:pt idx="6">
                  <c:v>-2721.3963488912259</c:v>
                </c:pt>
                <c:pt idx="7">
                  <c:v>-290.97482362722047</c:v>
                </c:pt>
                <c:pt idx="8">
                  <c:v>-6762.9516864934021</c:v>
                </c:pt>
                <c:pt idx="9">
                  <c:v>6762.9516864934021</c:v>
                </c:pt>
                <c:pt idx="10">
                  <c:v>1853.6600623110671</c:v>
                </c:pt>
                <c:pt idx="11">
                  <c:v>2512.5076222965995</c:v>
                </c:pt>
                <c:pt idx="12">
                  <c:v>-2788.3625195232985</c:v>
                </c:pt>
                <c:pt idx="13">
                  <c:v>3959.4692405695814</c:v>
                </c:pt>
                <c:pt idx="14">
                  <c:v>1253.1928180788773</c:v>
                </c:pt>
                <c:pt idx="15">
                  <c:v>-1553.4515842015153</c:v>
                </c:pt>
                <c:pt idx="16">
                  <c:v>-1426.3015820556666</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'0811'!$Z$3:$AP$3</c:f>
              <c:numCache>
                <c:formatCode>"$"#,##0_);[Red]\("$"#,##0\)</c:formatCode>
                <c:ptCount val="17"/>
                <c:pt idx="0">
                  <c:v>22547.543475397459</c:v>
                </c:pt>
                <c:pt idx="1">
                  <c:v>21949.886310227212</c:v>
                </c:pt>
                <c:pt idx="2">
                  <c:v>-21949.886310227212</c:v>
                </c:pt>
                <c:pt idx="3">
                  <c:v>-21949.886310227212</c:v>
                </c:pt>
                <c:pt idx="4">
                  <c:v>21949.886310227212</c:v>
                </c:pt>
                <c:pt idx="5">
                  <c:v>3602.3719485110696</c:v>
                </c:pt>
                <c:pt idx="6">
                  <c:v>4957.2041019632115</c:v>
                </c:pt>
                <c:pt idx="7">
                  <c:v>4957.2041019632115</c:v>
                </c:pt>
                <c:pt idx="8">
                  <c:v>-10214.37144371445</c:v>
                </c:pt>
                <c:pt idx="9">
                  <c:v>10214.37144371445</c:v>
                </c:pt>
                <c:pt idx="10">
                  <c:v>15556.993313581974</c:v>
                </c:pt>
                <c:pt idx="11">
                  <c:v>-6778.3107645495475</c:v>
                </c:pt>
                <c:pt idx="12">
                  <c:v>21949.886310227212</c:v>
                </c:pt>
                <c:pt idx="13">
                  <c:v>21949.886310227212</c:v>
                </c:pt>
                <c:pt idx="14">
                  <c:v>21949.886310227212</c:v>
                </c:pt>
                <c:pt idx="15">
                  <c:v>-15556.993313581974</c:v>
                </c:pt>
                <c:pt idx="16">
                  <c:v>21949.886310227212</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'0811'!$Z$4:$AP$4</c:f>
              <c:numCache>
                <c:formatCode>"$"#,##0_);[Red]\("$"#,##0\)</c:formatCode>
                <c:ptCount val="17"/>
                <c:pt idx="0">
                  <c:v>6126.3140465757715</c:v>
                </c:pt>
                <c:pt idx="1">
                  <c:v>-2331.0484250025274</c:v>
                </c:pt>
                <c:pt idx="2">
                  <c:v>2331.0484250025274</c:v>
                </c:pt>
                <c:pt idx="3">
                  <c:v>2748.9562990326663</c:v>
                </c:pt>
                <c:pt idx="4">
                  <c:v>-2748.9562990326663</c:v>
                </c:pt>
                <c:pt idx="5">
                  <c:v>845.82631327139143</c:v>
                </c:pt>
                <c:pt idx="6">
                  <c:v>-1844.6490379860825</c:v>
                </c:pt>
                <c:pt idx="7">
                  <c:v>-515.57120116141641</c:v>
                </c:pt>
                <c:pt idx="8">
                  <c:v>-3660.1262618271935</c:v>
                </c:pt>
                <c:pt idx="9">
                  <c:v>3660.1262618271935</c:v>
                </c:pt>
                <c:pt idx="10">
                  <c:v>2115.7875261351214</c:v>
                </c:pt>
                <c:pt idx="11">
                  <c:v>3496.1409837166043</c:v>
                </c:pt>
                <c:pt idx="12">
                  <c:v>1342.7074156848512</c:v>
                </c:pt>
                <c:pt idx="13">
                  <c:v>-1680.6637598754928</c:v>
                </c:pt>
                <c:pt idx="14">
                  <c:v>2331.0484250025274</c:v>
                </c:pt>
                <c:pt idx="15">
                  <c:v>1895.9246587428993</c:v>
                </c:pt>
                <c:pt idx="16">
                  <c:v>1342.7074156848512</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'0811'!$Z$5:$AP$5</c:f>
              <c:numCache>
                <c:formatCode>"$"#,##0_);[Red]\("$"#,##0\)</c:formatCode>
                <c:ptCount val="17"/>
                <c:pt idx="0">
                  <c:v>32823.447033748846</c:v>
                </c:pt>
                <c:pt idx="1">
                  <c:v>27200.048690114876</c:v>
                </c:pt>
                <c:pt idx="2">
                  <c:v>-27200.048690114876</c:v>
                </c:pt>
                <c:pt idx="3">
                  <c:v>-11829.1271496353</c:v>
                </c:pt>
                <c:pt idx="4">
                  <c:v>11829.1271496353</c:v>
                </c:pt>
                <c:pt idx="5">
                  <c:v>-21065.770540784404</c:v>
                </c:pt>
                <c:pt idx="6">
                  <c:v>344.33049763721419</c:v>
                </c:pt>
                <c:pt idx="7">
                  <c:v>344.33049763721419</c:v>
                </c:pt>
                <c:pt idx="8">
                  <c:v>-7524.10122435417</c:v>
                </c:pt>
                <c:pt idx="9">
                  <c:v>7524.10122435417</c:v>
                </c:pt>
                <c:pt idx="10">
                  <c:v>8794.588355890126</c:v>
                </c:pt>
                <c:pt idx="11">
                  <c:v>5353.3668742636619</c:v>
                </c:pt>
                <c:pt idx="12">
                  <c:v>-3501.038251098425</c:v>
                </c:pt>
                <c:pt idx="13">
                  <c:v>2515.0648477277259</c:v>
                </c:pt>
                <c:pt idx="14">
                  <c:v>-2125.3152218893556</c:v>
                </c:pt>
                <c:pt idx="15">
                  <c:v>-8338.6691853648663</c:v>
                </c:pt>
                <c:pt idx="16">
                  <c:v>-2869.2116235760654</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'0811'!$Z$6:$AP$6</c:f>
              <c:numCache>
                <c:formatCode>"$"#,##0_);[Red]\("$"#,##0\)</c:formatCode>
                <c:ptCount val="17"/>
                <c:pt idx="0">
                  <c:v>2581.6778466477563</c:v>
                </c:pt>
                <c:pt idx="1">
                  <c:v>-2581.6778466477563</c:v>
                </c:pt>
                <c:pt idx="2">
                  <c:v>2581.6778466477563</c:v>
                </c:pt>
                <c:pt idx="3">
                  <c:v>1273.9881476231924</c:v>
                </c:pt>
                <c:pt idx="4">
                  <c:v>-1273.9881476231924</c:v>
                </c:pt>
                <c:pt idx="5">
                  <c:v>376.92484546826358</c:v>
                </c:pt>
                <c:pt idx="6">
                  <c:v>-1273.9881476231924</c:v>
                </c:pt>
                <c:pt idx="7">
                  <c:v>-1273.9881476231924</c:v>
                </c:pt>
                <c:pt idx="8">
                  <c:v>2581.6778466477563</c:v>
                </c:pt>
                <c:pt idx="9">
                  <c:v>-2581.6778466477563</c:v>
                </c:pt>
                <c:pt idx="10">
                  <c:v>2581.6778466477563</c:v>
                </c:pt>
                <c:pt idx="11">
                  <c:v>-2581.6778466477563</c:v>
                </c:pt>
                <c:pt idx="12">
                  <c:v>1684.6145444928277</c:v>
                </c:pt>
                <c:pt idx="13">
                  <c:v>-1273.9881476231924</c:v>
                </c:pt>
                <c:pt idx="14">
                  <c:v>-1273.9881476231924</c:v>
                </c:pt>
                <c:pt idx="15">
                  <c:v>1273.9881476231924</c:v>
                </c:pt>
                <c:pt idx="16">
                  <c:v>-2581.6778466477563</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'0811'!$Z$7:$AP$7</c:f>
              <c:numCache>
                <c:formatCode>"$"#,##0_);[Red]\("$"#,##0\)</c:formatCode>
                <c:ptCount val="17"/>
                <c:pt idx="0">
                  <c:v>11809.182681562605</c:v>
                </c:pt>
                <c:pt idx="1">
                  <c:v>-1371.588243545212</c:v>
                </c:pt>
                <c:pt idx="2">
                  <c:v>1371.588243545212</c:v>
                </c:pt>
                <c:pt idx="3">
                  <c:v>-8781.5456479361856</c:v>
                </c:pt>
                <c:pt idx="4">
                  <c:v>8781.5456479361856</c:v>
                </c:pt>
                <c:pt idx="5">
                  <c:v>11050.250807900804</c:v>
                </c:pt>
                <c:pt idx="6">
                  <c:v>6647.0019698710066</c:v>
                </c:pt>
                <c:pt idx="7">
                  <c:v>2130.5201172070119</c:v>
                </c:pt>
                <c:pt idx="8">
                  <c:v>8022.6137742743858</c:v>
                </c:pt>
                <c:pt idx="9">
                  <c:v>-8022.6137742743858</c:v>
                </c:pt>
                <c:pt idx="10">
                  <c:v>-9561.4059888632291</c:v>
                </c:pt>
                <c:pt idx="11">
                  <c:v>-8022.6137742743858</c:v>
                </c:pt>
                <c:pt idx="12">
                  <c:v>8781.5456479361856</c:v>
                </c:pt>
                <c:pt idx="13">
                  <c:v>6647.0019698710066</c:v>
                </c:pt>
                <c:pt idx="14">
                  <c:v>6647.0019698710066</c:v>
                </c:pt>
                <c:pt idx="15">
                  <c:v>-3619.3649362445876</c:v>
                </c:pt>
                <c:pt idx="16">
                  <c:v>11809.182681562605</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'0811'!$Z$8:$AP$8</c:f>
              <c:numCache>
                <c:formatCode>"$"#,##0_);[Red]\("$"#,##0\)</c:formatCode>
                <c:ptCount val="17"/>
                <c:pt idx="0">
                  <c:v>13942.777238663286</c:v>
                </c:pt>
                <c:pt idx="1">
                  <c:v>11986.884755607727</c:v>
                </c:pt>
                <c:pt idx="2">
                  <c:v>-11986.884755607727</c:v>
                </c:pt>
                <c:pt idx="3">
                  <c:v>-11986.884755607727</c:v>
                </c:pt>
                <c:pt idx="4">
                  <c:v>11986.884755607727</c:v>
                </c:pt>
                <c:pt idx="5">
                  <c:v>11283.191116505443</c:v>
                </c:pt>
                <c:pt idx="6">
                  <c:v>5445.558807674699</c:v>
                </c:pt>
                <c:pt idx="7">
                  <c:v>592.52462567138741</c:v>
                </c:pt>
                <c:pt idx="8">
                  <c:v>-11986.884755607727</c:v>
                </c:pt>
                <c:pt idx="9">
                  <c:v>11986.884755607727</c:v>
                </c:pt>
                <c:pt idx="10">
                  <c:v>-216.56156639556656</c:v>
                </c:pt>
                <c:pt idx="11">
                  <c:v>592.52462567138741</c:v>
                </c:pt>
                <c:pt idx="12">
                  <c:v>11283.191116505443</c:v>
                </c:pt>
                <c:pt idx="13">
                  <c:v>11986.884755607727</c:v>
                </c:pt>
                <c:pt idx="14">
                  <c:v>11185.116590535841</c:v>
                </c:pt>
                <c:pt idx="15">
                  <c:v>-6369.7000632812978</c:v>
                </c:pt>
                <c:pt idx="16">
                  <c:v>11986.884755607727</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'0811'!$Z$9:$AP$9</c:f>
              <c:numCache>
                <c:formatCode>"$"#,##0_);[Red]\("$"#,##0\)</c:formatCode>
                <c:ptCount val="17"/>
                <c:pt idx="0">
                  <c:v>4264.8526990717055</c:v>
                </c:pt>
                <c:pt idx="1">
                  <c:v>-623.9088940546452</c:v>
                </c:pt>
                <c:pt idx="2">
                  <c:v>623.9088940546452</c:v>
                </c:pt>
                <c:pt idx="3">
                  <c:v>-332.25749529721747</c:v>
                </c:pt>
                <c:pt idx="4">
                  <c:v>332.25749529721747</c:v>
                </c:pt>
                <c:pt idx="5">
                  <c:v>-193.72183097276604</c:v>
                </c:pt>
                <c:pt idx="6">
                  <c:v>2951.0162486201179</c:v>
                </c:pt>
                <c:pt idx="7">
                  <c:v>2951.0162486201179</c:v>
                </c:pt>
                <c:pt idx="8">
                  <c:v>-1149.8882203246285</c:v>
                </c:pt>
                <c:pt idx="9">
                  <c:v>1149.8882203246285</c:v>
                </c:pt>
                <c:pt idx="10">
                  <c:v>1891.3165088354353</c:v>
                </c:pt>
                <c:pt idx="11">
                  <c:v>193.72183097276604</c:v>
                </c:pt>
                <c:pt idx="12">
                  <c:v>-193.72183097276604</c:v>
                </c:pt>
                <c:pt idx="13">
                  <c:v>3907.1826379719805</c:v>
                </c:pt>
                <c:pt idx="14">
                  <c:v>3907.1826379719805</c:v>
                </c:pt>
                <c:pt idx="15">
                  <c:v>-3907.1826379719805</c:v>
                </c:pt>
                <c:pt idx="16">
                  <c:v>332.25749529721747</c:v>
                </c:pt>
              </c:numCache>
            </c:numRef>
          </c:val>
        </c:ser>
        <c:dLbls>
          <c:showLegendKey val="0"/>
          <c:showVal val="0"/>
          <c:showCatName val="0"/>
          <c:showSerName val="0"/>
          <c:showPercent val="0"/>
          <c:showBubbleSize val="0"/>
        </c:dLbls>
        <c:gapWidth val="150"/>
        <c:overlap val="100"/>
        <c:axId val="441418368"/>
        <c:axId val="441427616"/>
      </c:barChart>
      <c:catAx>
        <c:axId val="4414183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41427616"/>
        <c:crosses val="autoZero"/>
        <c:auto val="1"/>
        <c:lblAlgn val="ctr"/>
        <c:lblOffset val="100"/>
        <c:noMultiLvlLbl val="0"/>
      </c:catAx>
      <c:valAx>
        <c:axId val="441427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1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'0811'!$K$2:$V$2</c:f>
              <c:numCache>
                <c:formatCode>#,##0_)%;[Red]\(#,##0\)%</c:formatCode>
                <c:ptCount val="12"/>
                <c:pt idx="0">
                  <c:v>0.77777777777777779</c:v>
                </c:pt>
                <c:pt idx="1">
                  <c:v>0.1111111111111111</c:v>
                </c:pt>
                <c:pt idx="2">
                  <c:v>-0.1111111111111111</c:v>
                </c:pt>
                <c:pt idx="3">
                  <c:v>-0.1111111111111111</c:v>
                </c:pt>
                <c:pt idx="4">
                  <c:v>-0.33333333333333331</c:v>
                </c:pt>
                <c:pt idx="5">
                  <c:v>0.33333333333333331</c:v>
                </c:pt>
                <c:pt idx="6">
                  <c:v>0.55555555555555558</c:v>
                </c:pt>
                <c:pt idx="7">
                  <c:v>-0.33333333333333331</c:v>
                </c:pt>
                <c:pt idx="8">
                  <c:v>-0.33333333333333331</c:v>
                </c:pt>
                <c:pt idx="9">
                  <c:v>0.1111111111111111</c:v>
                </c:pt>
                <c:pt idx="10">
                  <c:v>-0.1111111111111111</c:v>
                </c:pt>
                <c:pt idx="11">
                  <c:v>-0.33333333333333331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'0811'!$K$3:$V$3</c:f>
              <c:numCache>
                <c:formatCode>#,##0_)%;[Red]\(#,##0\)%</c:formatCode>
                <c:ptCount val="12"/>
                <c:pt idx="0">
                  <c:v>-1</c:v>
                </c:pt>
                <c:pt idx="1">
                  <c:v>0</c:v>
                </c:pt>
                <c:pt idx="2">
                  <c:v>0.33333333333333331</c:v>
                </c:pt>
                <c:pt idx="3">
                  <c:v>0</c:v>
                </c:pt>
                <c:pt idx="4">
                  <c:v>-0.66666666666666663</c:v>
                </c:pt>
                <c:pt idx="5">
                  <c:v>0.33333333333333331</c:v>
                </c:pt>
                <c:pt idx="6">
                  <c:v>-0.33333333333333331</c:v>
                </c:pt>
                <c:pt idx="7">
                  <c:v>1</c:v>
                </c:pt>
                <c:pt idx="8">
                  <c:v>1</c:v>
                </c:pt>
                <c:pt idx="9">
                  <c:v>1</c:v>
                </c:pt>
                <c:pt idx="10">
                  <c:v>-0.33333333333333331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'0811'!$K$4:$V$4</c:f>
              <c:numCache>
                <c:formatCode>#,##0_)%;[Red]\(#,##0\)%</c:formatCode>
                <c:ptCount val="12"/>
                <c:pt idx="0">
                  <c:v>0.2</c:v>
                </c:pt>
                <c:pt idx="1">
                  <c:v>0</c:v>
                </c:pt>
                <c:pt idx="2">
                  <c:v>-0.2</c:v>
                </c:pt>
                <c:pt idx="3">
                  <c:v>0.2</c:v>
                </c:pt>
                <c:pt idx="4">
                  <c:v>0.8</c:v>
                </c:pt>
                <c:pt idx="5">
                  <c:v>-0.4</c:v>
                </c:pt>
                <c:pt idx="6">
                  <c:v>0</c:v>
                </c:pt>
                <c:pt idx="7">
                  <c:v>-0.6</c:v>
                </c:pt>
                <c:pt idx="8">
                  <c:v>-0.8</c:v>
                </c:pt>
                <c:pt idx="9">
                  <c:v>-1</c:v>
                </c:pt>
                <c:pt idx="10">
                  <c:v>0.2</c:v>
                </c:pt>
                <c:pt idx="11">
                  <c:v>-0.6</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'0811'!$K$5:$V$5</c:f>
              <c:numCache>
                <c:formatCode>#,##0_)%;[Red]\(#,##0\)%</c:formatCode>
                <c:ptCount val="12"/>
                <c:pt idx="0">
                  <c:v>-0.42857142857142855</c:v>
                </c:pt>
                <c:pt idx="1">
                  <c:v>4.7619047619047616E-2</c:v>
                </c:pt>
                <c:pt idx="2">
                  <c:v>-0.61904761904761907</c:v>
                </c:pt>
                <c:pt idx="3">
                  <c:v>4.7619047619047616E-2</c:v>
                </c:pt>
                <c:pt idx="4">
                  <c:v>4.7619047619047616E-2</c:v>
                </c:pt>
                <c:pt idx="5">
                  <c:v>0.23809523809523808</c:v>
                </c:pt>
                <c:pt idx="6">
                  <c:v>-0.14285714285714285</c:v>
                </c:pt>
                <c:pt idx="7">
                  <c:v>-4.7619047619047616E-2</c:v>
                </c:pt>
                <c:pt idx="8">
                  <c:v>0.14285714285714285</c:v>
                </c:pt>
                <c:pt idx="9">
                  <c:v>-4.7619047619047616E-2</c:v>
                </c:pt>
                <c:pt idx="10">
                  <c:v>-0.33333333333333331</c:v>
                </c:pt>
                <c:pt idx="11">
                  <c:v>-0.14285714285714285</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'0811'!$K$6:$V$6</c:f>
              <c:numCache>
                <c:formatCode>#,##0_)%;[Red]\(#,##0\)%</c:formatCode>
                <c:ptCount val="12"/>
                <c:pt idx="0">
                  <c:v>-0.33333333333333331</c:v>
                </c:pt>
                <c:pt idx="1">
                  <c:v>0.33333333333333331</c:v>
                </c:pt>
                <c:pt idx="2">
                  <c:v>0.33333333333333331</c:v>
                </c:pt>
                <c:pt idx="3">
                  <c:v>0.33333333333333331</c:v>
                </c:pt>
                <c:pt idx="4">
                  <c:v>-1</c:v>
                </c:pt>
                <c:pt idx="5">
                  <c:v>-1</c:v>
                </c:pt>
                <c:pt idx="6">
                  <c:v>1</c:v>
                </c:pt>
                <c:pt idx="7">
                  <c:v>-0.33333333333333331</c:v>
                </c:pt>
                <c:pt idx="8">
                  <c:v>0.33333333333333331</c:v>
                </c:pt>
                <c:pt idx="9">
                  <c:v>0.33333333333333331</c:v>
                </c:pt>
                <c:pt idx="10">
                  <c:v>-0.33333333333333331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'0811'!$K$7:$V$7</c:f>
              <c:numCache>
                <c:formatCode>#,##0_)%;[Red]\(#,##0\)%</c:formatCode>
                <c:ptCount val="12"/>
                <c:pt idx="0">
                  <c:v>1</c:v>
                </c:pt>
                <c:pt idx="1">
                  <c:v>-0.2</c:v>
                </c:pt>
                <c:pt idx="2">
                  <c:v>-0.2</c:v>
                </c:pt>
                <c:pt idx="3">
                  <c:v>-0.2</c:v>
                </c:pt>
                <c:pt idx="4">
                  <c:v>-0.6</c:v>
                </c:pt>
                <c:pt idx="5">
                  <c:v>-0.2</c:v>
                </c:pt>
                <c:pt idx="6">
                  <c:v>0.6</c:v>
                </c:pt>
                <c:pt idx="7">
                  <c:v>-1</c:v>
                </c:pt>
                <c:pt idx="8">
                  <c:v>-0.2</c:v>
                </c:pt>
                <c:pt idx="9">
                  <c:v>-0.2</c:v>
                </c:pt>
                <c:pt idx="10">
                  <c:v>0.6</c:v>
                </c:pt>
                <c:pt idx="11">
                  <c:v>-0.6</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'0811'!$K$8:$V$8</c:f>
              <c:numCache>
                <c:formatCode>#,##0_)%;[Red]\(#,##0\)%</c:formatCode>
                <c:ptCount val="12"/>
                <c:pt idx="0">
                  <c:v>1</c:v>
                </c:pt>
                <c:pt idx="1">
                  <c:v>-0.2</c:v>
                </c:pt>
                <c:pt idx="2">
                  <c:v>-0.4</c:v>
                </c:pt>
                <c:pt idx="3">
                  <c:v>0.2</c:v>
                </c:pt>
                <c:pt idx="4">
                  <c:v>0.8</c:v>
                </c:pt>
                <c:pt idx="5">
                  <c:v>0.6</c:v>
                </c:pt>
                <c:pt idx="6">
                  <c:v>0.4</c:v>
                </c:pt>
                <c:pt idx="7">
                  <c:v>-0.4</c:v>
                </c:pt>
                <c:pt idx="8">
                  <c:v>-1</c:v>
                </c:pt>
                <c:pt idx="9">
                  <c:v>-0.6</c:v>
                </c:pt>
                <c:pt idx="10">
                  <c:v>0</c:v>
                </c:pt>
                <c:pt idx="11">
                  <c:v>-0.8</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'0811'!$K$9:$V$9</c:f>
              <c:numCache>
                <c:formatCode>#,##0_)%;[Red]\(#,##0\)%</c:formatCode>
                <c:ptCount val="12"/>
                <c:pt idx="0">
                  <c:v>-0.7142857142857143</c:v>
                </c:pt>
                <c:pt idx="1">
                  <c:v>0.42857142857142855</c:v>
                </c:pt>
                <c:pt idx="2">
                  <c:v>0.14285714285714285</c:v>
                </c:pt>
                <c:pt idx="3">
                  <c:v>0.42857142857142855</c:v>
                </c:pt>
                <c:pt idx="4">
                  <c:v>0.42857142857142855</c:v>
                </c:pt>
                <c:pt idx="5">
                  <c:v>-0.7142857142857143</c:v>
                </c:pt>
                <c:pt idx="6">
                  <c:v>-0.14285714285714285</c:v>
                </c:pt>
                <c:pt idx="7">
                  <c:v>0.14285714285714285</c:v>
                </c:pt>
                <c:pt idx="8">
                  <c:v>0.14285714285714285</c:v>
                </c:pt>
                <c:pt idx="9">
                  <c:v>0.14285714285714285</c:v>
                </c:pt>
                <c:pt idx="10">
                  <c:v>-0.14285714285714285</c:v>
                </c:pt>
                <c:pt idx="11">
                  <c:v>0.7142857142857143</c:v>
                </c:pt>
              </c:numCache>
            </c:numRef>
          </c:val>
        </c:ser>
        <c:dLbls>
          <c:dLblPos val="ctr"/>
          <c:showLegendKey val="0"/>
          <c:showVal val="1"/>
          <c:showCatName val="0"/>
          <c:showSerName val="0"/>
          <c:showPercent val="0"/>
          <c:showBubbleSize val="0"/>
        </c:dLbls>
        <c:gapWidth val="79"/>
        <c:overlap val="100"/>
        <c:axId val="441429248"/>
        <c:axId val="441429792"/>
      </c:barChart>
      <c:catAx>
        <c:axId val="441429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441429792"/>
        <c:crosses val="autoZero"/>
        <c:auto val="1"/>
        <c:lblAlgn val="ctr"/>
        <c:lblOffset val="100"/>
        <c:noMultiLvlLbl val="0"/>
      </c:catAx>
      <c:valAx>
        <c:axId val="441429792"/>
        <c:scaling>
          <c:orientation val="minMax"/>
        </c:scaling>
        <c:delete val="1"/>
        <c:axPos val="l"/>
        <c:numFmt formatCode="#,##0_)%;[Red]\(#,##0\)%" sourceLinked="1"/>
        <c:majorTickMark val="none"/>
        <c:minorTickMark val="none"/>
        <c:tickLblPos val="nextTo"/>
        <c:crossAx val="441429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'0810'!$Z$2:$AP$2</c:f>
              <c:numCache>
                <c:formatCode>"$"#,##0_);[Red]\("$"#,##0\)</c:formatCode>
                <c:ptCount val="17"/>
                <c:pt idx="0">
                  <c:v>14527.573034789406</c:v>
                </c:pt>
                <c:pt idx="1">
                  <c:v>11762.185680398408</c:v>
                </c:pt>
                <c:pt idx="2">
                  <c:v>-11762.185680398408</c:v>
                </c:pt>
                <c:pt idx="3">
                  <c:v>14114.724237802573</c:v>
                </c:pt>
                <c:pt idx="4">
                  <c:v>-14114.724237802573</c:v>
                </c:pt>
                <c:pt idx="5">
                  <c:v>3980.1855205103179</c:v>
                </c:pt>
                <c:pt idx="6">
                  <c:v>2168.5042968863609</c:v>
                </c:pt>
                <c:pt idx="7">
                  <c:v>2168.5042968863609</c:v>
                </c:pt>
                <c:pt idx="8">
                  <c:v>2824.443287665953</c:v>
                </c:pt>
                <c:pt idx="9">
                  <c:v>-2824.443287665953</c:v>
                </c:pt>
                <c:pt idx="10">
                  <c:v>-1541.896850375856</c:v>
                </c:pt>
                <c:pt idx="11">
                  <c:v>5911.2229730105028</c:v>
                </c:pt>
                <c:pt idx="12">
                  <c:v>-5168.3295371529712</c:v>
                </c:pt>
                <c:pt idx="13">
                  <c:v>-6567.1619637900958</c:v>
                </c:pt>
                <c:pt idx="14">
                  <c:v>-6567.1619637900958</c:v>
                </c:pt>
                <c:pt idx="15">
                  <c:v>6980.0107607769287</c:v>
                </c:pt>
                <c:pt idx="16">
                  <c:v>-10606.443447554044</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'0810'!$Z$3:$AP$3</c:f>
              <c:numCache>
                <c:formatCode>"$"#,##0_);[Red]\("$"#,##0\)</c:formatCode>
                <c:ptCount val="17"/>
                <c:pt idx="0">
                  <c:v>11310.398550949432</c:v>
                </c:pt>
                <c:pt idx="1">
                  <c:v>-11310.398550949432</c:v>
                </c:pt>
                <c:pt idx="2">
                  <c:v>11310.398550949432</c:v>
                </c:pt>
                <c:pt idx="3">
                  <c:v>8850.2074681439317</c:v>
                </c:pt>
                <c:pt idx="4">
                  <c:v>-8850.2074681439317</c:v>
                </c:pt>
                <c:pt idx="5">
                  <c:v>-5677.113777894514</c:v>
                </c:pt>
                <c:pt idx="6">
                  <c:v>-473.02226436836236</c:v>
                </c:pt>
                <c:pt idx="7">
                  <c:v>-473.02226436836236</c:v>
                </c:pt>
                <c:pt idx="8">
                  <c:v>9263.0988139696074</c:v>
                </c:pt>
                <c:pt idx="9">
                  <c:v>-9263.0988139696074</c:v>
                </c:pt>
                <c:pt idx="10">
                  <c:v>1598.8162176379542</c:v>
                </c:pt>
                <c:pt idx="11">
                  <c:v>1574.2774726114635</c:v>
                </c:pt>
                <c:pt idx="12">
                  <c:v>-5677.113777894514</c:v>
                </c:pt>
                <c:pt idx="13">
                  <c:v>-11310.398550949432</c:v>
                </c:pt>
                <c:pt idx="14">
                  <c:v>-8137.3048607000146</c:v>
                </c:pt>
                <c:pt idx="15">
                  <c:v>5677.113777894514</c:v>
                </c:pt>
                <c:pt idx="16">
                  <c:v>-8850.2074681439317</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'0810'!$Z$4:$AP$4</c:f>
              <c:numCache>
                <c:formatCode>"$"#,##0_);[Red]\("$"#,##0\)</c:formatCode>
                <c:ptCount val="17"/>
                <c:pt idx="0">
                  <c:v>6739.2819877665752</c:v>
                </c:pt>
                <c:pt idx="1">
                  <c:v>346.29098025786743</c:v>
                </c:pt>
                <c:pt idx="2">
                  <c:v>-346.29098025786743</c:v>
                </c:pt>
                <c:pt idx="3">
                  <c:v>-1014.4145842853737</c:v>
                </c:pt>
                <c:pt idx="4">
                  <c:v>1014.4145842853737</c:v>
                </c:pt>
                <c:pt idx="5">
                  <c:v>2755.7246099576728</c:v>
                </c:pt>
                <c:pt idx="6">
                  <c:v>-299.58689452403326</c:v>
                </c:pt>
                <c:pt idx="7">
                  <c:v>1762.3277974281307</c:v>
                </c:pt>
                <c:pt idx="8">
                  <c:v>-1715.6237116942966</c:v>
                </c:pt>
                <c:pt idx="9">
                  <c:v>1715.6237116942966</c:v>
                </c:pt>
                <c:pt idx="10">
                  <c:v>3778.0342705179596</c:v>
                </c:pt>
                <c:pt idx="11">
                  <c:v>253.29618679178679</c:v>
                </c:pt>
                <c:pt idx="12">
                  <c:v>1603.9596311656992</c:v>
                </c:pt>
                <c:pt idx="13">
                  <c:v>1162.7406303784765</c:v>
                </c:pt>
                <c:pt idx="14">
                  <c:v>1752.285677258802</c:v>
                </c:pt>
                <c:pt idx="15">
                  <c:v>-5287.0658811543026</c:v>
                </c:pt>
                <c:pt idx="16">
                  <c:v>1463.1917581987764</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'0810'!$Z$5:$AP$5</c:f>
              <c:numCache>
                <c:formatCode>"$"#,##0_);[Red]\("$"#,##0\)</c:formatCode>
                <c:ptCount val="17"/>
                <c:pt idx="0">
                  <c:v>14012.495736126029</c:v>
                </c:pt>
                <c:pt idx="1">
                  <c:v>-12318.831303368277</c:v>
                </c:pt>
                <c:pt idx="2">
                  <c:v>12318.831303368277</c:v>
                </c:pt>
                <c:pt idx="3">
                  <c:v>-4258.4118842112175</c:v>
                </c:pt>
                <c:pt idx="4">
                  <c:v>4258.4118842112175</c:v>
                </c:pt>
                <c:pt idx="5">
                  <c:v>1725.0411321328538</c:v>
                </c:pt>
                <c:pt idx="6">
                  <c:v>-5857.6364155782776</c:v>
                </c:pt>
                <c:pt idx="7">
                  <c:v>-6685.5719341351378</c:v>
                </c:pt>
                <c:pt idx="8">
                  <c:v>-1886.6396055222158</c:v>
                </c:pt>
                <c:pt idx="9">
                  <c:v>1886.6396055222158</c:v>
                </c:pt>
                <c:pt idx="10">
                  <c:v>1202.7632894165367</c:v>
                </c:pt>
                <c:pt idx="11">
                  <c:v>-2176.0094056569778</c:v>
                </c:pt>
                <c:pt idx="12">
                  <c:v>5140.9871440053012</c:v>
                </c:pt>
                <c:pt idx="13">
                  <c:v>-2026.8530900702187</c:v>
                </c:pt>
                <c:pt idx="14">
                  <c:v>3490.3257315506376</c:v>
                </c:pt>
                <c:pt idx="15">
                  <c:v>3307.629121454363</c:v>
                </c:pt>
                <c:pt idx="16">
                  <c:v>5140.1572616125613</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'0810'!$Z$6:$AP$6</c:f>
              <c:numCache>
                <c:formatCode>"$"#,##0_);[Red]\("$"#,##0\)</c:formatCode>
                <c:ptCount val="17"/>
                <c:pt idx="0">
                  <c:v>1695.6303556837302</c:v>
                </c:pt>
                <c:pt idx="1">
                  <c:v>817.39369928981387</c:v>
                </c:pt>
                <c:pt idx="2">
                  <c:v>-817.39369928981387</c:v>
                </c:pt>
                <c:pt idx="3">
                  <c:v>-1695.6303556837302</c:v>
                </c:pt>
                <c:pt idx="4">
                  <c:v>1695.6303556837302</c:v>
                </c:pt>
                <c:pt idx="5">
                  <c:v>1515.7477469879341</c:v>
                </c:pt>
                <c:pt idx="6">
                  <c:v>-1695.6303556837302</c:v>
                </c:pt>
                <c:pt idx="7">
                  <c:v>-1695.6303556837302</c:v>
                </c:pt>
                <c:pt idx="8">
                  <c:v>1695.6303556837302</c:v>
                </c:pt>
                <c:pt idx="9">
                  <c:v>-1695.6303556837302</c:v>
                </c:pt>
                <c:pt idx="10">
                  <c:v>1695.6303556837302</c:v>
                </c:pt>
                <c:pt idx="11">
                  <c:v>-1695.6303556837302</c:v>
                </c:pt>
                <c:pt idx="12">
                  <c:v>1695.6303556837302</c:v>
                </c:pt>
                <c:pt idx="13">
                  <c:v>-1695.6303556837302</c:v>
                </c:pt>
                <c:pt idx="14">
                  <c:v>-1695.6303556837302</c:v>
                </c:pt>
                <c:pt idx="15">
                  <c:v>-1695.6303556837302</c:v>
                </c:pt>
                <c:pt idx="16">
                  <c:v>1515.7477469879341</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'0810'!$Z$7:$AP$7</c:f>
              <c:numCache>
                <c:formatCode>"$"#,##0_);[Red]\("$"#,##0\)</c:formatCode>
                <c:ptCount val="17"/>
                <c:pt idx="0">
                  <c:v>12802.343566299513</c:v>
                </c:pt>
                <c:pt idx="1">
                  <c:v>2729.9171794759168</c:v>
                </c:pt>
                <c:pt idx="2">
                  <c:v>-2729.9171794759168</c:v>
                </c:pt>
                <c:pt idx="3">
                  <c:v>10681.831938391475</c:v>
                </c:pt>
                <c:pt idx="4">
                  <c:v>-10681.831938391475</c:v>
                </c:pt>
                <c:pt idx="5">
                  <c:v>10681.831938391475</c:v>
                </c:pt>
                <c:pt idx="6">
                  <c:v>5342.2135522631706</c:v>
                </c:pt>
                <c:pt idx="7">
                  <c:v>-5949.0239376961836</c:v>
                </c:pt>
                <c:pt idx="8">
                  <c:v>-10714.312081932909</c:v>
                </c:pt>
                <c:pt idx="9">
                  <c:v>10714.312081932909</c:v>
                </c:pt>
                <c:pt idx="10">
                  <c:v>-5981.5040812376174</c:v>
                </c:pt>
                <c:pt idx="11">
                  <c:v>10714.312081932909</c:v>
                </c:pt>
                <c:pt idx="12">
                  <c:v>-5981.5040812376174</c:v>
                </c:pt>
                <c:pt idx="13">
                  <c:v>7462.7251801712082</c:v>
                </c:pt>
                <c:pt idx="14">
                  <c:v>7462.7251801712082</c:v>
                </c:pt>
                <c:pt idx="15">
                  <c:v>5949.0239376961836</c:v>
                </c:pt>
                <c:pt idx="16">
                  <c:v>10714.312081932909</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'0810'!$Z$8:$AP$8</c:f>
              <c:numCache>
                <c:formatCode>"$"#,##0_);[Red]\("$"#,##0\)</c:formatCode>
                <c:ptCount val="17"/>
                <c:pt idx="0">
                  <c:v>13460.875242946484</c:v>
                </c:pt>
                <c:pt idx="1">
                  <c:v>-13460.875242946484</c:v>
                </c:pt>
                <c:pt idx="2">
                  <c:v>13460.875242946484</c:v>
                </c:pt>
                <c:pt idx="3">
                  <c:v>13460.875242946484</c:v>
                </c:pt>
                <c:pt idx="4">
                  <c:v>-13460.875242946484</c:v>
                </c:pt>
                <c:pt idx="5">
                  <c:v>-4289.6449055659432</c:v>
                </c:pt>
                <c:pt idx="6">
                  <c:v>2055.3186896749166</c:v>
                </c:pt>
                <c:pt idx="7">
                  <c:v>2055.3186896749166</c:v>
                </c:pt>
                <c:pt idx="8">
                  <c:v>13460.875242946484</c:v>
                </c:pt>
                <c:pt idx="9">
                  <c:v>-13460.875242946484</c:v>
                </c:pt>
                <c:pt idx="10">
                  <c:v>-5924.7578573705669</c:v>
                </c:pt>
                <c:pt idx="11">
                  <c:v>2055.3186896749166</c:v>
                </c:pt>
                <c:pt idx="12">
                  <c:v>-10139.857661904378</c:v>
                </c:pt>
                <c:pt idx="13">
                  <c:v>-13460.875242946484</c:v>
                </c:pt>
                <c:pt idx="14">
                  <c:v>-10772.227598421254</c:v>
                </c:pt>
                <c:pt idx="15">
                  <c:v>6557.1277938874455</c:v>
                </c:pt>
                <c:pt idx="16">
                  <c:v>-13460.875242946484</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'0810'!$Z$9:$AP$9</c:f>
              <c:numCache>
                <c:formatCode>"$"#,##0_);[Red]\("$"#,##0\)</c:formatCode>
                <c:ptCount val="17"/>
                <c:pt idx="0">
                  <c:v>13425.517139884796</c:v>
                </c:pt>
                <c:pt idx="1">
                  <c:v>-10250.576401651226</c:v>
                </c:pt>
                <c:pt idx="2">
                  <c:v>10250.576401651226</c:v>
                </c:pt>
                <c:pt idx="3">
                  <c:v>5230.690357430236</c:v>
                </c:pt>
                <c:pt idx="4">
                  <c:v>-5230.690357430236</c:v>
                </c:pt>
                <c:pt idx="5">
                  <c:v>8245.7190560815907</c:v>
                </c:pt>
                <c:pt idx="6">
                  <c:v>-1402.0416919597096</c:v>
                </c:pt>
                <c:pt idx="7">
                  <c:v>-1402.0416919597096</c:v>
                </c:pt>
                <c:pt idx="8">
                  <c:v>347.23006323077198</c:v>
                </c:pt>
                <c:pt idx="9">
                  <c:v>-347.23006323077198</c:v>
                </c:pt>
                <c:pt idx="10">
                  <c:v>-5230.690357430236</c:v>
                </c:pt>
                <c:pt idx="11">
                  <c:v>-1242.1296523774931</c:v>
                </c:pt>
                <c:pt idx="12">
                  <c:v>-5230.690357430236</c:v>
                </c:pt>
                <c:pt idx="13">
                  <c:v>-507.14210281298756</c:v>
                </c:pt>
                <c:pt idx="14">
                  <c:v>-507.14210281298756</c:v>
                </c:pt>
                <c:pt idx="15">
                  <c:v>5230.690357430236</c:v>
                </c:pt>
                <c:pt idx="16">
                  <c:v>-507.14210281298756</c:v>
                </c:pt>
              </c:numCache>
            </c:numRef>
          </c:val>
        </c:ser>
        <c:dLbls>
          <c:showLegendKey val="0"/>
          <c:showVal val="0"/>
          <c:showCatName val="0"/>
          <c:showSerName val="0"/>
          <c:showPercent val="0"/>
          <c:showBubbleSize val="0"/>
        </c:dLbls>
        <c:gapWidth val="150"/>
        <c:overlap val="100"/>
        <c:axId val="441434144"/>
        <c:axId val="441430880"/>
      </c:barChart>
      <c:catAx>
        <c:axId val="4414341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41430880"/>
        <c:crosses val="autoZero"/>
        <c:auto val="1"/>
        <c:lblAlgn val="ctr"/>
        <c:lblOffset val="100"/>
        <c:noMultiLvlLbl val="0"/>
      </c:catAx>
      <c:valAx>
        <c:axId val="4414308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3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-0.42857142857142855</c:v>
                </c:pt>
                <c:pt idx="1">
                  <c:v>0.14285714285714285</c:v>
                </c:pt>
                <c:pt idx="2">
                  <c:v>0.14285714285714285</c:v>
                </c:pt>
                <c:pt idx="3">
                  <c:v>0.14285714285714285</c:v>
                </c:pt>
                <c:pt idx="4">
                  <c:v>0.14285714285714285</c:v>
                </c:pt>
                <c:pt idx="5">
                  <c:v>0.42857142857142855</c:v>
                </c:pt>
                <c:pt idx="6">
                  <c:v>-0.14285714285714285</c:v>
                </c:pt>
                <c:pt idx="7">
                  <c:v>0.42857142857142855</c:v>
                </c:pt>
                <c:pt idx="8">
                  <c:v>0.14285714285714285</c:v>
                </c:pt>
                <c:pt idx="9">
                  <c:v>0.14285714285714285</c:v>
                </c:pt>
                <c:pt idx="10">
                  <c:v>-0.42857142857142855</c:v>
                </c:pt>
                <c:pt idx="11">
                  <c:v>0.14285714285714285</c:v>
                </c:pt>
              </c:numCache>
            </c:numRef>
          </c:val>
        </c:ser>
        <c:dLbls>
          <c:dLblPos val="ctr"/>
          <c:showLegendKey val="0"/>
          <c:showVal val="1"/>
          <c:showCatName val="0"/>
          <c:showSerName val="0"/>
          <c:showPercent val="0"/>
          <c:showBubbleSize val="0"/>
        </c:dLbls>
        <c:gapWidth val="79"/>
        <c:overlap val="100"/>
        <c:axId val="441432512"/>
        <c:axId val="441440128"/>
      </c:barChart>
      <c:catAx>
        <c:axId val="441432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441440128"/>
        <c:crosses val="autoZero"/>
        <c:auto val="1"/>
        <c:lblAlgn val="ctr"/>
        <c:lblOffset val="100"/>
        <c:noMultiLvlLbl val="0"/>
      </c:catAx>
      <c:valAx>
        <c:axId val="441440128"/>
        <c:scaling>
          <c:orientation val="minMax"/>
        </c:scaling>
        <c:delete val="1"/>
        <c:axPos val="l"/>
        <c:numFmt formatCode="#,##0_)%;[Red]\(#,##0\)%" sourceLinked="1"/>
        <c:majorTickMark val="none"/>
        <c:minorTickMark val="none"/>
        <c:tickLblPos val="nextTo"/>
        <c:crossAx val="441432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'0809'!$Z$9:$AP$9</c:f>
              <c:numCache>
                <c:formatCode>"$"#,##0_);[Red]\("$"#,##0\)</c:formatCode>
                <c:ptCount val="17"/>
                <c:pt idx="0">
                  <c:v>9110.0137295260265</c:v>
                </c:pt>
                <c:pt idx="1">
                  <c:v>-5131.3229846096565</c:v>
                </c:pt>
                <c:pt idx="2">
                  <c:v>5131.3229846096565</c:v>
                </c:pt>
                <c:pt idx="3">
                  <c:v>-465.0433153301135</c:v>
                </c:pt>
                <c:pt idx="4">
                  <c:v>465.0433153301135</c:v>
                </c:pt>
                <c:pt idx="5">
                  <c:v>8153.1698939086291</c:v>
                </c:pt>
                <c:pt idx="6">
                  <c:v>-7639.9142900042407</c:v>
                </c:pt>
                <c:pt idx="7">
                  <c:v>-7639.9142900042407</c:v>
                </c:pt>
                <c:pt idx="8">
                  <c:v>-491.80052028728119</c:v>
                </c:pt>
                <c:pt idx="9">
                  <c:v>491.80052028728119</c:v>
                </c:pt>
                <c:pt idx="10">
                  <c:v>3513.6474295862545</c:v>
                </c:pt>
                <c:pt idx="11">
                  <c:v>-465.0433153301135</c:v>
                </c:pt>
                <c:pt idx="12">
                  <c:v>8153.1698939086291</c:v>
                </c:pt>
                <c:pt idx="13">
                  <c:v>-6683.070454386846</c:v>
                </c:pt>
                <c:pt idx="14">
                  <c:v>1005.0561241916696</c:v>
                </c:pt>
                <c:pt idx="15">
                  <c:v>3661.2235450878725</c:v>
                </c:pt>
                <c:pt idx="16">
                  <c:v>9110.0137295260265</c:v>
                </c:pt>
              </c:numCache>
            </c:numRef>
          </c:val>
        </c:ser>
        <c:dLbls>
          <c:showLegendKey val="0"/>
          <c:showVal val="0"/>
          <c:showCatName val="0"/>
          <c:showSerName val="0"/>
          <c:showPercent val="0"/>
          <c:showBubbleSize val="0"/>
        </c:dLbls>
        <c:gapWidth val="150"/>
        <c:overlap val="100"/>
        <c:axId val="441431424"/>
        <c:axId val="441436320"/>
      </c:barChart>
      <c:catAx>
        <c:axId val="4414314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41436320"/>
        <c:crosses val="autoZero"/>
        <c:auto val="1"/>
        <c:lblAlgn val="ctr"/>
        <c:lblOffset val="100"/>
        <c:noMultiLvlLbl val="0"/>
      </c:catAx>
      <c:valAx>
        <c:axId val="4414363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3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0.14285714285714285</c:v>
                </c:pt>
                <c:pt idx="1">
                  <c:v>0.14285714285714285</c:v>
                </c:pt>
                <c:pt idx="2">
                  <c:v>-0.42857142857142855</c:v>
                </c:pt>
                <c:pt idx="3">
                  <c:v>0.42857142857142855</c:v>
                </c:pt>
                <c:pt idx="4">
                  <c:v>0.14285714285714285</c:v>
                </c:pt>
                <c:pt idx="5">
                  <c:v>0.42857142857142855</c:v>
                </c:pt>
                <c:pt idx="6">
                  <c:v>0.14285714285714285</c:v>
                </c:pt>
                <c:pt idx="7">
                  <c:v>-0.42857142857142855</c:v>
                </c:pt>
                <c:pt idx="8">
                  <c:v>-0.14285714285714285</c:v>
                </c:pt>
                <c:pt idx="9">
                  <c:v>-0.14285714285714285</c:v>
                </c:pt>
                <c:pt idx="10">
                  <c:v>-0.7142857142857143</c:v>
                </c:pt>
                <c:pt idx="11">
                  <c:v>-0.7142857142857143</c:v>
                </c:pt>
              </c:numCache>
            </c:numRef>
          </c:val>
        </c:ser>
        <c:dLbls>
          <c:dLblPos val="ctr"/>
          <c:showLegendKey val="0"/>
          <c:showVal val="1"/>
          <c:showCatName val="0"/>
          <c:showSerName val="0"/>
          <c:showPercent val="0"/>
          <c:showBubbleSize val="0"/>
        </c:dLbls>
        <c:gapWidth val="79"/>
        <c:overlap val="100"/>
        <c:axId val="441435776"/>
        <c:axId val="441437408"/>
      </c:barChart>
      <c:catAx>
        <c:axId val="441435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441437408"/>
        <c:crosses val="autoZero"/>
        <c:auto val="1"/>
        <c:lblAlgn val="ctr"/>
        <c:lblOffset val="100"/>
        <c:noMultiLvlLbl val="0"/>
      </c:catAx>
      <c:valAx>
        <c:axId val="441437408"/>
        <c:scaling>
          <c:orientation val="minMax"/>
        </c:scaling>
        <c:delete val="1"/>
        <c:axPos val="l"/>
        <c:numFmt formatCode="#,##0_)%;[Red]\(#,##0\)%" sourceLinked="1"/>
        <c:majorTickMark val="none"/>
        <c:minorTickMark val="none"/>
        <c:tickLblPos val="nextTo"/>
        <c:crossAx val="441435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'0808'!$Z$9:$AP$9</c:f>
              <c:numCache>
                <c:formatCode>"$"#,##0_);[Red]\("$"#,##0\)</c:formatCode>
                <c:ptCount val="17"/>
                <c:pt idx="0">
                  <c:v>6560.9986562131289</c:v>
                </c:pt>
                <c:pt idx="1">
                  <c:v>-2961.1207084828311</c:v>
                </c:pt>
                <c:pt idx="2">
                  <c:v>2961.1207084828311</c:v>
                </c:pt>
                <c:pt idx="3">
                  <c:v>-2961.1207084828311</c:v>
                </c:pt>
                <c:pt idx="4">
                  <c:v>2961.1207084828311</c:v>
                </c:pt>
                <c:pt idx="5">
                  <c:v>1202.1033570942996</c:v>
                </c:pt>
                <c:pt idx="6">
                  <c:v>-3643.2171901651832</c:v>
                </c:pt>
                <c:pt idx="7">
                  <c:v>-3643.2171901651832</c:v>
                </c:pt>
                <c:pt idx="8">
                  <c:v>1202.1033570942996</c:v>
                </c:pt>
                <c:pt idx="9">
                  <c:v>-1202.1033570942996</c:v>
                </c:pt>
                <c:pt idx="10">
                  <c:v>-881.75228742993943</c:v>
                </c:pt>
                <c:pt idx="11">
                  <c:v>-2961.1207084828311</c:v>
                </c:pt>
                <c:pt idx="12">
                  <c:v>3281.4717781471913</c:v>
                </c:pt>
                <c:pt idx="13">
                  <c:v>-1884.1998387766516</c:v>
                </c:pt>
                <c:pt idx="14">
                  <c:v>-1563.8487691122918</c:v>
                </c:pt>
                <c:pt idx="15">
                  <c:v>1563.8487691122918</c:v>
                </c:pt>
                <c:pt idx="16">
                  <c:v>2961.1207084828311</c:v>
                </c:pt>
              </c:numCache>
            </c:numRef>
          </c:val>
        </c:ser>
        <c:dLbls>
          <c:showLegendKey val="0"/>
          <c:showVal val="0"/>
          <c:showCatName val="0"/>
          <c:showSerName val="0"/>
          <c:showPercent val="0"/>
          <c:showBubbleSize val="0"/>
        </c:dLbls>
        <c:gapWidth val="150"/>
        <c:overlap val="100"/>
        <c:axId val="441437952"/>
        <c:axId val="441439584"/>
      </c:barChart>
      <c:catAx>
        <c:axId val="4414379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41439584"/>
        <c:crosses val="autoZero"/>
        <c:auto val="1"/>
        <c:lblAlgn val="ctr"/>
        <c:lblOffset val="100"/>
        <c:noMultiLvlLbl val="0"/>
      </c:catAx>
      <c:valAx>
        <c:axId val="441439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3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0.7142857142857143</c:v>
                </c:pt>
                <c:pt idx="2">
                  <c:v>-0.42857142857142855</c:v>
                </c:pt>
                <c:pt idx="3">
                  <c:v>0.7142857142857143</c:v>
                </c:pt>
                <c:pt idx="4">
                  <c:v>-0.42857142857142855</c:v>
                </c:pt>
                <c:pt idx="5">
                  <c:v>0.7142857142857143</c:v>
                </c:pt>
                <c:pt idx="6">
                  <c:v>1</c:v>
                </c:pt>
                <c:pt idx="7">
                  <c:v>-0.7142857142857143</c:v>
                </c:pt>
                <c:pt idx="8">
                  <c:v>0.14285714285714285</c:v>
                </c:pt>
                <c:pt idx="9">
                  <c:v>0.42857142857142855</c:v>
                </c:pt>
                <c:pt idx="10">
                  <c:v>-0.42857142857142855</c:v>
                </c:pt>
                <c:pt idx="11">
                  <c:v>-1</c:v>
                </c:pt>
              </c:numCache>
            </c:numRef>
          </c:val>
        </c:ser>
        <c:dLbls>
          <c:dLblPos val="ctr"/>
          <c:showLegendKey val="0"/>
          <c:showVal val="1"/>
          <c:showCatName val="0"/>
          <c:showSerName val="0"/>
          <c:showPercent val="0"/>
          <c:showBubbleSize val="0"/>
        </c:dLbls>
        <c:gapWidth val="79"/>
        <c:overlap val="100"/>
        <c:axId val="373138576"/>
        <c:axId val="373132592"/>
      </c:barChart>
      <c:catAx>
        <c:axId val="373138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373132592"/>
        <c:crosses val="autoZero"/>
        <c:auto val="1"/>
        <c:lblAlgn val="ctr"/>
        <c:lblOffset val="100"/>
        <c:noMultiLvlLbl val="0"/>
      </c:catAx>
      <c:valAx>
        <c:axId val="373132592"/>
        <c:scaling>
          <c:orientation val="minMax"/>
        </c:scaling>
        <c:delete val="1"/>
        <c:axPos val="l"/>
        <c:numFmt formatCode="#,##0_)%;[Red]\(#,##0\)%" sourceLinked="1"/>
        <c:majorTickMark val="none"/>
        <c:minorTickMark val="none"/>
        <c:tickLblPos val="nextTo"/>
        <c:crossAx val="373138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'0805'!$Z$9:$AP$9</c:f>
              <c:numCache>
                <c:formatCode>"$"#,##0_);[Red]\("$"#,##0\)</c:formatCode>
                <c:ptCount val="17"/>
                <c:pt idx="0">
                  <c:v>12039.189386950911</c:v>
                </c:pt>
                <c:pt idx="1">
                  <c:v>12039.189386950911</c:v>
                </c:pt>
                <c:pt idx="2">
                  <c:v>-12039.189386950911</c:v>
                </c:pt>
                <c:pt idx="3">
                  <c:v>8651.9471097636979</c:v>
                </c:pt>
                <c:pt idx="4">
                  <c:v>-8651.9471097636979</c:v>
                </c:pt>
                <c:pt idx="5">
                  <c:v>1695.406498353183</c:v>
                </c:pt>
                <c:pt idx="6">
                  <c:v>7711.5689349072381</c:v>
                </c:pt>
                <c:pt idx="7">
                  <c:v>8674.7389954475075</c:v>
                </c:pt>
                <c:pt idx="8">
                  <c:v>-10474.330374967292</c:v>
                </c:pt>
                <c:pt idx="9">
                  <c:v>10474.330374967292</c:v>
                </c:pt>
                <c:pt idx="10">
                  <c:v>3662.7644948849302</c:v>
                </c:pt>
                <c:pt idx="11">
                  <c:v>10474.330374967292</c:v>
                </c:pt>
                <c:pt idx="12">
                  <c:v>-5116.1593817291778</c:v>
                </c:pt>
                <c:pt idx="13">
                  <c:v>7711.5689349072381</c:v>
                </c:pt>
                <c:pt idx="14">
                  <c:v>7711.5689349072381</c:v>
                </c:pt>
                <c:pt idx="15">
                  <c:v>-900.00305482487647</c:v>
                </c:pt>
                <c:pt idx="16">
                  <c:v>1695.406498353183</c:v>
                </c:pt>
              </c:numCache>
            </c:numRef>
          </c:val>
        </c:ser>
        <c:dLbls>
          <c:showLegendKey val="0"/>
          <c:showVal val="0"/>
          <c:showCatName val="0"/>
          <c:showSerName val="0"/>
          <c:showPercent val="0"/>
          <c:showBubbleSize val="0"/>
        </c:dLbls>
        <c:gapWidth val="150"/>
        <c:overlap val="100"/>
        <c:axId val="373136400"/>
        <c:axId val="373130416"/>
      </c:barChart>
      <c:catAx>
        <c:axId val="3731364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30416"/>
        <c:crosses val="autoZero"/>
        <c:auto val="1"/>
        <c:lblAlgn val="ctr"/>
        <c:lblOffset val="100"/>
        <c:noMultiLvlLbl val="0"/>
      </c:catAx>
      <c:valAx>
        <c:axId val="373130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36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0.42857142857142855</c:v>
                </c:pt>
                <c:pt idx="1">
                  <c:v>0.14285714285714285</c:v>
                </c:pt>
                <c:pt idx="2">
                  <c:v>-0.14285714285714285</c:v>
                </c:pt>
                <c:pt idx="3">
                  <c:v>0.42857142857142855</c:v>
                </c:pt>
                <c:pt idx="4">
                  <c:v>-0.42857142857142855</c:v>
                </c:pt>
                <c:pt idx="5">
                  <c:v>0.42857142857142855</c:v>
                </c:pt>
                <c:pt idx="6">
                  <c:v>0.42857142857142855</c:v>
                </c:pt>
                <c:pt idx="7">
                  <c:v>-0.14285714285714285</c:v>
                </c:pt>
                <c:pt idx="8">
                  <c:v>0.14285714285714285</c:v>
                </c:pt>
                <c:pt idx="9">
                  <c:v>0.14285714285714285</c:v>
                </c:pt>
                <c:pt idx="10">
                  <c:v>-0.14285714285714285</c:v>
                </c:pt>
                <c:pt idx="11">
                  <c:v>-0.14285714285714285</c:v>
                </c:pt>
              </c:numCache>
            </c:numRef>
          </c:val>
        </c:ser>
        <c:dLbls>
          <c:dLblPos val="ctr"/>
          <c:showLegendKey val="0"/>
          <c:showVal val="1"/>
          <c:showCatName val="0"/>
          <c:showSerName val="0"/>
          <c:showPercent val="0"/>
          <c:showBubbleSize val="0"/>
        </c:dLbls>
        <c:gapWidth val="79"/>
        <c:overlap val="100"/>
        <c:axId val="373142928"/>
        <c:axId val="373144016"/>
      </c:barChart>
      <c:catAx>
        <c:axId val="373142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373144016"/>
        <c:crosses val="autoZero"/>
        <c:auto val="1"/>
        <c:lblAlgn val="ctr"/>
        <c:lblOffset val="100"/>
        <c:noMultiLvlLbl val="0"/>
      </c:catAx>
      <c:valAx>
        <c:axId val="373144016"/>
        <c:scaling>
          <c:orientation val="minMax"/>
        </c:scaling>
        <c:delete val="1"/>
        <c:axPos val="l"/>
        <c:numFmt formatCode="#,##0_)%;[Red]\(#,##0\)%" sourceLinked="1"/>
        <c:majorTickMark val="none"/>
        <c:minorTickMark val="none"/>
        <c:tickLblPos val="nextTo"/>
        <c:crossAx val="373142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'0804'!$Z$9:$AP$9</c:f>
              <c:numCache>
                <c:formatCode>"$"#,##0_);[Red]\("$"#,##0\)</c:formatCode>
                <c:ptCount val="17"/>
                <c:pt idx="0">
                  <c:v>11446.808256416902</c:v>
                </c:pt>
                <c:pt idx="1">
                  <c:v>9894.5780078024854</c:v>
                </c:pt>
                <c:pt idx="2">
                  <c:v>-9894.5780078024854</c:v>
                </c:pt>
                <c:pt idx="3">
                  <c:v>1195.1137041274869</c:v>
                </c:pt>
                <c:pt idx="4">
                  <c:v>-1195.1137041274869</c:v>
                </c:pt>
                <c:pt idx="5">
                  <c:v>5338.7004630583178</c:v>
                </c:pt>
                <c:pt idx="6">
                  <c:v>-856.23823341075877</c:v>
                </c:pt>
                <c:pt idx="7">
                  <c:v>-856.23823341075877</c:v>
                </c:pt>
                <c:pt idx="8">
                  <c:v>-8706.0391041703624</c:v>
                </c:pt>
                <c:pt idx="9">
                  <c:v>8706.0391041703624</c:v>
                </c:pt>
                <c:pt idx="10">
                  <c:v>5262.3500018800951</c:v>
                </c:pt>
                <c:pt idx="11">
                  <c:v>1195.1137041274869</c:v>
                </c:pt>
                <c:pt idx="12">
                  <c:v>3287.3485255200726</c:v>
                </c:pt>
                <c:pt idx="13">
                  <c:v>6654.6871666321167</c:v>
                </c:pt>
                <c:pt idx="14">
                  <c:v>5262.3500018800951</c:v>
                </c:pt>
                <c:pt idx="15">
                  <c:v>-5262.3500018800951</c:v>
                </c:pt>
                <c:pt idx="16">
                  <c:v>6731.0376278103395</c:v>
                </c:pt>
              </c:numCache>
            </c:numRef>
          </c:val>
        </c:ser>
        <c:dLbls>
          <c:showLegendKey val="0"/>
          <c:showVal val="0"/>
          <c:showCatName val="0"/>
          <c:showSerName val="0"/>
          <c:showPercent val="0"/>
          <c:showBubbleSize val="0"/>
        </c:dLbls>
        <c:gapWidth val="150"/>
        <c:overlap val="100"/>
        <c:axId val="373144560"/>
        <c:axId val="373135856"/>
      </c:barChart>
      <c:catAx>
        <c:axId val="3731445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35856"/>
        <c:crosses val="autoZero"/>
        <c:auto val="1"/>
        <c:lblAlgn val="ctr"/>
        <c:lblOffset val="100"/>
        <c:noMultiLvlLbl val="0"/>
      </c:catAx>
      <c:valAx>
        <c:axId val="3731358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4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'0803'!$Z$9:$AP$9</c:f>
              <c:numCache>
                <c:formatCode>"$"#,##0_);[Red]\("$"#,##0\)</c:formatCode>
                <c:ptCount val="17"/>
                <c:pt idx="0">
                  <c:v>6008.5999999970691</c:v>
                </c:pt>
                <c:pt idx="1">
                  <c:v>4666.3999999979815</c:v>
                </c:pt>
                <c:pt idx="2">
                  <c:v>-4666.3999999979815</c:v>
                </c:pt>
                <c:pt idx="3">
                  <c:v>-4593.5999999980659</c:v>
                </c:pt>
                <c:pt idx="4">
                  <c:v>4593.5999999980659</c:v>
                </c:pt>
                <c:pt idx="5">
                  <c:v>4938.59999999714</c:v>
                </c:pt>
                <c:pt idx="6">
                  <c:v>-2681.3999999979656</c:v>
                </c:pt>
                <c:pt idx="7">
                  <c:v>-4526.3999999980779</c:v>
                </c:pt>
                <c:pt idx="8">
                  <c:v>-5801.3999999971775</c:v>
                </c:pt>
                <c:pt idx="9">
                  <c:v>5801.3999999971775</c:v>
                </c:pt>
                <c:pt idx="10">
                  <c:v>4096.3999999969683</c:v>
                </c:pt>
                <c:pt idx="11">
                  <c:v>-4593.5999999980659</c:v>
                </c:pt>
                <c:pt idx="12">
                  <c:v>5868.5999999971655</c:v>
                </c:pt>
                <c:pt idx="13">
                  <c:v>5868.5999999971655</c:v>
                </c:pt>
                <c:pt idx="14">
                  <c:v>5868.5999999971655</c:v>
                </c:pt>
                <c:pt idx="15">
                  <c:v>-4163.5999999969563</c:v>
                </c:pt>
                <c:pt idx="16">
                  <c:v>5868.5999999971655</c:v>
                </c:pt>
              </c:numCache>
            </c:numRef>
          </c:val>
        </c:ser>
        <c:dLbls>
          <c:showLegendKey val="0"/>
          <c:showVal val="0"/>
          <c:showCatName val="0"/>
          <c:showSerName val="0"/>
          <c:showPercent val="0"/>
          <c:showBubbleSize val="0"/>
        </c:dLbls>
        <c:gapWidth val="150"/>
        <c:overlap val="100"/>
        <c:axId val="373142384"/>
        <c:axId val="373137488"/>
      </c:barChart>
      <c:catAx>
        <c:axId val="373142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37488"/>
        <c:crosses val="autoZero"/>
        <c:auto val="1"/>
        <c:lblAlgn val="ctr"/>
        <c:lblOffset val="100"/>
        <c:noMultiLvlLbl val="0"/>
      </c:catAx>
      <c:valAx>
        <c:axId val="373137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'0802'!$Z$9:$AP$9</c:f>
              <c:numCache>
                <c:formatCode>"$"#,##0_);[Red]\("$"#,##0\)</c:formatCode>
                <c:ptCount val="17"/>
                <c:pt idx="0">
                  <c:v>10602.266294343735</c:v>
                </c:pt>
                <c:pt idx="1">
                  <c:v>-4718.4134311994976</c:v>
                </c:pt>
                <c:pt idx="2">
                  <c:v>4718.4134311994976</c:v>
                </c:pt>
                <c:pt idx="3">
                  <c:v>-7352.8762629652365</c:v>
                </c:pt>
                <c:pt idx="4">
                  <c:v>7352.8762629652365</c:v>
                </c:pt>
                <c:pt idx="5">
                  <c:v>5468.566783052217</c:v>
                </c:pt>
                <c:pt idx="6">
                  <c:v>2593.9518926691576</c:v>
                </c:pt>
                <c:pt idx="7">
                  <c:v>-5908.398121156345</c:v>
                </c:pt>
                <c:pt idx="8">
                  <c:v>2593.9518926691576</c:v>
                </c:pt>
                <c:pt idx="9">
                  <c:v>-2593.9518926691576</c:v>
                </c:pt>
                <c:pt idx="10">
                  <c:v>-7352.8762629652365</c:v>
                </c:pt>
                <c:pt idx="11">
                  <c:v>-7352.8762629652365</c:v>
                </c:pt>
                <c:pt idx="12">
                  <c:v>5468.566783052217</c:v>
                </c:pt>
                <c:pt idx="13">
                  <c:v>7352.8762629652365</c:v>
                </c:pt>
                <c:pt idx="14">
                  <c:v>5468.566783052217</c:v>
                </c:pt>
                <c:pt idx="15">
                  <c:v>5908.398121156345</c:v>
                </c:pt>
                <c:pt idx="16">
                  <c:v>7101.9447734818796</c:v>
                </c:pt>
              </c:numCache>
            </c:numRef>
          </c:val>
        </c:ser>
        <c:dLbls>
          <c:showLegendKey val="0"/>
          <c:showVal val="0"/>
          <c:showCatName val="0"/>
          <c:showSerName val="0"/>
          <c:showPercent val="0"/>
          <c:showBubbleSize val="0"/>
        </c:dLbls>
        <c:gapWidth val="150"/>
        <c:overlap val="100"/>
        <c:axId val="373146192"/>
        <c:axId val="373140752"/>
      </c:barChart>
      <c:catAx>
        <c:axId val="3731461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40752"/>
        <c:crosses val="autoZero"/>
        <c:auto val="1"/>
        <c:lblAlgn val="ctr"/>
        <c:lblOffset val="100"/>
        <c:noMultiLvlLbl val="0"/>
      </c:catAx>
      <c:valAx>
        <c:axId val="3731407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46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0801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'0801'!$Z$9:$AP$9</c:f>
              <c:numCache>
                <c:formatCode>"$"#,##0_);[Red]\("$"#,##0\)</c:formatCode>
                <c:ptCount val="17"/>
                <c:pt idx="0">
                  <c:v>13856.768229379384</c:v>
                </c:pt>
                <c:pt idx="1">
                  <c:v>459.68234136270883</c:v>
                </c:pt>
                <c:pt idx="2">
                  <c:v>-459.68234136270883</c:v>
                </c:pt>
                <c:pt idx="3">
                  <c:v>-12832.08427476048</c:v>
                </c:pt>
                <c:pt idx="4">
                  <c:v>12832.08427476048</c:v>
                </c:pt>
                <c:pt idx="5">
                  <c:v>6517.5250928239448</c:v>
                </c:pt>
                <c:pt idx="6">
                  <c:v>-5043.563290246233</c:v>
                </c:pt>
                <c:pt idx="7">
                  <c:v>-5043.563290246233</c:v>
                </c:pt>
                <c:pt idx="8">
                  <c:v>-9229.169634174661</c:v>
                </c:pt>
                <c:pt idx="9">
                  <c:v>9229.169634174661</c:v>
                </c:pt>
                <c:pt idx="10">
                  <c:v>703.19858646041746</c:v>
                </c:pt>
                <c:pt idx="11">
                  <c:v>-7053.9966709832588</c:v>
                </c:pt>
                <c:pt idx="12">
                  <c:v>11239.603014911689</c:v>
                </c:pt>
                <c:pt idx="13">
                  <c:v>11239.603014911689</c:v>
                </c:pt>
                <c:pt idx="14">
                  <c:v>11239.603014911689</c:v>
                </c:pt>
                <c:pt idx="15">
                  <c:v>321.48536815848922</c:v>
                </c:pt>
                <c:pt idx="16">
                  <c:v>11239.603014911689</c:v>
                </c:pt>
              </c:numCache>
            </c:numRef>
          </c:val>
        </c:ser>
        <c:dLbls>
          <c:showLegendKey val="0"/>
          <c:showVal val="0"/>
          <c:showCatName val="0"/>
          <c:showSerName val="0"/>
          <c:showPercent val="0"/>
          <c:showBubbleSize val="0"/>
        </c:dLbls>
        <c:gapWidth val="150"/>
        <c:overlap val="100"/>
        <c:axId val="373145648"/>
        <c:axId val="373147280"/>
      </c:barChart>
      <c:catAx>
        <c:axId val="3731456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47280"/>
        <c:crosses val="autoZero"/>
        <c:auto val="1"/>
        <c:lblAlgn val="ctr"/>
        <c:lblOffset val="100"/>
        <c:noMultiLvlLbl val="0"/>
      </c:catAx>
      <c:valAx>
        <c:axId val="3731472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45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'0729'!$Z$9:$AP$9</c:f>
              <c:numCache>
                <c:formatCode>"$"#,##0_);[Red]\("$"#,##0\)</c:formatCode>
                <c:ptCount val="17"/>
                <c:pt idx="0">
                  <c:v>13298.7180480772</c:v>
                </c:pt>
                <c:pt idx="1">
                  <c:v>7602.7938486764697</c:v>
                </c:pt>
                <c:pt idx="2">
                  <c:v>-7602.7938486764697</c:v>
                </c:pt>
                <c:pt idx="3">
                  <c:v>4353.39727033488</c:v>
                </c:pt>
                <c:pt idx="4">
                  <c:v>-4353.39727033488</c:v>
                </c:pt>
                <c:pt idx="5">
                  <c:v>4694.5853039191197</c:v>
                </c:pt>
                <c:pt idx="6">
                  <c:v>-2815.8774421853368</c:v>
                </c:pt>
                <c:pt idx="7">
                  <c:v>-5856.9508266412167</c:v>
                </c:pt>
                <c:pt idx="8">
                  <c:v>4353.39727033488</c:v>
                </c:pt>
                <c:pt idx="9">
                  <c:v>-4353.39727033488</c:v>
                </c:pt>
                <c:pt idx="10">
                  <c:v>-1653.5119194632391</c:v>
                </c:pt>
                <c:pt idx="11">
                  <c:v>-5856.9508266412167</c:v>
                </c:pt>
                <c:pt idx="12">
                  <c:v>-4353.39727033488</c:v>
                </c:pt>
                <c:pt idx="13">
                  <c:v>-4353.39727033488</c:v>
                </c:pt>
                <c:pt idx="14">
                  <c:v>-4353.39727033488</c:v>
                </c:pt>
                <c:pt idx="15">
                  <c:v>7361.6200275656402</c:v>
                </c:pt>
                <c:pt idx="16">
                  <c:v>-4353.39727033488</c:v>
                </c:pt>
              </c:numCache>
            </c:numRef>
          </c:val>
        </c:ser>
        <c:dLbls>
          <c:showLegendKey val="0"/>
          <c:showVal val="0"/>
          <c:showCatName val="0"/>
          <c:showSerName val="0"/>
          <c:showPercent val="0"/>
          <c:showBubbleSize val="0"/>
        </c:dLbls>
        <c:gapWidth val="150"/>
        <c:overlap val="100"/>
        <c:axId val="373160336"/>
        <c:axId val="373160880"/>
      </c:barChart>
      <c:catAx>
        <c:axId val="3731603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60880"/>
        <c:crosses val="autoZero"/>
        <c:auto val="1"/>
        <c:lblAlgn val="ctr"/>
        <c:lblOffset val="100"/>
        <c:noMultiLvlLbl val="0"/>
      </c:catAx>
      <c:valAx>
        <c:axId val="3731608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6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'0728'!$Z$9:$AP$9</c:f>
              <c:numCache>
                <c:formatCode>"$"#,##0_);[Red]\("$"#,##0\)</c:formatCode>
                <c:ptCount val="17"/>
                <c:pt idx="0">
                  <c:v>8458.9621573776931</c:v>
                </c:pt>
                <c:pt idx="1">
                  <c:v>-5508.379866214299</c:v>
                </c:pt>
                <c:pt idx="2">
                  <c:v>5508.379866214299</c:v>
                </c:pt>
                <c:pt idx="3">
                  <c:v>4952.6920818240151</c:v>
                </c:pt>
                <c:pt idx="4">
                  <c:v>-4952.6920818240151</c:v>
                </c:pt>
                <c:pt idx="5">
                  <c:v>3308.832919043638</c:v>
                </c:pt>
                <c:pt idx="6">
                  <c:v>-6324.147936204974</c:v>
                </c:pt>
                <c:pt idx="7">
                  <c:v>-4783.9548702634775</c:v>
                </c:pt>
                <c:pt idx="8">
                  <c:v>8458.9621573776931</c:v>
                </c:pt>
                <c:pt idx="9">
                  <c:v>-8458.9621573776931</c:v>
                </c:pt>
                <c:pt idx="10">
                  <c:v>6448.2396442915706</c:v>
                </c:pt>
                <c:pt idx="11">
                  <c:v>-5339.6426546537614</c:v>
                </c:pt>
                <c:pt idx="12">
                  <c:v>3328.9201415676384</c:v>
                </c:pt>
                <c:pt idx="13">
                  <c:v>-7903.2743729874092</c:v>
                </c:pt>
                <c:pt idx="14">
                  <c:v>-7903.2743729874092</c:v>
                </c:pt>
                <c:pt idx="15">
                  <c:v>1833.3725791000838</c:v>
                </c:pt>
                <c:pt idx="16">
                  <c:v>-6983.5018174341385</c:v>
                </c:pt>
              </c:numCache>
            </c:numRef>
          </c:val>
        </c:ser>
        <c:dLbls>
          <c:showLegendKey val="0"/>
          <c:showVal val="0"/>
          <c:showCatName val="0"/>
          <c:showSerName val="0"/>
          <c:showPercent val="0"/>
          <c:showBubbleSize val="0"/>
        </c:dLbls>
        <c:gapWidth val="150"/>
        <c:overlap val="100"/>
        <c:axId val="373155984"/>
        <c:axId val="373156528"/>
      </c:barChart>
      <c:catAx>
        <c:axId val="3731559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56528"/>
        <c:crosses val="autoZero"/>
        <c:auto val="1"/>
        <c:lblAlgn val="ctr"/>
        <c:lblOffset val="100"/>
        <c:noMultiLvlLbl val="0"/>
      </c:catAx>
      <c:valAx>
        <c:axId val="3731565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55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'0727'!$Z$9:$AP$9</c:f>
              <c:numCache>
                <c:formatCode>"$"#,##0_);[Red]\("$"#,##0\)</c:formatCode>
                <c:ptCount val="17"/>
                <c:pt idx="0">
                  <c:v>5893.6999999980499</c:v>
                </c:pt>
                <c:pt idx="1">
                  <c:v>-5413.6999999970367</c:v>
                </c:pt>
                <c:pt idx="2">
                  <c:v>5413.6999999970367</c:v>
                </c:pt>
                <c:pt idx="3">
                  <c:v>-471.30000000674067</c:v>
                </c:pt>
                <c:pt idx="4">
                  <c:v>471.30000000674067</c:v>
                </c:pt>
                <c:pt idx="5">
                  <c:v>4093.6999999994941</c:v>
                </c:pt>
                <c:pt idx="6">
                  <c:v>-2471.3000000015168</c:v>
                </c:pt>
                <c:pt idx="7">
                  <c:v>-2471.3000000015168</c:v>
                </c:pt>
                <c:pt idx="8">
                  <c:v>3833.6999999977388</c:v>
                </c:pt>
                <c:pt idx="9">
                  <c:v>-3833.6999999977388</c:v>
                </c:pt>
                <c:pt idx="10">
                  <c:v>1011.3000000007496</c:v>
                </c:pt>
                <c:pt idx="11">
                  <c:v>-2471.3000000015168</c:v>
                </c:pt>
                <c:pt idx="12">
                  <c:v>2471.3000000015168</c:v>
                </c:pt>
                <c:pt idx="13">
                  <c:v>-3833.6999999977388</c:v>
                </c:pt>
                <c:pt idx="14">
                  <c:v>-3833.6999999977388</c:v>
                </c:pt>
                <c:pt idx="15">
                  <c:v>988.69999999402648</c:v>
                </c:pt>
                <c:pt idx="16">
                  <c:v>-728.69999999227093</c:v>
                </c:pt>
              </c:numCache>
            </c:numRef>
          </c:val>
        </c:ser>
        <c:dLbls>
          <c:showLegendKey val="0"/>
          <c:showVal val="0"/>
          <c:showCatName val="0"/>
          <c:showSerName val="0"/>
          <c:showPercent val="0"/>
          <c:showBubbleSize val="0"/>
        </c:dLbls>
        <c:gapWidth val="150"/>
        <c:overlap val="100"/>
        <c:axId val="373157616"/>
        <c:axId val="373155440"/>
      </c:barChart>
      <c:catAx>
        <c:axId val="3731576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55440"/>
        <c:crosses val="autoZero"/>
        <c:auto val="1"/>
        <c:lblAlgn val="ctr"/>
        <c:lblOffset val="100"/>
        <c:noMultiLvlLbl val="0"/>
      </c:catAx>
      <c:valAx>
        <c:axId val="373155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5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'0726'!$Z$9:$AP$9</c:f>
              <c:numCache>
                <c:formatCode>"$"#,##0_);[Red]\("$"#,##0\)</c:formatCode>
                <c:ptCount val="17"/>
                <c:pt idx="0">
                  <c:v>10546.421778238448</c:v>
                </c:pt>
                <c:pt idx="1">
                  <c:v>4326.8059158550277</c:v>
                </c:pt>
                <c:pt idx="2">
                  <c:v>-4326.8059158550277</c:v>
                </c:pt>
                <c:pt idx="3">
                  <c:v>-1289.7313480898049</c:v>
                </c:pt>
                <c:pt idx="4">
                  <c:v>1289.7313480898049</c:v>
                </c:pt>
                <c:pt idx="5">
                  <c:v>-3813.8959487686434</c:v>
                </c:pt>
                <c:pt idx="6">
                  <c:v>-8106.2745685800801</c:v>
                </c:pt>
                <c:pt idx="7">
                  <c:v>-7866.5268460851275</c:v>
                </c:pt>
                <c:pt idx="8">
                  <c:v>-25.156065030309037</c:v>
                </c:pt>
                <c:pt idx="9">
                  <c:v>25.156065030309037</c:v>
                </c:pt>
                <c:pt idx="10">
                  <c:v>-2465.303274688677</c:v>
                </c:pt>
                <c:pt idx="11">
                  <c:v>-4829.4522783199045</c:v>
                </c:pt>
                <c:pt idx="12">
                  <c:v>-264.90378752526067</c:v>
                </c:pt>
                <c:pt idx="13">
                  <c:v>-3011.918502734914</c:v>
                </c:pt>
                <c:pt idx="14">
                  <c:v>-8106.2745685800801</c:v>
                </c:pt>
                <c:pt idx="15">
                  <c:v>3564.8769952604089</c:v>
                </c:pt>
                <c:pt idx="16">
                  <c:v>-2259.2608131535781</c:v>
                </c:pt>
              </c:numCache>
            </c:numRef>
          </c:val>
        </c:ser>
        <c:dLbls>
          <c:showLegendKey val="0"/>
          <c:showVal val="0"/>
          <c:showCatName val="0"/>
          <c:showSerName val="0"/>
          <c:showPercent val="0"/>
          <c:showBubbleSize val="0"/>
        </c:dLbls>
        <c:gapWidth val="150"/>
        <c:overlap val="100"/>
        <c:axId val="373158160"/>
        <c:axId val="373149456"/>
      </c:barChart>
      <c:catAx>
        <c:axId val="3731581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49456"/>
        <c:crosses val="autoZero"/>
        <c:auto val="1"/>
        <c:lblAlgn val="ctr"/>
        <c:lblOffset val="100"/>
        <c:noMultiLvlLbl val="0"/>
      </c:catAx>
      <c:valAx>
        <c:axId val="373149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58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'0725'!$Z$9:$AP$9</c:f>
              <c:numCache>
                <c:formatCode>"$"#,##0_);[Red]\("$"#,##0\)</c:formatCode>
                <c:ptCount val="17"/>
                <c:pt idx="0">
                  <c:v>6888.8826064362429</c:v>
                </c:pt>
                <c:pt idx="1">
                  <c:v>1570.494952656868</c:v>
                </c:pt>
                <c:pt idx="2">
                  <c:v>-1570.494952656868</c:v>
                </c:pt>
                <c:pt idx="3">
                  <c:v>438.30137200248555</c:v>
                </c:pt>
                <c:pt idx="4">
                  <c:v>-438.30137200248555</c:v>
                </c:pt>
                <c:pt idx="5">
                  <c:v>-5289.8929354769489</c:v>
                </c:pt>
                <c:pt idx="6">
                  <c:v>3288.1151990619674</c:v>
                </c:pt>
                <c:pt idx="7">
                  <c:v>4478.559612931007</c:v>
                </c:pt>
                <c:pt idx="8">
                  <c:v>-3051.5597444788968</c:v>
                </c:pt>
                <c:pt idx="9">
                  <c:v>3051.5597444788968</c:v>
                </c:pt>
                <c:pt idx="10">
                  <c:v>-2233.2078336885838</c:v>
                </c:pt>
                <c:pt idx="11">
                  <c:v>6770.9577272989773</c:v>
                </c:pt>
                <c:pt idx="12">
                  <c:v>-6770.9577272989773</c:v>
                </c:pt>
                <c:pt idx="13">
                  <c:v>759.16163011092704</c:v>
                </c:pt>
                <c:pt idx="14">
                  <c:v>759.16163011092704</c:v>
                </c:pt>
                <c:pt idx="15">
                  <c:v>-2090.6521969485548</c:v>
                </c:pt>
                <c:pt idx="16">
                  <c:v>1042.7634198195433</c:v>
                </c:pt>
              </c:numCache>
            </c:numRef>
          </c:val>
        </c:ser>
        <c:dLbls>
          <c:showLegendKey val="0"/>
          <c:showVal val="0"/>
          <c:showCatName val="0"/>
          <c:showSerName val="0"/>
          <c:showPercent val="0"/>
          <c:showBubbleSize val="0"/>
        </c:dLbls>
        <c:gapWidth val="150"/>
        <c:overlap val="100"/>
        <c:axId val="373150000"/>
        <c:axId val="373151632"/>
      </c:barChart>
      <c:catAx>
        <c:axId val="3731500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73151632"/>
        <c:crosses val="autoZero"/>
        <c:auto val="1"/>
        <c:lblAlgn val="ctr"/>
        <c:lblOffset val="100"/>
        <c:noMultiLvlLbl val="0"/>
      </c:catAx>
      <c:valAx>
        <c:axId val="3731516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5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'0722'!$Z$9:$AP$9</c:f>
              <c:numCache>
                <c:formatCode>"$"#,##0_);[Red]\("$"#,##0\)</c:formatCode>
                <c:ptCount val="17"/>
                <c:pt idx="0">
                  <c:v>7224.5592867800133</c:v>
                </c:pt>
                <c:pt idx="1">
                  <c:v>-7022.6500843258073</c:v>
                </c:pt>
                <c:pt idx="2">
                  <c:v>7022.6500843258073</c:v>
                </c:pt>
                <c:pt idx="3">
                  <c:v>1469.9993632821854</c:v>
                </c:pt>
                <c:pt idx="4">
                  <c:v>-1469.9993632821854</c:v>
                </c:pt>
                <c:pt idx="5">
                  <c:v>-3048.8786690545171</c:v>
                </c:pt>
                <c:pt idx="6">
                  <c:v>-5704.7197378330402</c:v>
                </c:pt>
                <c:pt idx="7">
                  <c:v>-4838.1773231425241</c:v>
                </c:pt>
                <c:pt idx="8">
                  <c:v>-4282.7620860922189</c:v>
                </c:pt>
                <c:pt idx="9">
                  <c:v>4282.7620860922189</c:v>
                </c:pt>
                <c:pt idx="10">
                  <c:v>6358.0168720894962</c:v>
                </c:pt>
                <c:pt idx="11">
                  <c:v>1469.9993632821854</c:v>
                </c:pt>
                <c:pt idx="12">
                  <c:v>-2291.5542295500049</c:v>
                </c:pt>
                <c:pt idx="13">
                  <c:v>-2891.9570150230079</c:v>
                </c:pt>
                <c:pt idx="14">
                  <c:v>-2846.9694666003111</c:v>
                </c:pt>
                <c:pt idx="15">
                  <c:v>-49.840185664787626</c:v>
                </c:pt>
                <c:pt idx="16">
                  <c:v>-3093.8662174772139</c:v>
                </c:pt>
              </c:numCache>
            </c:numRef>
          </c:val>
        </c:ser>
        <c:dLbls>
          <c:showLegendKey val="0"/>
          <c:showVal val="0"/>
          <c:showCatName val="0"/>
          <c:showSerName val="0"/>
          <c:showPercent val="0"/>
          <c:showBubbleSize val="0"/>
        </c:dLbls>
        <c:gapWidth val="150"/>
        <c:overlap val="100"/>
        <c:axId val="385670112"/>
        <c:axId val="385657600"/>
      </c:barChart>
      <c:catAx>
        <c:axId val="3856701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57600"/>
        <c:crosses val="autoZero"/>
        <c:auto val="1"/>
        <c:lblAlgn val="ctr"/>
        <c:lblOffset val="100"/>
        <c:noMultiLvlLbl val="0"/>
      </c:catAx>
      <c:valAx>
        <c:axId val="3856576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70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'0721'!$Z$9:$AP$9</c:f>
              <c:numCache>
                <c:formatCode>"$"#,##0_);[Red]\("$"#,##0\)</c:formatCode>
                <c:ptCount val="17"/>
                <c:pt idx="0">
                  <c:v>6357.6257304994269</c:v>
                </c:pt>
                <c:pt idx="1">
                  <c:v>-533.54961867349471</c:v>
                </c:pt>
                <c:pt idx="2">
                  <c:v>533.54961867349471</c:v>
                </c:pt>
                <c:pt idx="3">
                  <c:v>589.08758055246358</c:v>
                </c:pt>
                <c:pt idx="4">
                  <c:v>-589.08758055246358</c:v>
                </c:pt>
                <c:pt idx="5">
                  <c:v>2067.6816266879287</c:v>
                </c:pt>
                <c:pt idx="6">
                  <c:v>2347.9899967311967</c:v>
                </c:pt>
                <c:pt idx="7">
                  <c:v>2347.9899967311967</c:v>
                </c:pt>
                <c:pt idx="8">
                  <c:v>308.77921050919554</c:v>
                </c:pt>
                <c:pt idx="9">
                  <c:v>-308.77921050919554</c:v>
                </c:pt>
                <c:pt idx="10">
                  <c:v>2722.7841298004005</c:v>
                </c:pt>
                <c:pt idx="11">
                  <c:v>2347.9899967311967</c:v>
                </c:pt>
                <c:pt idx="12">
                  <c:v>4201.3781759358653</c:v>
                </c:pt>
                <c:pt idx="13">
                  <c:v>-308.77921050919554</c:v>
                </c:pt>
                <c:pt idx="14">
                  <c:v>4481.6865459791334</c:v>
                </c:pt>
                <c:pt idx="15">
                  <c:v>-4481.6865459791334</c:v>
                </c:pt>
                <c:pt idx="16">
                  <c:v>-589.08758055246358</c:v>
                </c:pt>
              </c:numCache>
            </c:numRef>
          </c:val>
        </c:ser>
        <c:dLbls>
          <c:showLegendKey val="0"/>
          <c:showVal val="0"/>
          <c:showCatName val="0"/>
          <c:showSerName val="0"/>
          <c:showPercent val="0"/>
          <c:showBubbleSize val="0"/>
        </c:dLbls>
        <c:gapWidth val="150"/>
        <c:overlap val="100"/>
        <c:axId val="385656512"/>
        <c:axId val="385658688"/>
      </c:barChart>
      <c:catAx>
        <c:axId val="3856565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58688"/>
        <c:crosses val="autoZero"/>
        <c:auto val="1"/>
        <c:lblAlgn val="ctr"/>
        <c:lblOffset val="100"/>
        <c:noMultiLvlLbl val="0"/>
      </c:catAx>
      <c:valAx>
        <c:axId val="3856586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5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'0720'!$Z$9:$AP$9</c:f>
              <c:numCache>
                <c:formatCode>"$"#,##0_);[Red]\("$"#,##0\)</c:formatCode>
                <c:ptCount val="17"/>
                <c:pt idx="0">
                  <c:v>3874.3719854125684</c:v>
                </c:pt>
                <c:pt idx="1">
                  <c:v>-2636.1358998148935</c:v>
                </c:pt>
                <c:pt idx="2">
                  <c:v>2636.1358998148935</c:v>
                </c:pt>
                <c:pt idx="3">
                  <c:v>2152.3711939327386</c:v>
                </c:pt>
                <c:pt idx="4">
                  <c:v>-2152.3711939327386</c:v>
                </c:pt>
                <c:pt idx="5">
                  <c:v>-74.638694089188107</c:v>
                </c:pt>
                <c:pt idx="6">
                  <c:v>39.888782238896567</c:v>
                </c:pt>
                <c:pt idx="7">
                  <c:v>2285.5992558871803</c:v>
                </c:pt>
                <c:pt idx="8">
                  <c:v>563.81834954520821</c:v>
                </c:pt>
                <c:pt idx="9">
                  <c:v>-563.81834954520821</c:v>
                </c:pt>
                <c:pt idx="10">
                  <c:v>-74.638694089188107</c:v>
                </c:pt>
                <c:pt idx="11">
                  <c:v>1609.2174749243002</c:v>
                </c:pt>
                <c:pt idx="12">
                  <c:v>-74.638694089188107</c:v>
                </c:pt>
                <c:pt idx="13">
                  <c:v>112.56343141767161</c:v>
                </c:pt>
                <c:pt idx="14">
                  <c:v>-74.638694089188107</c:v>
                </c:pt>
                <c:pt idx="15">
                  <c:v>-601.74308687369171</c:v>
                </c:pt>
                <c:pt idx="16">
                  <c:v>-563.81834954520821</c:v>
                </c:pt>
              </c:numCache>
            </c:numRef>
          </c:val>
        </c:ser>
        <c:dLbls>
          <c:showLegendKey val="0"/>
          <c:showVal val="0"/>
          <c:showCatName val="0"/>
          <c:showSerName val="0"/>
          <c:showPercent val="0"/>
          <c:showBubbleSize val="0"/>
        </c:dLbls>
        <c:gapWidth val="150"/>
        <c:overlap val="100"/>
        <c:axId val="385669568"/>
        <c:axId val="385663040"/>
      </c:barChart>
      <c:catAx>
        <c:axId val="3856695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63040"/>
        <c:crosses val="autoZero"/>
        <c:auto val="1"/>
        <c:lblAlgn val="ctr"/>
        <c:lblOffset val="100"/>
        <c:noMultiLvlLbl val="0"/>
      </c:catAx>
      <c:valAx>
        <c:axId val="3856630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6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'0719'!$Z$9:$AP$9</c:f>
              <c:numCache>
                <c:formatCode>"$"#,##0_);[Red]\("$"#,##0\)</c:formatCode>
                <c:ptCount val="17"/>
                <c:pt idx="0">
                  <c:v>7638.0912808115227</c:v>
                </c:pt>
                <c:pt idx="1">
                  <c:v>-7186.827235866891</c:v>
                </c:pt>
                <c:pt idx="2">
                  <c:v>7186.827235866891</c:v>
                </c:pt>
                <c:pt idx="3">
                  <c:v>-4885.8945665909032</c:v>
                </c:pt>
                <c:pt idx="4">
                  <c:v>4885.8945665909032</c:v>
                </c:pt>
                <c:pt idx="5">
                  <c:v>-1598.1353752037608</c:v>
                </c:pt>
                <c:pt idx="6">
                  <c:v>-5863.7258736944368</c:v>
                </c:pt>
                <c:pt idx="7">
                  <c:v>-7291.2346836696688</c:v>
                </c:pt>
                <c:pt idx="8">
                  <c:v>832.83005088990956</c:v>
                </c:pt>
                <c:pt idx="9">
                  <c:v>-832.83005088990956</c:v>
                </c:pt>
                <c:pt idx="10">
                  <c:v>-3670.9117394053565</c:v>
                </c:pt>
                <c:pt idx="11">
                  <c:v>-4818.7292594148184</c:v>
                </c:pt>
                <c:pt idx="12">
                  <c:v>-1877.8266651695299</c:v>
                </c:pt>
                <c:pt idx="13">
                  <c:v>-1877.8266651695299</c:v>
                </c:pt>
                <c:pt idx="14">
                  <c:v>-1877.8266651695299</c:v>
                </c:pt>
                <c:pt idx="15">
                  <c:v>6143.4171636602059</c:v>
                </c:pt>
                <c:pt idx="16">
                  <c:v>-1877.8266651695299</c:v>
                </c:pt>
              </c:numCache>
            </c:numRef>
          </c:val>
        </c:ser>
        <c:dLbls>
          <c:showLegendKey val="0"/>
          <c:showVal val="0"/>
          <c:showCatName val="0"/>
          <c:showSerName val="0"/>
          <c:showPercent val="0"/>
          <c:showBubbleSize val="0"/>
        </c:dLbls>
        <c:gapWidth val="150"/>
        <c:overlap val="100"/>
        <c:axId val="385671200"/>
        <c:axId val="385668480"/>
      </c:barChart>
      <c:catAx>
        <c:axId val="3856712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68480"/>
        <c:crosses val="autoZero"/>
        <c:auto val="1"/>
        <c:lblAlgn val="ctr"/>
        <c:lblOffset val="100"/>
        <c:noMultiLvlLbl val="0"/>
      </c:catAx>
      <c:valAx>
        <c:axId val="3856684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71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'0718'!$Z$9:$AP$9</c:f>
              <c:numCache>
                <c:formatCode>"$"#,##0_);[Red]\("$"#,##0\)</c:formatCode>
                <c:ptCount val="17"/>
                <c:pt idx="0">
                  <c:v>3944.0342458679347</c:v>
                </c:pt>
                <c:pt idx="1">
                  <c:v>2270.1892614517415</c:v>
                </c:pt>
                <c:pt idx="2">
                  <c:v>-2270.1892614517415</c:v>
                </c:pt>
                <c:pt idx="3">
                  <c:v>-3246.7280336645731</c:v>
                </c:pt>
                <c:pt idx="4">
                  <c:v>3246.7280336645731</c:v>
                </c:pt>
                <c:pt idx="5">
                  <c:v>2842.4840150210644</c:v>
                </c:pt>
                <c:pt idx="6">
                  <c:v>416.04351993142762</c:v>
                </c:pt>
                <c:pt idx="7">
                  <c:v>-2662.5825450550797</c:v>
                </c:pt>
                <c:pt idx="8">
                  <c:v>525.26332166515476</c:v>
                </c:pt>
                <c:pt idx="9">
                  <c:v>-525.26332166515476</c:v>
                </c:pt>
                <c:pt idx="10">
                  <c:v>2842.4840150210644</c:v>
                </c:pt>
                <c:pt idx="11">
                  <c:v>-3066.8265636985884</c:v>
                </c:pt>
                <c:pt idx="12">
                  <c:v>2842.4840150210644</c:v>
                </c:pt>
                <c:pt idx="13">
                  <c:v>416.04351993142762</c:v>
                </c:pt>
                <c:pt idx="14">
                  <c:v>11.799501287918872</c:v>
                </c:pt>
                <c:pt idx="15">
                  <c:v>-3246.7280336645731</c:v>
                </c:pt>
                <c:pt idx="16">
                  <c:v>2842.4840150210644</c:v>
                </c:pt>
              </c:numCache>
            </c:numRef>
          </c:val>
        </c:ser>
        <c:dLbls>
          <c:showLegendKey val="0"/>
          <c:showVal val="0"/>
          <c:showCatName val="0"/>
          <c:showSerName val="0"/>
          <c:showPercent val="0"/>
          <c:showBubbleSize val="0"/>
        </c:dLbls>
        <c:gapWidth val="150"/>
        <c:overlap val="100"/>
        <c:axId val="385672288"/>
        <c:axId val="385665216"/>
      </c:barChart>
      <c:catAx>
        <c:axId val="3856722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65216"/>
        <c:crosses val="autoZero"/>
        <c:auto val="1"/>
        <c:lblAlgn val="ctr"/>
        <c:lblOffset val="100"/>
        <c:noMultiLvlLbl val="0"/>
      </c:catAx>
      <c:valAx>
        <c:axId val="385665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72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'0715'!$Z$9:$AP$9</c:f>
              <c:numCache>
                <c:formatCode>"$"#,##0_);[Red]\("$"#,##0\)</c:formatCode>
                <c:ptCount val="17"/>
                <c:pt idx="0">
                  <c:v>13290.663841082896</c:v>
                </c:pt>
                <c:pt idx="1">
                  <c:v>-12059.331771229972</c:v>
                </c:pt>
                <c:pt idx="2">
                  <c:v>12059.331771229972</c:v>
                </c:pt>
                <c:pt idx="3">
                  <c:v>-12059.331771229972</c:v>
                </c:pt>
                <c:pt idx="4">
                  <c:v>12059.331771229972</c:v>
                </c:pt>
                <c:pt idx="5">
                  <c:v>8088.1602692134111</c:v>
                </c:pt>
                <c:pt idx="6">
                  <c:v>-5783.0918757284635</c:v>
                </c:pt>
                <c:pt idx="7">
                  <c:v>-12059.331771229972</c:v>
                </c:pt>
                <c:pt idx="8">
                  <c:v>2275.0373747583144</c:v>
                </c:pt>
                <c:pt idx="9">
                  <c:v>-2275.0373747583144</c:v>
                </c:pt>
                <c:pt idx="10">
                  <c:v>-2175.8755026199806</c:v>
                </c:pt>
                <c:pt idx="11">
                  <c:v>-12059.331771229972</c:v>
                </c:pt>
                <c:pt idx="12">
                  <c:v>8088.1602692134111</c:v>
                </c:pt>
                <c:pt idx="13">
                  <c:v>4917.1070661666472</c:v>
                </c:pt>
                <c:pt idx="14">
                  <c:v>4917.1070661666472</c:v>
                </c:pt>
                <c:pt idx="15">
                  <c:v>2175.8755026199806</c:v>
                </c:pt>
                <c:pt idx="16">
                  <c:v>8088.1602692134111</c:v>
                </c:pt>
              </c:numCache>
            </c:numRef>
          </c:val>
        </c:ser>
        <c:dLbls>
          <c:showLegendKey val="0"/>
          <c:showVal val="0"/>
          <c:showCatName val="0"/>
          <c:showSerName val="0"/>
          <c:showPercent val="0"/>
          <c:showBubbleSize val="0"/>
        </c:dLbls>
        <c:gapWidth val="150"/>
        <c:overlap val="100"/>
        <c:axId val="385657056"/>
        <c:axId val="385673920"/>
      </c:barChart>
      <c:catAx>
        <c:axId val="385657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73920"/>
        <c:crosses val="autoZero"/>
        <c:auto val="1"/>
        <c:lblAlgn val="ctr"/>
        <c:lblOffset val="100"/>
        <c:noMultiLvlLbl val="0"/>
      </c:catAx>
      <c:valAx>
        <c:axId val="385673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5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'0714'!$Z$9:$AP$9</c:f>
              <c:numCache>
                <c:formatCode>"$"#,##0_);[Red]\("$"#,##0\)</c:formatCode>
                <c:ptCount val="17"/>
                <c:pt idx="0">
                  <c:v>10751.980140395195</c:v>
                </c:pt>
                <c:pt idx="1">
                  <c:v>10751.980140395195</c:v>
                </c:pt>
                <c:pt idx="2">
                  <c:v>-10751.980140395195</c:v>
                </c:pt>
                <c:pt idx="3">
                  <c:v>6039.8648232151427</c:v>
                </c:pt>
                <c:pt idx="4">
                  <c:v>-6039.8648232151427</c:v>
                </c:pt>
                <c:pt idx="5">
                  <c:v>-8993.2496281496205</c:v>
                </c:pt>
                <c:pt idx="6">
                  <c:v>3835.8483266436006</c:v>
                </c:pt>
                <c:pt idx="7">
                  <c:v>7914.2219957206671</c:v>
                </c:pt>
                <c:pt idx="8">
                  <c:v>4176.1462265724358</c:v>
                </c:pt>
                <c:pt idx="9">
                  <c:v>-4176.1462265724358</c:v>
                </c:pt>
                <c:pt idx="10">
                  <c:v>1654.5879028562422</c:v>
                </c:pt>
                <c:pt idx="11">
                  <c:v>4960.8371907861892</c:v>
                </c:pt>
                <c:pt idx="12">
                  <c:v>-8993.2496281496205</c:v>
                </c:pt>
                <c:pt idx="13">
                  <c:v>-5301.1350907150245</c:v>
                </c:pt>
                <c:pt idx="14">
                  <c:v>-5301.1350907150245</c:v>
                </c:pt>
                <c:pt idx="15">
                  <c:v>-4607.9727077907201</c:v>
                </c:pt>
                <c:pt idx="16">
                  <c:v>-8993.2496281496205</c:v>
                </c:pt>
              </c:numCache>
            </c:numRef>
          </c:val>
        </c:ser>
        <c:dLbls>
          <c:showLegendKey val="0"/>
          <c:showVal val="0"/>
          <c:showCatName val="0"/>
          <c:showSerName val="0"/>
          <c:showPercent val="0"/>
          <c:showBubbleSize val="0"/>
        </c:dLbls>
        <c:gapWidth val="150"/>
        <c:overlap val="100"/>
        <c:axId val="385675008"/>
        <c:axId val="385675552"/>
      </c:barChart>
      <c:catAx>
        <c:axId val="3856750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75552"/>
        <c:crosses val="autoZero"/>
        <c:auto val="1"/>
        <c:lblAlgn val="ctr"/>
        <c:lblOffset val="100"/>
        <c:noMultiLvlLbl val="0"/>
      </c:catAx>
      <c:valAx>
        <c:axId val="3856755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75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'0713'!$Z$9:$AP$9</c:f>
              <c:numCache>
                <c:formatCode>"$"#,##0_);[Red]\("$"#,##0\)</c:formatCode>
                <c:ptCount val="17"/>
                <c:pt idx="0">
                  <c:v>9372.4834623983843</c:v>
                </c:pt>
                <c:pt idx="1">
                  <c:v>5640.7451565515703</c:v>
                </c:pt>
                <c:pt idx="2">
                  <c:v>-5640.7451565515703</c:v>
                </c:pt>
                <c:pt idx="3">
                  <c:v>4048.9319844537481</c:v>
                </c:pt>
                <c:pt idx="4">
                  <c:v>-4048.9319844537481</c:v>
                </c:pt>
                <c:pt idx="5">
                  <c:v>-6655.2417860809837</c:v>
                </c:pt>
                <c:pt idx="6">
                  <c:v>2286.0013054592259</c:v>
                </c:pt>
                <c:pt idx="7">
                  <c:v>5408.3601592351688</c:v>
                </c:pt>
                <c:pt idx="8">
                  <c:v>4453.9140577166527</c:v>
                </c:pt>
                <c:pt idx="9">
                  <c:v>-4453.9140577166527</c:v>
                </c:pt>
                <c:pt idx="10">
                  <c:v>-2831.3964064477109</c:v>
                </c:pt>
                <c:pt idx="11">
                  <c:v>5032.7241348120415</c:v>
                </c:pt>
                <c:pt idx="12">
                  <c:v>-4048.9319844537481</c:v>
                </c:pt>
                <c:pt idx="13">
                  <c:v>-4078.2780332935258</c:v>
                </c:pt>
                <c:pt idx="14">
                  <c:v>-4078.2780332935258</c:v>
                </c:pt>
                <c:pt idx="15">
                  <c:v>2455.7603820245836</c:v>
                </c:pt>
                <c:pt idx="16">
                  <c:v>-5671.4496357226908</c:v>
                </c:pt>
              </c:numCache>
            </c:numRef>
          </c:val>
        </c:ser>
        <c:dLbls>
          <c:showLegendKey val="0"/>
          <c:showVal val="0"/>
          <c:showCatName val="0"/>
          <c:showSerName val="0"/>
          <c:showPercent val="0"/>
          <c:showBubbleSize val="0"/>
        </c:dLbls>
        <c:gapWidth val="150"/>
        <c:overlap val="100"/>
        <c:axId val="385677184"/>
        <c:axId val="385660864"/>
      </c:barChart>
      <c:catAx>
        <c:axId val="3856771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60864"/>
        <c:crosses val="autoZero"/>
        <c:auto val="1"/>
        <c:lblAlgn val="ctr"/>
        <c:lblOffset val="100"/>
        <c:noMultiLvlLbl val="0"/>
      </c:catAx>
      <c:valAx>
        <c:axId val="385660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7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'0712'!$Z$9:$AP$9</c:f>
              <c:numCache>
                <c:formatCode>"$"#,##0_);[Red]\("$"#,##0\)</c:formatCode>
                <c:ptCount val="17"/>
                <c:pt idx="0">
                  <c:v>12746.275287079936</c:v>
                </c:pt>
                <c:pt idx="1">
                  <c:v>-2303.5678080004204</c:v>
                </c:pt>
                <c:pt idx="2">
                  <c:v>2303.5678080004204</c:v>
                </c:pt>
                <c:pt idx="3">
                  <c:v>-1230.8487068764853</c:v>
                </c:pt>
                <c:pt idx="4">
                  <c:v>1230.8487068764853</c:v>
                </c:pt>
                <c:pt idx="5">
                  <c:v>2275.2085907860901</c:v>
                </c:pt>
                <c:pt idx="6">
                  <c:v>6273.2593365036273</c:v>
                </c:pt>
                <c:pt idx="7">
                  <c:v>-2275.2085907860901</c:v>
                </c:pt>
                <c:pt idx="8">
                  <c:v>5200.5402353796917</c:v>
                </c:pt>
                <c:pt idx="9">
                  <c:v>-5200.5402353796917</c:v>
                </c:pt>
                <c:pt idx="10">
                  <c:v>-5228.8994525940225</c:v>
                </c:pt>
                <c:pt idx="11">
                  <c:v>-2275.2085907860901</c:v>
                </c:pt>
                <c:pt idx="12">
                  <c:v>2275.2085907860901</c:v>
                </c:pt>
                <c:pt idx="13">
                  <c:v>2303.5678080004204</c:v>
                </c:pt>
                <c:pt idx="14">
                  <c:v>2303.5678080004204</c:v>
                </c:pt>
                <c:pt idx="15">
                  <c:v>6273.2593365036273</c:v>
                </c:pt>
                <c:pt idx="16">
                  <c:v>1230.8487068764853</c:v>
                </c:pt>
              </c:numCache>
            </c:numRef>
          </c:val>
        </c:ser>
        <c:dLbls>
          <c:showLegendKey val="0"/>
          <c:showVal val="0"/>
          <c:showCatName val="0"/>
          <c:showSerName val="0"/>
          <c:showPercent val="0"/>
          <c:showBubbleSize val="0"/>
        </c:dLbls>
        <c:gapWidth val="150"/>
        <c:overlap val="100"/>
        <c:axId val="385663584"/>
        <c:axId val="385666848"/>
      </c:barChart>
      <c:catAx>
        <c:axId val="3856635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66848"/>
        <c:crosses val="autoZero"/>
        <c:auto val="1"/>
        <c:lblAlgn val="ctr"/>
        <c:lblOffset val="100"/>
        <c:noMultiLvlLbl val="0"/>
      </c:catAx>
      <c:valAx>
        <c:axId val="385666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63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'0711'!$Z$9:$AP$9</c:f>
              <c:numCache>
                <c:formatCode>"$"#,##0_);[Red]\("$"#,##0\)</c:formatCode>
                <c:ptCount val="17"/>
                <c:pt idx="0">
                  <c:v>19425.750234614468</c:v>
                </c:pt>
                <c:pt idx="1">
                  <c:v>10944.824456486713</c:v>
                </c:pt>
                <c:pt idx="2">
                  <c:v>-10944.824456486713</c:v>
                </c:pt>
                <c:pt idx="3">
                  <c:v>-697.58778437813453</c:v>
                </c:pt>
                <c:pt idx="4">
                  <c:v>697.58778437813453</c:v>
                </c:pt>
                <c:pt idx="5">
                  <c:v>6464.0883240697349</c:v>
                </c:pt>
                <c:pt idx="6">
                  <c:v>-4936.95188797845</c:v>
                </c:pt>
                <c:pt idx="7">
                  <c:v>-377.17448118049288</c:v>
                </c:pt>
                <c:pt idx="8">
                  <c:v>-1519.7890905555992</c:v>
                </c:pt>
                <c:pt idx="9">
                  <c:v>1519.7890905555992</c:v>
                </c:pt>
                <c:pt idx="10">
                  <c:v>-4537.4973103998309</c:v>
                </c:pt>
                <c:pt idx="11">
                  <c:v>-697.58778437813453</c:v>
                </c:pt>
                <c:pt idx="12">
                  <c:v>6784.5016272673747</c:v>
                </c:pt>
                <c:pt idx="13">
                  <c:v>1840.2023937532394</c:v>
                </c:pt>
                <c:pt idx="14">
                  <c:v>1840.2023937532394</c:v>
                </c:pt>
                <c:pt idx="15">
                  <c:v>4537.4973103998309</c:v>
                </c:pt>
                <c:pt idx="16">
                  <c:v>6464.0883240697349</c:v>
                </c:pt>
              </c:numCache>
            </c:numRef>
          </c:val>
        </c:ser>
        <c:dLbls>
          <c:showLegendKey val="0"/>
          <c:showVal val="0"/>
          <c:showCatName val="0"/>
          <c:showSerName val="0"/>
          <c:showPercent val="0"/>
          <c:showBubbleSize val="0"/>
        </c:dLbls>
        <c:gapWidth val="150"/>
        <c:overlap val="100"/>
        <c:axId val="385684256"/>
        <c:axId val="385686432"/>
      </c:barChart>
      <c:catAx>
        <c:axId val="3856842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86432"/>
        <c:crosses val="autoZero"/>
        <c:auto val="1"/>
        <c:lblAlgn val="ctr"/>
        <c:lblOffset val="100"/>
        <c:noMultiLvlLbl val="0"/>
      </c:catAx>
      <c:valAx>
        <c:axId val="3856864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'0708'!$Z$9:$AP$9</c:f>
              <c:numCache>
                <c:formatCode>"$"#,##0_);[Red]\("$"#,##0\)</c:formatCode>
                <c:ptCount val="17"/>
                <c:pt idx="0">
                  <c:v>7792.5300457271078</c:v>
                </c:pt>
                <c:pt idx="1">
                  <c:v>4576.1655710579616</c:v>
                </c:pt>
                <c:pt idx="2">
                  <c:v>-4576.1655710579616</c:v>
                </c:pt>
                <c:pt idx="3">
                  <c:v>1250.8598883645739</c:v>
                </c:pt>
                <c:pt idx="4">
                  <c:v>-1250.8598883645739</c:v>
                </c:pt>
                <c:pt idx="5">
                  <c:v>-2286.5126214831312</c:v>
                </c:pt>
                <c:pt idx="6">
                  <c:v>6756.8773126085507</c:v>
                </c:pt>
                <c:pt idx="7">
                  <c:v>6756.8773126085507</c:v>
                </c:pt>
                <c:pt idx="8">
                  <c:v>3690.3382963690337</c:v>
                </c:pt>
                <c:pt idx="9">
                  <c:v>-3690.3382963690337</c:v>
                </c:pt>
                <c:pt idx="10">
                  <c:v>-3825.0510073727237</c:v>
                </c:pt>
                <c:pt idx="11">
                  <c:v>3250.9182152980466</c:v>
                </c:pt>
                <c:pt idx="12">
                  <c:v>-1250.8598883645739</c:v>
                </c:pt>
                <c:pt idx="13">
                  <c:v>-184.37919905852914</c:v>
                </c:pt>
                <c:pt idx="14">
                  <c:v>-184.37919905852914</c:v>
                </c:pt>
                <c:pt idx="15">
                  <c:v>-1680.9664168712529</c:v>
                </c:pt>
                <c:pt idx="16">
                  <c:v>-1250.8598883645739</c:v>
                </c:pt>
              </c:numCache>
            </c:numRef>
          </c:val>
        </c:ser>
        <c:dLbls>
          <c:showLegendKey val="0"/>
          <c:showVal val="0"/>
          <c:showCatName val="0"/>
          <c:showSerName val="0"/>
          <c:showPercent val="0"/>
          <c:showBubbleSize val="0"/>
        </c:dLbls>
        <c:gapWidth val="150"/>
        <c:overlap val="100"/>
        <c:axId val="385681536"/>
        <c:axId val="385680992"/>
      </c:barChart>
      <c:catAx>
        <c:axId val="3856815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80992"/>
        <c:crosses val="autoZero"/>
        <c:auto val="1"/>
        <c:lblAlgn val="ctr"/>
        <c:lblOffset val="100"/>
        <c:noMultiLvlLbl val="0"/>
      </c:catAx>
      <c:valAx>
        <c:axId val="385680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8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'0707'!$Z$9:$AP$9</c:f>
              <c:numCache>
                <c:formatCode>"$"#,##0_);[Red]\("$"#,##0\)</c:formatCode>
                <c:ptCount val="17"/>
                <c:pt idx="0">
                  <c:v>10409.436326239305</c:v>
                </c:pt>
                <c:pt idx="1">
                  <c:v>-4010.4535199940301</c:v>
                </c:pt>
                <c:pt idx="2">
                  <c:v>4010.4535199940301</c:v>
                </c:pt>
                <c:pt idx="3">
                  <c:v>5984.8638340293192</c:v>
                </c:pt>
                <c:pt idx="4">
                  <c:v>-5984.8638340293192</c:v>
                </c:pt>
                <c:pt idx="5">
                  <c:v>3561.4872106526309</c:v>
                </c:pt>
                <c:pt idx="6">
                  <c:v>-5984.8638340293192</c:v>
                </c:pt>
                <c:pt idx="7">
                  <c:v>-5984.8638340293192</c:v>
                </c:pt>
                <c:pt idx="8">
                  <c:v>2768.7003228459926</c:v>
                </c:pt>
                <c:pt idx="9">
                  <c:v>-2768.7003228459926</c:v>
                </c:pt>
                <c:pt idx="10">
                  <c:v>-1403.8344722256413</c:v>
                </c:pt>
                <c:pt idx="11">
                  <c:v>-2768.7003228459926</c:v>
                </c:pt>
                <c:pt idx="12">
                  <c:v>-1403.8344722256413</c:v>
                </c:pt>
                <c:pt idx="13">
                  <c:v>-5984.8638340293192</c:v>
                </c:pt>
                <c:pt idx="14">
                  <c:v>-7734.022005724265</c:v>
                </c:pt>
                <c:pt idx="15">
                  <c:v>5984.8638340293192</c:v>
                </c:pt>
                <c:pt idx="16">
                  <c:v>-2768.7003228459926</c:v>
                </c:pt>
              </c:numCache>
            </c:numRef>
          </c:val>
        </c:ser>
        <c:dLbls>
          <c:showLegendKey val="0"/>
          <c:showVal val="0"/>
          <c:showCatName val="0"/>
          <c:showSerName val="0"/>
          <c:showPercent val="0"/>
          <c:showBubbleSize val="0"/>
        </c:dLbls>
        <c:gapWidth val="150"/>
        <c:overlap val="100"/>
        <c:axId val="385683168"/>
        <c:axId val="385683712"/>
      </c:barChart>
      <c:catAx>
        <c:axId val="3856831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85683712"/>
        <c:crosses val="autoZero"/>
        <c:auto val="1"/>
        <c:lblAlgn val="ctr"/>
        <c:lblOffset val="100"/>
        <c:noMultiLvlLbl val="0"/>
      </c:catAx>
      <c:valAx>
        <c:axId val="385683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68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'0706'!$Z$9:$AP$9</c:f>
              <c:numCache>
                <c:formatCode>"$"#,##0_);[Red]\("$"#,##0\)</c:formatCode>
                <c:ptCount val="17"/>
                <c:pt idx="0">
                  <c:v>5552.7703936778416</c:v>
                </c:pt>
                <c:pt idx="1">
                  <c:v>-4076.5249945113819</c:v>
                </c:pt>
                <c:pt idx="2">
                  <c:v>4076.5249945113819</c:v>
                </c:pt>
                <c:pt idx="3">
                  <c:v>638.34314498634603</c:v>
                </c:pt>
                <c:pt idx="4">
                  <c:v>-638.34314498634603</c:v>
                </c:pt>
                <c:pt idx="5">
                  <c:v>4346.8976367446885</c:v>
                </c:pt>
                <c:pt idx="6">
                  <c:v>-5552.7703936778416</c:v>
                </c:pt>
                <c:pt idx="7">
                  <c:v>-5552.7703936778416</c:v>
                </c:pt>
                <c:pt idx="8">
                  <c:v>-1464.4787368924613</c:v>
                </c:pt>
                <c:pt idx="9">
                  <c:v>1464.4787368924613</c:v>
                </c:pt>
                <c:pt idx="10">
                  <c:v>3295.3771477032906</c:v>
                </c:pt>
                <c:pt idx="11">
                  <c:v>-567.5296119468062</c:v>
                </c:pt>
                <c:pt idx="12">
                  <c:v>4076.5249945113819</c:v>
                </c:pt>
                <c:pt idx="13">
                  <c:v>-3520.7620448385733</c:v>
                </c:pt>
                <c:pt idx="14">
                  <c:v>1194.1060946591542</c:v>
                </c:pt>
                <c:pt idx="15">
                  <c:v>2625.3637487275901</c:v>
                </c:pt>
                <c:pt idx="16">
                  <c:v>4346.8976367446885</c:v>
                </c:pt>
              </c:numCache>
            </c:numRef>
          </c:val>
        </c:ser>
        <c:dLbls>
          <c:showLegendKey val="0"/>
          <c:showVal val="0"/>
          <c:showCatName val="0"/>
          <c:showSerName val="0"/>
          <c:showPercent val="0"/>
          <c:showBubbleSize val="0"/>
        </c:dLbls>
        <c:gapWidth val="150"/>
        <c:overlap val="100"/>
        <c:axId val="402508288"/>
        <c:axId val="402506112"/>
      </c:barChart>
      <c:catAx>
        <c:axId val="4025082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02506112"/>
        <c:crosses val="autoZero"/>
        <c:auto val="1"/>
        <c:lblAlgn val="ctr"/>
        <c:lblOffset val="100"/>
        <c:noMultiLvlLbl val="0"/>
      </c:catAx>
      <c:valAx>
        <c:axId val="4025061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0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'0705'!$Z$9:$AP$9</c:f>
              <c:numCache>
                <c:formatCode>"$"#,##0_);[Red]\("$"#,##0\)</c:formatCode>
                <c:ptCount val="17"/>
                <c:pt idx="0">
                  <c:v>7794.7089905289449</c:v>
                </c:pt>
                <c:pt idx="1">
                  <c:v>5452.6093920195872</c:v>
                </c:pt>
                <c:pt idx="2">
                  <c:v>-5452.6093920195872</c:v>
                </c:pt>
                <c:pt idx="3">
                  <c:v>5452.6093920195872</c:v>
                </c:pt>
                <c:pt idx="4">
                  <c:v>-5452.6093920195872</c:v>
                </c:pt>
                <c:pt idx="5">
                  <c:v>-4577.6150532397078</c:v>
                </c:pt>
                <c:pt idx="6">
                  <c:v>327.08773020561523</c:v>
                </c:pt>
                <c:pt idx="7">
                  <c:v>-940.50960585957716</c:v>
                </c:pt>
                <c:pt idx="8">
                  <c:v>-1153.2697547633325</c:v>
                </c:pt>
                <c:pt idx="9">
                  <c:v>1153.2697547633325</c:v>
                </c:pt>
                <c:pt idx="10">
                  <c:v>-188.80740468916053</c:v>
                </c:pt>
                <c:pt idx="11">
                  <c:v>5452.6093920195872</c:v>
                </c:pt>
                <c:pt idx="12">
                  <c:v>-6527.1116544637525</c:v>
                </c:pt>
                <c:pt idx="13">
                  <c:v>-5239.849243115832</c:v>
                </c:pt>
                <c:pt idx="14">
                  <c:v>-5239.849243115832</c:v>
                </c:pt>
                <c:pt idx="15">
                  <c:v>5919.6922126922009</c:v>
                </c:pt>
                <c:pt idx="16">
                  <c:v>-4577.6150532397078</c:v>
                </c:pt>
              </c:numCache>
            </c:numRef>
          </c:val>
        </c:ser>
        <c:dLbls>
          <c:showLegendKey val="0"/>
          <c:showVal val="0"/>
          <c:showCatName val="0"/>
          <c:showSerName val="0"/>
          <c:showPercent val="0"/>
          <c:showBubbleSize val="0"/>
        </c:dLbls>
        <c:gapWidth val="150"/>
        <c:overlap val="100"/>
        <c:axId val="402508832"/>
        <c:axId val="402506656"/>
      </c:barChart>
      <c:catAx>
        <c:axId val="4025088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02506656"/>
        <c:crosses val="autoZero"/>
        <c:auto val="1"/>
        <c:lblAlgn val="ctr"/>
        <c:lblOffset val="100"/>
        <c:noMultiLvlLbl val="0"/>
      </c:catAx>
      <c:valAx>
        <c:axId val="4025066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08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402507744"/>
        <c:axId val="402512096"/>
      </c:barChart>
      <c:catAx>
        <c:axId val="4025077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02512096"/>
        <c:crosses val="autoZero"/>
        <c:auto val="1"/>
        <c:lblAlgn val="ctr"/>
        <c:lblOffset val="100"/>
        <c:noMultiLvlLbl val="0"/>
      </c:catAx>
      <c:valAx>
        <c:axId val="402512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0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'0701'!$Z$9:$AP$9</c:f>
              <c:numCache>
                <c:formatCode>"$"#,##0_);[Red]\("$"#,##0\)</c:formatCode>
                <c:ptCount val="17"/>
                <c:pt idx="0">
                  <c:v>8333.8132530559251</c:v>
                </c:pt>
                <c:pt idx="1">
                  <c:v>8333.8132530559251</c:v>
                </c:pt>
                <c:pt idx="2">
                  <c:v>-8333.8132530559251</c:v>
                </c:pt>
                <c:pt idx="3">
                  <c:v>-6817.8171496345412</c:v>
                </c:pt>
                <c:pt idx="4">
                  <c:v>6817.8171496345412</c:v>
                </c:pt>
                <c:pt idx="5">
                  <c:v>-4874.0112728476379</c:v>
                </c:pt>
                <c:pt idx="6">
                  <c:v>3923.4116678810483</c:v>
                </c:pt>
                <c:pt idx="7">
                  <c:v>3923.4116678810483</c:v>
                </c:pt>
                <c:pt idx="8">
                  <c:v>-1139.2339320227197</c:v>
                </c:pt>
                <c:pt idx="9">
                  <c:v>1139.2339320227197</c:v>
                </c:pt>
                <c:pt idx="10">
                  <c:v>-1783.0757096431366</c:v>
                </c:pt>
                <c:pt idx="11">
                  <c:v>-1755.1715497307721</c:v>
                </c:pt>
                <c:pt idx="12">
                  <c:v>-1783.0757096431366</c:v>
                </c:pt>
                <c:pt idx="13">
                  <c:v>6817.8171496345412</c:v>
                </c:pt>
                <c:pt idx="14">
                  <c:v>4230.169495227221</c:v>
                </c:pt>
                <c:pt idx="15">
                  <c:v>-6817.8171496345412</c:v>
                </c:pt>
                <c:pt idx="16">
                  <c:v>1139.2339320227197</c:v>
                </c:pt>
              </c:numCache>
            </c:numRef>
          </c:val>
        </c:ser>
        <c:dLbls>
          <c:showLegendKey val="0"/>
          <c:showVal val="0"/>
          <c:showCatName val="0"/>
          <c:showSerName val="0"/>
          <c:showPercent val="0"/>
          <c:showBubbleSize val="0"/>
        </c:dLbls>
        <c:gapWidth val="150"/>
        <c:overlap val="100"/>
        <c:axId val="402509920"/>
        <c:axId val="402496320"/>
      </c:barChart>
      <c:catAx>
        <c:axId val="4025099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02496320"/>
        <c:crosses val="autoZero"/>
        <c:auto val="1"/>
        <c:lblAlgn val="ctr"/>
        <c:lblOffset val="100"/>
        <c:noMultiLvlLbl val="0"/>
      </c:catAx>
      <c:valAx>
        <c:axId val="4024963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0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402503392"/>
        <c:axId val="402498496"/>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402503392"/>
        <c:axId val="402498496"/>
      </c:lineChart>
      <c:catAx>
        <c:axId val="40250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498496"/>
        <c:crosses val="autoZero"/>
        <c:auto val="1"/>
        <c:lblAlgn val="ctr"/>
        <c:lblOffset val="100"/>
        <c:noMultiLvlLbl val="0"/>
      </c:catAx>
      <c:valAx>
        <c:axId val="402498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0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-173.49059821654714</c:v>
                </c:pt>
                <c:pt idx="1">
                  <c:v>-173.49059821654714</c:v>
                </c:pt>
                <c:pt idx="2">
                  <c:v>-11593.16493555938</c:v>
                </c:pt>
                <c:pt idx="3">
                  <c:v>-173.49059821654714</c:v>
                </c:pt>
                <c:pt idx="4">
                  <c:v>13909.938273940294</c:v>
                </c:pt>
                <c:pt idx="5">
                  <c:v>11149.0833424507</c:v>
                </c:pt>
                <c:pt idx="6">
                  <c:v>3664.6727701390591</c:v>
                </c:pt>
                <c:pt idx="7">
                  <c:v>2921.9435224015751</c:v>
                </c:pt>
                <c:pt idx="8">
                  <c:v>11593.16493555938</c:v>
                </c:pt>
                <c:pt idx="9">
                  <c:v>7194.7666733961087</c:v>
                </c:pt>
                <c:pt idx="10">
                  <c:v>13909.938273940294</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189.61696730452752</c:v>
                </c:pt>
                <c:pt idx="1">
                  <c:v>396.55653324765319</c:v>
                </c:pt>
                <c:pt idx="2">
                  <c:v>2350.3098579639477</c:v>
                </c:pt>
                <c:pt idx="3">
                  <c:v>2557.2494239070734</c:v>
                </c:pt>
                <c:pt idx="4">
                  <c:v>-2557.2494239070734</c:v>
                </c:pt>
                <c:pt idx="5">
                  <c:v>1603.0026684400409</c:v>
                </c:pt>
                <c:pt idx="6">
                  <c:v>-1809.9422343831666</c:v>
                </c:pt>
                <c:pt idx="7">
                  <c:v>189.61696730452752</c:v>
                </c:pt>
                <c:pt idx="8">
                  <c:v>-2350.3098579639477</c:v>
                </c:pt>
                <c:pt idx="9">
                  <c:v>-2350.3098579639477</c:v>
                </c:pt>
                <c:pt idx="10">
                  <c:v>-2350.3098579639477</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-7508.9195462725384</c:v>
                </c:pt>
                <c:pt idx="1">
                  <c:v>-8777.1734942201201</c:v>
                </c:pt>
                <c:pt idx="2">
                  <c:v>4767.4642199973641</c:v>
                </c:pt>
                <c:pt idx="3">
                  <c:v>1440.096971550583</c:v>
                </c:pt>
                <c:pt idx="4">
                  <c:v>-6637.6768910399333</c:v>
                </c:pt>
                <c:pt idx="5">
                  <c:v>-1522.8157421261199</c:v>
                </c:pt>
                <c:pt idx="6">
                  <c:v>-4901.8734589035448</c:v>
                </c:pt>
                <c:pt idx="7">
                  <c:v>2187.0329880391691</c:v>
                </c:pt>
                <c:pt idx="8">
                  <c:v>-3922.836420175558</c:v>
                </c:pt>
                <c:pt idx="9">
                  <c:v>-8180.7117413031556</c:v>
                </c:pt>
                <c:pt idx="10">
                  <c:v>-7756.4917963547778</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-24850.075249528407</c:v>
                </c:pt>
                <c:pt idx="1">
                  <c:v>-280.99102758702315</c:v>
                </c:pt>
                <c:pt idx="2">
                  <c:v>968.49015274961266</c:v>
                </c:pt>
                <c:pt idx="3">
                  <c:v>29176.376894095698</c:v>
                </c:pt>
                <c:pt idx="4">
                  <c:v>-5645.9043307033853</c:v>
                </c:pt>
                <c:pt idx="5">
                  <c:v>-32152.664786534508</c:v>
                </c:pt>
                <c:pt idx="6">
                  <c:v>21345.423482264297</c:v>
                </c:pt>
                <c:pt idx="7">
                  <c:v>-21502.412844624905</c:v>
                </c:pt>
                <c:pt idx="8">
                  <c:v>-12260.9947425469</c:v>
                </c:pt>
                <c:pt idx="9">
                  <c:v>-51302.866003429554</c:v>
                </c:pt>
                <c:pt idx="10">
                  <c:v>-5645.9043307033853</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-409.8222960350688</c:v>
                </c:pt>
                <c:pt idx="1">
                  <c:v>-1436.3382020634863</c:v>
                </c:pt>
                <c:pt idx="2">
                  <c:v>1436.3382020634863</c:v>
                </c:pt>
                <c:pt idx="3">
                  <c:v>-1436.3382020634863</c:v>
                </c:pt>
                <c:pt idx="4">
                  <c:v>-1614.5560238462062</c:v>
                </c:pt>
                <c:pt idx="5">
                  <c:v>-1614.5560238462062</c:v>
                </c:pt>
                <c:pt idx="6">
                  <c:v>-1614.5560238462062</c:v>
                </c:pt>
                <c:pt idx="7">
                  <c:v>1436.3382020634863</c:v>
                </c:pt>
                <c:pt idx="8">
                  <c:v>-1436.3382020634863</c:v>
                </c:pt>
                <c:pt idx="9">
                  <c:v>1436.3382020634863</c:v>
                </c:pt>
                <c:pt idx="10">
                  <c:v>-1436.3382020634863</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4203.9070902333169</c:v>
                </c:pt>
                <c:pt idx="1">
                  <c:v>4.1005636237210865</c:v>
                </c:pt>
                <c:pt idx="2">
                  <c:v>4203.9070902333169</c:v>
                </c:pt>
                <c:pt idx="3">
                  <c:v>4.1005636237210865</c:v>
                </c:pt>
                <c:pt idx="4">
                  <c:v>-4203.9070902333169</c:v>
                </c:pt>
                <c:pt idx="5">
                  <c:v>-2272.0519682821937</c:v>
                </c:pt>
                <c:pt idx="6">
                  <c:v>-5133.1751056918529</c:v>
                </c:pt>
                <c:pt idx="7">
                  <c:v>4203.9070902333169</c:v>
                </c:pt>
                <c:pt idx="8">
                  <c:v>-4203.9070902333169</c:v>
                </c:pt>
                <c:pt idx="9">
                  <c:v>-3644.5158162376711</c:v>
                </c:pt>
                <c:pt idx="10">
                  <c:v>-4203.9070902333169</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2865.7977208402608</c:v>
                </c:pt>
                <c:pt idx="1">
                  <c:v>-14813.755719345649</c:v>
                </c:pt>
                <c:pt idx="2">
                  <c:v>17554.959750573853</c:v>
                </c:pt>
                <c:pt idx="3">
                  <c:v>-13284.769016001352</c:v>
                </c:pt>
                <c:pt idx="4">
                  <c:v>-8422.6681321305332</c:v>
                </c:pt>
                <c:pt idx="5">
                  <c:v>-2467.7726792172784</c:v>
                </c:pt>
                <c:pt idx="6">
                  <c:v>4861.7972501965905</c:v>
                </c:pt>
                <c:pt idx="7">
                  <c:v>-3086.8835884980704</c:v>
                </c:pt>
                <c:pt idx="8">
                  <c:v>-11163.872163358741</c:v>
                </c:pt>
                <c:pt idx="9">
                  <c:v>13284.769016001352</c:v>
                </c:pt>
                <c:pt idx="10">
                  <c:v>-8422.6681321305332</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1266.9066123345947</c:v>
                </c:pt>
                <c:pt idx="1">
                  <c:v>1266.9066123345947</c:v>
                </c:pt>
                <c:pt idx="2">
                  <c:v>-6679.4590956874654</c:v>
                </c:pt>
                <c:pt idx="3">
                  <c:v>1266.9066123345947</c:v>
                </c:pt>
                <c:pt idx="4">
                  <c:v>3622.943635028083</c:v>
                </c:pt>
                <c:pt idx="5">
                  <c:v>-6679.4590956874654</c:v>
                </c:pt>
                <c:pt idx="6">
                  <c:v>3622.943635028083</c:v>
                </c:pt>
                <c:pt idx="7">
                  <c:v>-4736.41105424125</c:v>
                </c:pt>
                <c:pt idx="8">
                  <c:v>4736.41105424125</c:v>
                </c:pt>
                <c:pt idx="9">
                  <c:v>-2908.7938857706545</c:v>
                </c:pt>
                <c:pt idx="10">
                  <c:v>3622.943635028083</c:v>
                </c:pt>
              </c:numCache>
            </c:numRef>
          </c:val>
        </c:ser>
        <c:dLbls>
          <c:showLegendKey val="0"/>
          <c:showVal val="0"/>
          <c:showCatName val="0"/>
          <c:showSerName val="0"/>
          <c:showPercent val="0"/>
          <c:showBubbleSize val="0"/>
        </c:dLbls>
        <c:gapWidth val="150"/>
        <c:overlap val="100"/>
        <c:axId val="402512640"/>
        <c:axId val="402499584"/>
      </c:barChart>
      <c:catAx>
        <c:axId val="4025126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02499584"/>
        <c:crosses val="autoZero"/>
        <c:auto val="1"/>
        <c:lblAlgn val="ctr"/>
        <c:lblOffset val="100"/>
        <c:noMultiLvlLbl val="0"/>
      </c:catAx>
      <c:valAx>
        <c:axId val="402499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12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-27437.03665998211</c:v>
                </c:pt>
                <c:pt idx="1">
                  <c:v>-7480.938762547039</c:v>
                </c:pt>
                <c:pt idx="2">
                  <c:v>58959.559122514525</c:v>
                </c:pt>
                <c:pt idx="3">
                  <c:v>-18672.792832441995</c:v>
                </c:pt>
                <c:pt idx="4">
                  <c:v>10394.6108278915</c:v>
                </c:pt>
                <c:pt idx="5">
                  <c:v>-51982.111333679393</c:v>
                </c:pt>
                <c:pt idx="6">
                  <c:v>11791.625593776596</c:v>
                </c:pt>
                <c:pt idx="7">
                  <c:v>-28977.61494644059</c:v>
                </c:pt>
                <c:pt idx="8">
                  <c:v>30556.118192012636</c:v>
                </c:pt>
                <c:pt idx="9">
                  <c:v>-57531.469077095244</c:v>
                </c:pt>
                <c:pt idx="10">
                  <c:v>57531.469077095244</c:v>
                </c:pt>
                <c:pt idx="11">
                  <c:v>18342.021315237951</c:v>
                </c:pt>
                <c:pt idx="12">
                  <c:v>19075.678832826954</c:v>
                </c:pt>
                <c:pt idx="13">
                  <c:v>-37033.559535417677</c:v>
                </c:pt>
                <c:pt idx="14">
                  <c:v>12237.890098396863</c:v>
                </c:pt>
                <c:pt idx="15">
                  <c:v>10394.6108278915</c:v>
                </c:pt>
                <c:pt idx="16">
                  <c:v>11616.076329177704</c:v>
                </c:pt>
              </c:numCache>
            </c:numRef>
          </c:val>
        </c:ser>
        <c:dLbls>
          <c:showLegendKey val="0"/>
          <c:showVal val="0"/>
          <c:showCatName val="0"/>
          <c:showSerName val="0"/>
          <c:showPercent val="0"/>
          <c:showBubbleSize val="0"/>
        </c:dLbls>
        <c:gapWidth val="219"/>
        <c:overlap val="-27"/>
        <c:axId val="402505024"/>
        <c:axId val="402510464"/>
      </c:barChart>
      <c:catAx>
        <c:axId val="4025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10464"/>
        <c:crosses val="autoZero"/>
        <c:auto val="1"/>
        <c:lblAlgn val="ctr"/>
        <c:lblOffset val="100"/>
        <c:noMultiLvlLbl val="0"/>
      </c:catAx>
      <c:valAx>
        <c:axId val="402510464"/>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0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402515360"/>
        <c:axId val="402514272"/>
      </c:barChart>
      <c:catAx>
        <c:axId val="40251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14272"/>
        <c:crosses val="autoZero"/>
        <c:auto val="1"/>
        <c:lblAlgn val="ctr"/>
        <c:lblOffset val="100"/>
        <c:noMultiLvlLbl val="0"/>
      </c:catAx>
      <c:valAx>
        <c:axId val="40251427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15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400050</xdr:colOff>
      <xdr:row>3</xdr:row>
      <xdr:rowOff>80962</xdr:rowOff>
    </xdr:from>
    <xdr:to>
      <xdr:col>14</xdr:col>
      <xdr:colOff>695325</xdr:colOff>
      <xdr:row>17</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268941</xdr:colOff>
      <xdr:row>45</xdr:row>
      <xdr:rowOff>56029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0</xdr:colOff>
      <xdr:row>42</xdr:row>
      <xdr:rowOff>89647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67235</xdr:colOff>
      <xdr:row>0</xdr:row>
      <xdr:rowOff>112063</xdr:rowOff>
    </xdr:from>
    <xdr:to>
      <xdr:col>61</xdr:col>
      <xdr:colOff>56028</xdr:colOff>
      <xdr:row>44</xdr:row>
      <xdr:rowOff>78440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42594</v>
          </cell>
        </row>
        <row r="2">
          <cell r="A2" t="str">
            <v>AC</v>
          </cell>
          <cell r="B2" t="str">
            <v>@ACU6</v>
          </cell>
          <cell r="C2">
            <v>1.409</v>
          </cell>
          <cell r="D2">
            <v>2.6727253999999999E-2</v>
          </cell>
          <cell r="E2">
            <v>-4.9435028248600004E-3</v>
          </cell>
          <cell r="F2">
            <v>-1</v>
          </cell>
          <cell r="K2">
            <v>-8</v>
          </cell>
          <cell r="N2">
            <v>3</v>
          </cell>
          <cell r="U2">
            <v>-8</v>
          </cell>
          <cell r="Y2">
            <v>-1</v>
          </cell>
          <cell r="AC2">
            <v>1</v>
          </cell>
        </row>
        <row r="3">
          <cell r="A3" t="str">
            <v>AD</v>
          </cell>
          <cell r="B3" t="str">
            <v>@ADU6</v>
          </cell>
          <cell r="C3">
            <v>0.7641</v>
          </cell>
          <cell r="D3">
            <v>7.6449999999999999E-3</v>
          </cell>
          <cell r="E3">
            <v>-7.27556190724E-3</v>
          </cell>
          <cell r="F3">
            <v>-1</v>
          </cell>
        </row>
        <row r="4">
          <cell r="A4" t="str">
            <v>AEX</v>
          </cell>
          <cell r="B4" t="str">
            <v>AEXQ6</v>
          </cell>
          <cell r="C4">
            <v>453.75</v>
          </cell>
          <cell r="D4">
            <v>5.1749999999999998</v>
          </cell>
          <cell r="E4">
            <v>-3.0759090409800001E-3</v>
          </cell>
          <cell r="F4">
            <v>-1</v>
          </cell>
        </row>
        <row r="5">
          <cell r="A5" t="str">
            <v>BO</v>
          </cell>
          <cell r="B5" t="str">
            <v>@BOZ6</v>
          </cell>
          <cell r="C5">
            <v>32.450000000000003</v>
          </cell>
          <cell r="D5">
            <v>0.67149999999999999</v>
          </cell>
          <cell r="E5">
            <v>7.4511021421899996E-3</v>
          </cell>
          <cell r="F5">
            <v>1</v>
          </cell>
        </row>
        <row r="6">
          <cell r="A6" t="str">
            <v>BP</v>
          </cell>
          <cell r="B6" t="str">
            <v>@BPU6</v>
          </cell>
          <cell r="C6">
            <v>1.2924</v>
          </cell>
          <cell r="D6">
            <v>1.3270000000000001E-2</v>
          </cell>
          <cell r="E6">
            <v>-4.00739827374E-3</v>
          </cell>
          <cell r="F6">
            <v>-1</v>
          </cell>
        </row>
        <row r="7">
          <cell r="A7" t="str">
            <v>C</v>
          </cell>
          <cell r="B7" t="str">
            <v>@CZ6</v>
          </cell>
          <cell r="C7">
            <v>333</v>
          </cell>
          <cell r="D7">
            <v>7.2750000000000004</v>
          </cell>
          <cell r="E7">
            <v>3.7678975131900001E-3</v>
          </cell>
          <cell r="F7">
            <v>1</v>
          </cell>
        </row>
        <row r="8">
          <cell r="A8" t="str">
            <v>CC</v>
          </cell>
          <cell r="B8" t="str">
            <v>@CCZ6</v>
          </cell>
          <cell r="C8">
            <v>2981</v>
          </cell>
          <cell r="D8">
            <v>63.734642032499998</v>
          </cell>
          <cell r="E8">
            <v>-4.0093551620400004E-3</v>
          </cell>
          <cell r="F8">
            <v>-1</v>
          </cell>
        </row>
        <row r="9">
          <cell r="A9" t="str">
            <v>CD</v>
          </cell>
          <cell r="B9" t="str">
            <v>@CDU6</v>
          </cell>
          <cell r="C9">
            <v>0.77215</v>
          </cell>
          <cell r="D9">
            <v>6.2125000000000001E-3</v>
          </cell>
          <cell r="E9">
            <v>1.2318464730299999E-3</v>
          </cell>
          <cell r="F9">
            <v>1</v>
          </cell>
        </row>
        <row r="10">
          <cell r="A10" t="str">
            <v>CGB</v>
          </cell>
          <cell r="B10" t="str">
            <v>CBU6</v>
          </cell>
          <cell r="C10">
            <v>148.52000000000001</v>
          </cell>
          <cell r="D10">
            <v>0.64400000000000002</v>
          </cell>
          <cell r="E10">
            <v>1.9564190784599998E-3</v>
          </cell>
          <cell r="F10">
            <v>1</v>
          </cell>
        </row>
        <row r="11">
          <cell r="A11" t="str">
            <v>CL</v>
          </cell>
          <cell r="B11" t="str">
            <v>QCLV6</v>
          </cell>
          <cell r="C11">
            <v>45.18</v>
          </cell>
          <cell r="D11">
            <v>1.467817264</v>
          </cell>
          <cell r="E11">
            <v>2.29937916028E-2</v>
          </cell>
          <cell r="F11">
            <v>1</v>
          </cell>
        </row>
        <row r="12">
          <cell r="A12" t="str">
            <v>CT</v>
          </cell>
          <cell r="B12" t="str">
            <v>@CTZ6</v>
          </cell>
          <cell r="C12">
            <v>70.650000000000006</v>
          </cell>
          <cell r="D12">
            <v>1.78</v>
          </cell>
          <cell r="E12">
            <v>-1.6838296688E-2</v>
          </cell>
          <cell r="F12">
            <v>-1</v>
          </cell>
        </row>
        <row r="13">
          <cell r="A13" t="str">
            <v>CU</v>
          </cell>
          <cell r="B13" t="str">
            <v>@EUU6</v>
          </cell>
          <cell r="C13">
            <v>1.11775</v>
          </cell>
          <cell r="D13">
            <v>6.9525000000000003E-3</v>
          </cell>
          <cell r="E13">
            <v>1.65785464647E-3</v>
          </cell>
          <cell r="F13">
            <v>1</v>
          </cell>
        </row>
        <row r="14">
          <cell r="A14" t="str">
            <v>DX</v>
          </cell>
          <cell r="B14" t="str">
            <v>@DXU6</v>
          </cell>
          <cell r="C14">
            <v>95.682000000000002</v>
          </cell>
          <cell r="D14">
            <v>0.60385</v>
          </cell>
          <cell r="E14">
            <v>-1.6277468227599999E-3</v>
          </cell>
          <cell r="F14">
            <v>-1</v>
          </cell>
        </row>
        <row r="15">
          <cell r="A15" t="str">
            <v>EBL</v>
          </cell>
          <cell r="B15" t="str">
            <v>BDU6</v>
          </cell>
          <cell r="C15">
            <v>167.78</v>
          </cell>
          <cell r="D15">
            <v>0.67249999999999999</v>
          </cell>
          <cell r="E15">
            <v>7.1573422402500004E-4</v>
          </cell>
          <cell r="F15">
            <v>1</v>
          </cell>
        </row>
        <row r="16">
          <cell r="A16" t="str">
            <v>EBM</v>
          </cell>
          <cell r="B16" t="str">
            <v>BLU6</v>
          </cell>
          <cell r="C16">
            <v>133.72</v>
          </cell>
          <cell r="D16">
            <v>0.20699999999999999</v>
          </cell>
          <cell r="E16">
            <v>0</v>
          </cell>
          <cell r="F16">
            <v>1</v>
          </cell>
        </row>
        <row r="17">
          <cell r="A17" t="str">
            <v>EBS</v>
          </cell>
          <cell r="B17" t="str">
            <v>EZU6</v>
          </cell>
          <cell r="C17">
            <v>112.02</v>
          </cell>
          <cell r="D17">
            <v>4.1250000000000002E-2</v>
          </cell>
          <cell r="E17">
            <v>-8.9261804873799999E-5</v>
          </cell>
          <cell r="F17">
            <v>-1</v>
          </cell>
        </row>
        <row r="18">
          <cell r="A18" t="str">
            <v>ED</v>
          </cell>
          <cell r="B18" t="str">
            <v>@EDZ6</v>
          </cell>
          <cell r="C18">
            <v>99.114999999999995</v>
          </cell>
          <cell r="D18">
            <v>3.6999999999999998E-2</v>
          </cell>
          <cell r="E18">
            <v>4.0373454453700001E-4</v>
          </cell>
          <cell r="F18">
            <v>1</v>
          </cell>
        </row>
        <row r="19">
          <cell r="A19" t="str">
            <v>EMD</v>
          </cell>
          <cell r="B19" t="str">
            <v>@EMDU6</v>
          </cell>
          <cell r="C19">
            <v>1555.6</v>
          </cell>
          <cell r="D19">
            <v>12.68</v>
          </cell>
          <cell r="E19">
            <v>-1.6045183236E-3</v>
          </cell>
          <cell r="F19">
            <v>-1</v>
          </cell>
        </row>
        <row r="20">
          <cell r="A20" t="str">
            <v>ES</v>
          </cell>
          <cell r="B20" t="str">
            <v>@ESU6</v>
          </cell>
          <cell r="C20">
            <v>2180.25</v>
          </cell>
          <cell r="D20">
            <v>13.925000000000001</v>
          </cell>
          <cell r="E20">
            <v>-6.8752148504599997E-4</v>
          </cell>
          <cell r="F20">
            <v>-1</v>
          </cell>
        </row>
        <row r="21">
          <cell r="A21" t="str">
            <v>FC</v>
          </cell>
          <cell r="B21" t="str">
            <v>@GFV6</v>
          </cell>
          <cell r="C21">
            <v>144.25</v>
          </cell>
          <cell r="D21">
            <v>2.9073486355</v>
          </cell>
          <cell r="E21">
            <v>1.38840680319E-3</v>
          </cell>
          <cell r="F21">
            <v>1</v>
          </cell>
        </row>
        <row r="22">
          <cell r="A22" t="str">
            <v>FCH</v>
          </cell>
          <cell r="B22" t="str">
            <v>MTQ6</v>
          </cell>
          <cell r="C22">
            <v>4500.5</v>
          </cell>
          <cell r="D22">
            <v>53.6</v>
          </cell>
          <cell r="E22">
            <v>-7.7708703374800004E-4</v>
          </cell>
          <cell r="F22">
            <v>-1</v>
          </cell>
        </row>
        <row r="23">
          <cell r="A23" t="str">
            <v>FDX</v>
          </cell>
          <cell r="B23" t="str">
            <v>DXMU6</v>
          </cell>
          <cell r="C23">
            <v>10717</v>
          </cell>
          <cell r="D23">
            <v>131.85</v>
          </cell>
          <cell r="E23">
            <v>-3.2647730982699998E-4</v>
          </cell>
          <cell r="F23">
            <v>-1</v>
          </cell>
        </row>
        <row r="24">
          <cell r="A24" t="str">
            <v>FEI</v>
          </cell>
          <cell r="B24" t="str">
            <v>IEZ6</v>
          </cell>
          <cell r="C24">
            <v>100.34</v>
          </cell>
          <cell r="D24">
            <v>9.4999999999999998E-3</v>
          </cell>
          <cell r="E24">
            <v>0</v>
          </cell>
          <cell r="F24">
            <v>1</v>
          </cell>
        </row>
        <row r="25">
          <cell r="A25" t="str">
            <v>FFI</v>
          </cell>
          <cell r="B25" t="str">
            <v>LFU6</v>
          </cell>
          <cell r="C25">
            <v>6911.5</v>
          </cell>
          <cell r="D25">
            <v>62.575000000000003</v>
          </cell>
          <cell r="E25">
            <v>3.1932651135799998E-3</v>
          </cell>
          <cell r="F25">
            <v>1</v>
          </cell>
        </row>
        <row r="26">
          <cell r="A26" t="str">
            <v>FLG</v>
          </cell>
          <cell r="B26" t="str">
            <v>LGU6</v>
          </cell>
          <cell r="C26">
            <v>132.80000000000001</v>
          </cell>
          <cell r="D26">
            <v>0.71199999999999997</v>
          </cell>
          <cell r="E26">
            <v>1.20627261761E-3</v>
          </cell>
          <cell r="F26">
            <v>1</v>
          </cell>
        </row>
        <row r="27">
          <cell r="A27" t="str">
            <v>FSS</v>
          </cell>
          <cell r="B27" t="str">
            <v>LLZ6</v>
          </cell>
          <cell r="C27">
            <v>99.75</v>
          </cell>
          <cell r="D27">
            <v>2.8000000000000001E-2</v>
          </cell>
          <cell r="E27">
            <v>0</v>
          </cell>
          <cell r="F27">
            <v>1</v>
          </cell>
        </row>
        <row r="28">
          <cell r="A28" t="str">
            <v>FV</v>
          </cell>
          <cell r="B28" t="str">
            <v>@FVU6</v>
          </cell>
          <cell r="C28">
            <v>121.6953125</v>
          </cell>
          <cell r="D28">
            <v>0.32343749999999999</v>
          </cell>
          <cell r="E28">
            <v>2.1874798944899999E-3</v>
          </cell>
          <cell r="F28">
            <v>1</v>
          </cell>
        </row>
        <row r="29">
          <cell r="A29" t="str">
            <v>GC</v>
          </cell>
          <cell r="B29" t="str">
            <v>QGCZ6</v>
          </cell>
          <cell r="C29">
            <v>1343.2</v>
          </cell>
          <cell r="D29">
            <v>16.991562333499999</v>
          </cell>
          <cell r="E29">
            <v>-5.0370370370399998E-3</v>
          </cell>
          <cell r="F29">
            <v>-1</v>
          </cell>
        </row>
        <row r="30">
          <cell r="A30" t="str">
            <v>HCM</v>
          </cell>
          <cell r="B30" t="str">
            <v>HHIQ6</v>
          </cell>
          <cell r="C30">
            <v>9546</v>
          </cell>
          <cell r="D30">
            <v>133.063898099</v>
          </cell>
          <cell r="E30">
            <v>1.35909959652E-2</v>
          </cell>
          <cell r="F30">
            <v>1</v>
          </cell>
        </row>
        <row r="31">
          <cell r="A31" t="str">
            <v>HG</v>
          </cell>
          <cell r="B31" t="str">
            <v>QHGZ6</v>
          </cell>
          <cell r="C31">
            <v>215.15</v>
          </cell>
          <cell r="D31">
            <v>4.0551787385000004</v>
          </cell>
          <cell r="E31">
            <v>-2.32770424373E-2</v>
          </cell>
          <cell r="F31">
            <v>-1</v>
          </cell>
        </row>
        <row r="32">
          <cell r="A32" t="str">
            <v>HIC</v>
          </cell>
          <cell r="B32" t="str">
            <v>HSIQ6</v>
          </cell>
          <cell r="C32">
            <v>22757</v>
          </cell>
          <cell r="D32">
            <v>276.02401360599998</v>
          </cell>
          <cell r="E32">
            <v>8.7322695035499994E-3</v>
          </cell>
          <cell r="F32">
            <v>1</v>
          </cell>
        </row>
        <row r="33">
          <cell r="A33" t="str">
            <v>HO</v>
          </cell>
          <cell r="B33" t="str">
            <v>QHOU6</v>
          </cell>
          <cell r="C33">
            <v>1.4086000000000001</v>
          </cell>
          <cell r="D33">
            <v>4.1445000000000003E-2</v>
          </cell>
          <cell r="E33">
            <v>1.71131489638E-2</v>
          </cell>
          <cell r="F33">
            <v>1</v>
          </cell>
        </row>
        <row r="34">
          <cell r="A34" t="str">
            <v>JY</v>
          </cell>
          <cell r="B34" t="str">
            <v>@JYU6</v>
          </cell>
          <cell r="C34">
            <v>0.9889</v>
          </cell>
          <cell r="D34">
            <v>1.1835E-2</v>
          </cell>
          <cell r="E34">
            <v>6.6164495114000004E-3</v>
          </cell>
          <cell r="F34">
            <v>1</v>
          </cell>
        </row>
        <row r="35">
          <cell r="A35" t="str">
            <v>KC</v>
          </cell>
          <cell r="B35" t="str">
            <v>@KCZ6</v>
          </cell>
          <cell r="C35">
            <v>140.35</v>
          </cell>
          <cell r="D35">
            <v>3.6332512394999998</v>
          </cell>
          <cell r="E35">
            <v>-5.6677293659199999E-3</v>
          </cell>
          <cell r="F35">
            <v>-1</v>
          </cell>
        </row>
        <row r="36">
          <cell r="A36" t="str">
            <v>KW</v>
          </cell>
          <cell r="B36" t="str">
            <v>@KWU6</v>
          </cell>
          <cell r="C36">
            <v>416.25</v>
          </cell>
          <cell r="D36">
            <v>10.0625</v>
          </cell>
          <cell r="E36">
            <v>9.7028502122499995E-3</v>
          </cell>
          <cell r="F36">
            <v>1</v>
          </cell>
        </row>
        <row r="37">
          <cell r="A37" t="str">
            <v>LB</v>
          </cell>
          <cell r="B37" t="str">
            <v>@LBU6</v>
          </cell>
          <cell r="C37">
            <v>324.10000000000002</v>
          </cell>
          <cell r="D37">
            <v>6.53</v>
          </cell>
          <cell r="E37">
            <v>4.6497210167399999E-3</v>
          </cell>
          <cell r="F37">
            <v>1</v>
          </cell>
        </row>
        <row r="38">
          <cell r="A38" t="str">
            <v>LC</v>
          </cell>
          <cell r="B38" t="str">
            <v>@LEV6</v>
          </cell>
          <cell r="C38">
            <v>114.52500000000001</v>
          </cell>
          <cell r="D38">
            <v>1.8625</v>
          </cell>
          <cell r="E38">
            <v>-2.18245307726E-4</v>
          </cell>
          <cell r="F38">
            <v>-1</v>
          </cell>
        </row>
        <row r="39">
          <cell r="A39" t="str">
            <v>LCO</v>
          </cell>
          <cell r="B39" t="str">
            <v>EBZ6</v>
          </cell>
          <cell r="C39">
            <v>47.71</v>
          </cell>
          <cell r="D39">
            <v>1.3939999999999999</v>
          </cell>
          <cell r="E39">
            <v>1.8791373051499999E-2</v>
          </cell>
          <cell r="F39">
            <v>1</v>
          </cell>
        </row>
        <row r="40">
          <cell r="A40" t="str">
            <v>LGO</v>
          </cell>
          <cell r="B40" t="str">
            <v>GASU6</v>
          </cell>
          <cell r="C40">
            <v>409.5</v>
          </cell>
          <cell r="D40">
            <v>13.3838756055</v>
          </cell>
          <cell r="E40">
            <v>1.6129032258100001E-2</v>
          </cell>
          <cell r="F40">
            <v>1</v>
          </cell>
        </row>
        <row r="41">
          <cell r="A41" t="str">
            <v>LH</v>
          </cell>
          <cell r="B41" t="str">
            <v>@HEV6</v>
          </cell>
          <cell r="C41">
            <v>60</v>
          </cell>
          <cell r="D41">
            <v>1.79375</v>
          </cell>
          <cell r="E41">
            <v>2.6957637997399999E-2</v>
          </cell>
          <cell r="F41">
            <v>1</v>
          </cell>
        </row>
        <row r="42">
          <cell r="A42" t="str">
            <v>LRC</v>
          </cell>
          <cell r="B42" t="str">
            <v>LRCU6</v>
          </cell>
          <cell r="C42">
            <v>1803</v>
          </cell>
          <cell r="D42">
            <v>22</v>
          </cell>
          <cell r="E42">
            <v>-2.7654867256600001E-3</v>
          </cell>
          <cell r="F42">
            <v>-1</v>
          </cell>
        </row>
        <row r="43">
          <cell r="A43" t="str">
            <v>LSU</v>
          </cell>
          <cell r="B43" t="str">
            <v>QWV6</v>
          </cell>
          <cell r="C43">
            <v>534.1</v>
          </cell>
          <cell r="D43">
            <v>10.86</v>
          </cell>
          <cell r="E43">
            <v>2.6281208935600001E-3</v>
          </cell>
          <cell r="F43">
            <v>1</v>
          </cell>
        </row>
        <row r="44">
          <cell r="A44" t="str">
            <v>MEM</v>
          </cell>
          <cell r="B44" t="str">
            <v>@MMEU6</v>
          </cell>
          <cell r="C44">
            <v>912.1</v>
          </cell>
          <cell r="D44">
            <v>10.06</v>
          </cell>
          <cell r="E44">
            <v>-3.3872377622399998E-3</v>
          </cell>
          <cell r="F44">
            <v>-1</v>
          </cell>
        </row>
        <row r="45">
          <cell r="A45" t="str">
            <v>MFX</v>
          </cell>
          <cell r="B45" t="str">
            <v>IBQ6</v>
          </cell>
          <cell r="C45">
            <v>8715</v>
          </cell>
          <cell r="D45">
            <v>130.61500000000001</v>
          </cell>
          <cell r="E45">
            <v>1.3903411506500001E-3</v>
          </cell>
          <cell r="F45">
            <v>1</v>
          </cell>
        </row>
        <row r="46">
          <cell r="A46" t="str">
            <v>MP</v>
          </cell>
          <cell r="B46" t="str">
            <v>@PXU6</v>
          </cell>
          <cell r="C46">
            <v>5.4620000000000002E-2</v>
          </cell>
          <cell r="D46">
            <v>5.6400000000000005E-4</v>
          </cell>
          <cell r="E46">
            <v>-2.7387255796999998E-3</v>
          </cell>
          <cell r="F46">
            <v>-1</v>
          </cell>
        </row>
        <row r="47">
          <cell r="A47" t="str">
            <v>MW</v>
          </cell>
          <cell r="B47" t="str">
            <v>@MWU6</v>
          </cell>
          <cell r="C47">
            <v>513.75</v>
          </cell>
          <cell r="D47">
            <v>8.7874999999999996</v>
          </cell>
          <cell r="E47">
            <v>2.03574975174E-2</v>
          </cell>
          <cell r="F47">
            <v>1</v>
          </cell>
        </row>
        <row r="48">
          <cell r="A48" t="str">
            <v>NE</v>
          </cell>
          <cell r="B48" t="str">
            <v>@NEU6</v>
          </cell>
          <cell r="C48">
            <v>0.71850000000000003</v>
          </cell>
          <cell r="D48">
            <v>7.7299999999999999E-3</v>
          </cell>
          <cell r="E48">
            <v>-2.08333333333E-3</v>
          </cell>
          <cell r="F48">
            <v>-1</v>
          </cell>
        </row>
        <row r="49">
          <cell r="A49" t="str">
            <v>NG</v>
          </cell>
          <cell r="B49" t="str">
            <v>QNGV6</v>
          </cell>
          <cell r="C49">
            <v>2.6259999999999999</v>
          </cell>
          <cell r="D49">
            <v>9.6601392499999994E-2</v>
          </cell>
          <cell r="E49">
            <v>1.37201110744E-2</v>
          </cell>
          <cell r="F49">
            <v>1</v>
          </cell>
        </row>
        <row r="50">
          <cell r="A50" t="str">
            <v>NIY</v>
          </cell>
          <cell r="B50" t="str">
            <v>@NKDU6</v>
          </cell>
          <cell r="C50">
            <v>16810</v>
          </cell>
          <cell r="D50">
            <v>307.75</v>
          </cell>
          <cell r="E50">
            <v>-2.9655990510099998E-3</v>
          </cell>
          <cell r="F50">
            <v>-1</v>
          </cell>
        </row>
        <row r="51">
          <cell r="A51" t="str">
            <v>NQ</v>
          </cell>
          <cell r="B51" t="str">
            <v>@NQU6</v>
          </cell>
          <cell r="C51">
            <v>4804.25</v>
          </cell>
          <cell r="D51">
            <v>36.875</v>
          </cell>
          <cell r="E51">
            <v>8.8541666666700001E-4</v>
          </cell>
          <cell r="F51">
            <v>1</v>
          </cell>
        </row>
        <row r="52">
          <cell r="A52" t="str">
            <v>O</v>
          </cell>
          <cell r="B52" t="str">
            <v>@OZ6</v>
          </cell>
          <cell r="C52">
            <v>181.25</v>
          </cell>
          <cell r="D52">
            <v>4.7625000000000002</v>
          </cell>
          <cell r="E52">
            <v>-4.1208791208799996E-3</v>
          </cell>
          <cell r="F52">
            <v>-1</v>
          </cell>
        </row>
        <row r="53">
          <cell r="A53" t="str">
            <v>OJ</v>
          </cell>
          <cell r="B53" t="str">
            <v>@OJU6</v>
          </cell>
          <cell r="C53">
            <v>180.95</v>
          </cell>
          <cell r="D53">
            <v>7.0549999999999997</v>
          </cell>
          <cell r="E53">
            <v>-1.41650776355E-2</v>
          </cell>
          <cell r="F53">
            <v>-1</v>
          </cell>
        </row>
        <row r="54">
          <cell r="A54" t="str">
            <v>PA</v>
          </cell>
          <cell r="B54" t="str">
            <v>QPAU6</v>
          </cell>
          <cell r="C54">
            <v>690.8</v>
          </cell>
          <cell r="D54">
            <v>18.524999999999999</v>
          </cell>
          <cell r="E54">
            <v>-1.44550448106E-3</v>
          </cell>
          <cell r="F54">
            <v>-1</v>
          </cell>
        </row>
        <row r="55">
          <cell r="A55" t="str">
            <v>PL</v>
          </cell>
          <cell r="B55" t="str">
            <v>QPLV6</v>
          </cell>
          <cell r="C55">
            <v>1129.3</v>
          </cell>
          <cell r="D55">
            <v>25.125</v>
          </cell>
          <cell r="E55">
            <v>-2.3688078153399999E-2</v>
          </cell>
          <cell r="F55">
            <v>-1</v>
          </cell>
        </row>
        <row r="56">
          <cell r="A56" t="str">
            <v>RB</v>
          </cell>
          <cell r="B56" t="str">
            <v>QRBU6</v>
          </cell>
          <cell r="C56">
            <v>1.3709</v>
          </cell>
          <cell r="D56">
            <v>4.3284999999999997E-2</v>
          </cell>
          <cell r="E56">
            <v>6.7562605566600003E-3</v>
          </cell>
          <cell r="F56">
            <v>1</v>
          </cell>
        </row>
        <row r="57">
          <cell r="A57" t="str">
            <v>RR</v>
          </cell>
          <cell r="B57" t="str">
            <v>@RRU6</v>
          </cell>
          <cell r="C57">
            <v>9.6549999999999994</v>
          </cell>
          <cell r="D57">
            <v>0.23499999999999999</v>
          </cell>
          <cell r="E57">
            <v>3.6500268384299997E-2</v>
          </cell>
          <cell r="F57">
            <v>1</v>
          </cell>
        </row>
        <row r="58">
          <cell r="A58" t="str">
            <v>RS</v>
          </cell>
          <cell r="B58" t="str">
            <v>@RSX6</v>
          </cell>
          <cell r="C58">
            <v>461.4</v>
          </cell>
          <cell r="D58">
            <v>7.86</v>
          </cell>
          <cell r="E58">
            <v>-1.94678780013E-3</v>
          </cell>
          <cell r="F58">
            <v>-1</v>
          </cell>
        </row>
        <row r="59">
          <cell r="A59" t="str">
            <v>S</v>
          </cell>
          <cell r="B59" t="str">
            <v>@SX6</v>
          </cell>
          <cell r="C59">
            <v>981.75</v>
          </cell>
          <cell r="D59">
            <v>25.75</v>
          </cell>
          <cell r="E59">
            <v>-2.2865853658499999E-3</v>
          </cell>
          <cell r="F59">
            <v>-1</v>
          </cell>
        </row>
        <row r="60">
          <cell r="A60" t="str">
            <v>SB</v>
          </cell>
          <cell r="B60" t="str">
            <v>@SBV6</v>
          </cell>
          <cell r="C60">
            <v>19.71</v>
          </cell>
          <cell r="D60">
            <v>0.54649999999999999</v>
          </cell>
          <cell r="E60">
            <v>5.6122448979600004E-3</v>
          </cell>
          <cell r="F60">
            <v>1</v>
          </cell>
        </row>
        <row r="61">
          <cell r="A61" t="str">
            <v>SF</v>
          </cell>
          <cell r="B61" t="str">
            <v>@SFU6</v>
          </cell>
          <cell r="C61">
            <v>1.0274000000000001</v>
          </cell>
          <cell r="D61">
            <v>7.3499999999999998E-3</v>
          </cell>
          <cell r="E61">
            <v>-6.8086761988099998E-4</v>
          </cell>
          <cell r="F61">
            <v>-1</v>
          </cell>
        </row>
        <row r="62">
          <cell r="A62" t="str">
            <v>SI</v>
          </cell>
          <cell r="B62" t="str">
            <v>QSIU6</v>
          </cell>
          <cell r="C62">
            <v>1970.3</v>
          </cell>
          <cell r="D62">
            <v>46.9</v>
          </cell>
          <cell r="E62">
            <v>-1.5834165834200001E-2</v>
          </cell>
          <cell r="F62">
            <v>-1</v>
          </cell>
        </row>
        <row r="63">
          <cell r="A63" t="str">
            <v>SIN</v>
          </cell>
          <cell r="B63" t="str">
            <v>INQ6</v>
          </cell>
          <cell r="C63">
            <v>8674.5</v>
          </cell>
          <cell r="D63">
            <v>86.643766643500001</v>
          </cell>
          <cell r="E63">
            <v>6.6728559823599999E-3</v>
          </cell>
          <cell r="F63">
            <v>1</v>
          </cell>
        </row>
        <row r="64">
          <cell r="A64" t="str">
            <v>SJB</v>
          </cell>
          <cell r="B64" t="str">
            <v>BBU6</v>
          </cell>
          <cell r="C64">
            <v>151.59</v>
          </cell>
          <cell r="D64">
            <v>0.48049999999999998</v>
          </cell>
          <cell r="E64">
            <v>-4.6155874983500001E-4</v>
          </cell>
          <cell r="F64">
            <v>-1</v>
          </cell>
        </row>
        <row r="65">
          <cell r="A65" t="str">
            <v>SM</v>
          </cell>
          <cell r="B65" t="str">
            <v>@SMZ6</v>
          </cell>
          <cell r="C65">
            <v>327.8</v>
          </cell>
          <cell r="D65">
            <v>9.9749999999999996</v>
          </cell>
          <cell r="E65">
            <v>-6.36556532282E-3</v>
          </cell>
          <cell r="F65">
            <v>-1</v>
          </cell>
        </row>
        <row r="66">
          <cell r="A66" t="str">
            <v>SMI</v>
          </cell>
          <cell r="B66" t="str">
            <v>SWU6</v>
          </cell>
          <cell r="C66">
            <v>8281</v>
          </cell>
          <cell r="D66">
            <v>85</v>
          </cell>
          <cell r="E66">
            <v>0</v>
          </cell>
          <cell r="F66">
            <v>1</v>
          </cell>
        </row>
        <row r="67">
          <cell r="A67" t="str">
            <v>SSG</v>
          </cell>
          <cell r="B67" t="str">
            <v>SSQ6</v>
          </cell>
          <cell r="C67">
            <v>314.3</v>
          </cell>
          <cell r="D67">
            <v>3.8619898195000002</v>
          </cell>
          <cell r="E67">
            <v>-4.1191381495600003E-3</v>
          </cell>
          <cell r="F67">
            <v>-1</v>
          </cell>
        </row>
        <row r="68">
          <cell r="A68" t="str">
            <v>STW</v>
          </cell>
          <cell r="B68" t="str">
            <v>TWQ6</v>
          </cell>
          <cell r="C68">
            <v>340.9</v>
          </cell>
          <cell r="D68">
            <v>3.9238998215000001</v>
          </cell>
          <cell r="E68">
            <v>5.9014458542300001E-3</v>
          </cell>
          <cell r="F68">
            <v>1</v>
          </cell>
        </row>
        <row r="69">
          <cell r="A69" t="str">
            <v>SXE</v>
          </cell>
          <cell r="B69" t="str">
            <v>EXU6</v>
          </cell>
          <cell r="C69">
            <v>3046</v>
          </cell>
          <cell r="D69">
            <v>38.75</v>
          </cell>
          <cell r="E69">
            <v>6.5703022339000004E-4</v>
          </cell>
          <cell r="F69">
            <v>1</v>
          </cell>
        </row>
        <row r="70">
          <cell r="A70" t="str">
            <v>TF</v>
          </cell>
          <cell r="B70" t="str">
            <v>@TFSU6</v>
          </cell>
          <cell r="C70">
            <v>1227.2</v>
          </cell>
          <cell r="D70">
            <v>12.435</v>
          </cell>
          <cell r="E70">
            <v>-8.14796708221E-5</v>
          </cell>
          <cell r="F70">
            <v>-1</v>
          </cell>
        </row>
        <row r="71">
          <cell r="A71" t="str">
            <v>TU</v>
          </cell>
          <cell r="B71" t="str">
            <v>@TUU6</v>
          </cell>
          <cell r="C71">
            <v>109.4140625</v>
          </cell>
          <cell r="D71">
            <v>9.4531249999999997E-2</v>
          </cell>
          <cell r="E71">
            <v>7.8605116478499995E-4</v>
          </cell>
          <cell r="F71">
            <v>1</v>
          </cell>
        </row>
        <row r="72">
          <cell r="A72" t="str">
            <v>TY</v>
          </cell>
          <cell r="B72" t="str">
            <v>@TYU6</v>
          </cell>
          <cell r="C72">
            <v>132.53125</v>
          </cell>
          <cell r="D72">
            <v>0.57890624999999996</v>
          </cell>
          <cell r="E72">
            <v>3.6682049461600002E-3</v>
          </cell>
          <cell r="F72">
            <v>1</v>
          </cell>
        </row>
        <row r="73">
          <cell r="A73" t="str">
            <v>US</v>
          </cell>
          <cell r="B73" t="str">
            <v>@USU6</v>
          </cell>
          <cell r="C73">
            <v>172.96875</v>
          </cell>
          <cell r="D73">
            <v>1.6609375</v>
          </cell>
          <cell r="E73">
            <v>6.9128615608500003E-3</v>
          </cell>
          <cell r="F73">
            <v>1</v>
          </cell>
        </row>
        <row r="74">
          <cell r="A74" t="str">
            <v>VX</v>
          </cell>
          <cell r="B74" t="str">
            <v>@VXU6</v>
          </cell>
          <cell r="C74">
            <v>14.975</v>
          </cell>
          <cell r="D74">
            <v>0.82442623800000003</v>
          </cell>
          <cell r="E74">
            <v>-6.63349917081E-3</v>
          </cell>
          <cell r="F74">
            <v>-1</v>
          </cell>
        </row>
        <row r="75">
          <cell r="A75" t="str">
            <v>W</v>
          </cell>
          <cell r="B75" t="str">
            <v>@WZ6</v>
          </cell>
          <cell r="C75">
            <v>440</v>
          </cell>
          <cell r="D75">
            <v>12.5902477485</v>
          </cell>
          <cell r="E75">
            <v>6.8649885583499997E-3</v>
          </cell>
          <cell r="F75">
            <v>1</v>
          </cell>
        </row>
        <row r="76">
          <cell r="A76" t="str">
            <v>YA</v>
          </cell>
          <cell r="B76" t="str">
            <v>APU6</v>
          </cell>
          <cell r="C76">
            <v>5485</v>
          </cell>
          <cell r="D76">
            <v>49.4</v>
          </cell>
          <cell r="E76">
            <v>3.6596523330300001E-3</v>
          </cell>
          <cell r="F76">
            <v>1</v>
          </cell>
        </row>
        <row r="77">
          <cell r="A77" t="str">
            <v>YB</v>
          </cell>
          <cell r="B77" t="str">
            <v>HBSZ6</v>
          </cell>
          <cell r="C77">
            <v>98.32</v>
          </cell>
          <cell r="D77">
            <v>2.8015067000000001E-2</v>
          </cell>
          <cell r="E77">
            <v>0</v>
          </cell>
          <cell r="F77">
            <v>1</v>
          </cell>
        </row>
        <row r="78">
          <cell r="A78" t="str">
            <v>YM</v>
          </cell>
          <cell r="B78" t="str">
            <v>@YMU6</v>
          </cell>
          <cell r="C78">
            <v>18523</v>
          </cell>
          <cell r="D78">
            <v>118.4</v>
          </cell>
          <cell r="E78">
            <v>-2.2623215728499999E-3</v>
          </cell>
          <cell r="F78">
            <v>-1</v>
          </cell>
        </row>
        <row r="79">
          <cell r="A79" t="str">
            <v>YT2</v>
          </cell>
          <cell r="B79" t="str">
            <v>HTSU6</v>
          </cell>
          <cell r="C79">
            <v>98.61</v>
          </cell>
          <cell r="D79">
            <v>5.8999999999999997E-2</v>
          </cell>
          <cell r="E79">
            <v>-3.0413625304099998E-4</v>
          </cell>
          <cell r="F79">
            <v>-1</v>
          </cell>
        </row>
        <row r="80">
          <cell r="A80" t="str">
            <v>YT3</v>
          </cell>
          <cell r="B80" t="str">
            <v>HXSU6</v>
          </cell>
          <cell r="C80">
            <v>98.08</v>
          </cell>
          <cell r="D80">
            <v>7.4999999999999997E-2</v>
          </cell>
          <cell r="E80">
            <v>-5.6045243796799999E-4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42594</v>
          </cell>
          <cell r="C1" t="str">
            <v>ATR20</v>
          </cell>
        </row>
        <row r="2">
          <cell r="B2">
            <v>1.0619000000000001</v>
          </cell>
          <cell r="C2">
            <v>8.4650000000000003E-3</v>
          </cell>
        </row>
        <row r="3">
          <cell r="B3">
            <v>1.6877352299999999</v>
          </cell>
          <cell r="C3">
            <v>1.94996115E-2</v>
          </cell>
        </row>
        <row r="4">
          <cell r="B4">
            <v>77.45</v>
          </cell>
          <cell r="C4">
            <v>0.87839999999999996</v>
          </cell>
        </row>
        <row r="5">
          <cell r="B5">
            <v>0.74560000000000004</v>
          </cell>
          <cell r="C5">
            <v>7.6800000000000002E-3</v>
          </cell>
        </row>
        <row r="6">
          <cell r="B6">
            <v>0.76500000000000001</v>
          </cell>
          <cell r="C6">
            <v>7.5500000000000003E-3</v>
          </cell>
        </row>
        <row r="7">
          <cell r="B7">
            <v>0.99160000000000004</v>
          </cell>
          <cell r="C7">
            <v>7.8050000000000003E-3</v>
          </cell>
        </row>
        <row r="8">
          <cell r="B8">
            <v>0.93340000000000001</v>
          </cell>
          <cell r="C8">
            <v>9.1400000000000006E-3</v>
          </cell>
        </row>
        <row r="9">
          <cell r="B9">
            <v>0.75199278000000003</v>
          </cell>
          <cell r="C9">
            <v>5.8031599999999999E-3</v>
          </cell>
        </row>
        <row r="10">
          <cell r="B10">
            <v>0.70209927999999999</v>
          </cell>
          <cell r="C10">
            <v>6.447164E-3</v>
          </cell>
        </row>
        <row r="11">
          <cell r="B11">
            <v>1.7918000000000001</v>
          </cell>
          <cell r="C11">
            <v>2.2995000000000002E-2</v>
          </cell>
        </row>
        <row r="12">
          <cell r="B12">
            <v>1.2579</v>
          </cell>
          <cell r="C12">
            <v>1.3405E-2</v>
          </cell>
        </row>
        <row r="13">
          <cell r="B13">
            <v>1.2904</v>
          </cell>
          <cell r="C13">
            <v>1.303E-2</v>
          </cell>
        </row>
        <row r="14">
          <cell r="B14">
            <v>130.66300000000001</v>
          </cell>
          <cell r="C14">
            <v>2.0564</v>
          </cell>
        </row>
        <row r="15">
          <cell r="B15">
            <v>1.6732</v>
          </cell>
          <cell r="C15">
            <v>1.8290000000000001E-2</v>
          </cell>
        </row>
        <row r="16">
          <cell r="B16">
            <v>1.5503</v>
          </cell>
          <cell r="C16">
            <v>1.4865E-2</v>
          </cell>
        </row>
        <row r="17">
          <cell r="B17">
            <v>1.4594</v>
          </cell>
          <cell r="C17">
            <v>1.264E-2</v>
          </cell>
        </row>
        <row r="18">
          <cell r="B18">
            <v>1.4471000000000001</v>
          </cell>
          <cell r="C18">
            <v>1.052E-2</v>
          </cell>
        </row>
        <row r="19">
          <cell r="B19">
            <v>113.02</v>
          </cell>
          <cell r="C19">
            <v>1.2235</v>
          </cell>
        </row>
        <row r="20">
          <cell r="B20">
            <v>1.0883</v>
          </cell>
          <cell r="C20">
            <v>4.2249999999999996E-3</v>
          </cell>
        </row>
        <row r="21">
          <cell r="B21">
            <v>0.86482000000000003</v>
          </cell>
          <cell r="C21">
            <v>7.3239999999999998E-3</v>
          </cell>
        </row>
        <row r="22">
          <cell r="B22">
            <v>1.1164000000000001</v>
          </cell>
          <cell r="C22">
            <v>6.5050000000000004E-3</v>
          </cell>
        </row>
        <row r="23">
          <cell r="B23">
            <v>78.110964440000004</v>
          </cell>
          <cell r="C23">
            <v>0.97554450599999998</v>
          </cell>
        </row>
        <row r="24">
          <cell r="B24">
            <v>72.912869119999996</v>
          </cell>
          <cell r="C24">
            <v>0.88296866500000004</v>
          </cell>
        </row>
        <row r="25">
          <cell r="B25">
            <v>103.87451958</v>
          </cell>
          <cell r="C25">
            <v>1.069453735</v>
          </cell>
        </row>
        <row r="26">
          <cell r="B26">
            <v>0.72040919000000003</v>
          </cell>
          <cell r="C26">
            <v>7.8156065000000007E-3</v>
          </cell>
        </row>
        <row r="27">
          <cell r="B27">
            <v>0.97460000000000002</v>
          </cell>
          <cell r="C27">
            <v>6.685E-3</v>
          </cell>
        </row>
        <row r="28">
          <cell r="B28">
            <v>1.2961</v>
          </cell>
          <cell r="C28">
            <v>1.0085E-2</v>
          </cell>
        </row>
        <row r="29">
          <cell r="B29">
            <v>101.23</v>
          </cell>
          <cell r="C29">
            <v>1.2609999999999999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7.xml"/><Relationship Id="rId1" Type="http://schemas.openxmlformats.org/officeDocument/2006/relationships/printerSettings" Target="../printerSettings/printerSettings37.bin"/><Relationship Id="rId4" Type="http://schemas.openxmlformats.org/officeDocument/2006/relationships/comments" Target="../comments3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printerSettings" Target="../printerSettings/printerSettings38.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8.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45"/>
  <sheetViews>
    <sheetView tabSelected="1" topLeftCell="L19" zoomScaleNormal="100" workbookViewId="0">
      <selection activeCell="C73" sqref="C73"/>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9" bestFit="1" customWidth="1"/>
    <col min="8" max="8" width="10.85546875" customWidth="1"/>
    <col min="9" max="9" width="11.42578125" customWidth="1"/>
    <col min="10" max="10" width="12.7109375" customWidth="1"/>
    <col min="11" max="11" width="13.28515625" style="1" customWidth="1"/>
    <col min="12" max="18" width="12.7109375" customWidth="1"/>
    <col min="19" max="19" width="12.140625" style="1" customWidth="1"/>
    <col min="20" max="20" width="12.42578125" style="1" customWidth="1"/>
    <col min="21" max="21" width="14.28515625" style="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 min="66" max="66" width="9.5703125" bestFit="1" customWidth="1"/>
  </cols>
  <sheetData>
    <row r="1" spans="1:21" x14ac:dyDescent="0.25">
      <c r="B1" s="194">
        <f ca="1">TODAY()</f>
        <v>42597</v>
      </c>
      <c r="C1" t="s">
        <v>1173</v>
      </c>
      <c r="D1" s="194"/>
      <c r="H1" t="s">
        <v>1321</v>
      </c>
      <c r="I1" t="s">
        <v>1322</v>
      </c>
      <c r="J1" t="s">
        <v>1180</v>
      </c>
      <c r="K1" t="s">
        <v>1323</v>
      </c>
      <c r="L1" t="s">
        <v>1176</v>
      </c>
      <c r="M1" t="s">
        <v>1324</v>
      </c>
      <c r="S1"/>
      <c r="T1"/>
      <c r="U1"/>
    </row>
    <row r="2" spans="1:21" x14ac:dyDescent="0.25">
      <c r="B2" s="194">
        <f>CurrInfo!G12</f>
        <v>42594</v>
      </c>
      <c r="C2" t="s">
        <v>1124</v>
      </c>
      <c r="D2" s="194"/>
      <c r="G2" s="373" t="str">
        <f>"Regular $1mil "&amp;G71</f>
        <v>Regular $1mil 20160812</v>
      </c>
      <c r="H2" s="374">
        <f>C71</f>
        <v>-3551.0376537920247</v>
      </c>
      <c r="I2" s="374">
        <f>C32</f>
        <v>103406.91552534608</v>
      </c>
      <c r="J2" s="374">
        <f>D71</f>
        <v>1091.2799834234288</v>
      </c>
      <c r="K2" s="374">
        <f>D32</f>
        <v>50776.861918080831</v>
      </c>
      <c r="L2" s="374">
        <f>E71</f>
        <v>-3067.229050180953</v>
      </c>
      <c r="M2" s="374">
        <f t="shared" ref="M2" si="0">E32</f>
        <v>-93403.155991795007</v>
      </c>
      <c r="S2"/>
      <c r="T2"/>
      <c r="U2"/>
    </row>
    <row r="3" spans="1:21" x14ac:dyDescent="0.25">
      <c r="B3" s="139">
        <f>[3]futuresATR!$A$1</f>
        <v>42594</v>
      </c>
      <c r="C3" t="s">
        <v>1125</v>
      </c>
      <c r="E3" s="104"/>
      <c r="K3"/>
      <c r="S3"/>
      <c r="T3"/>
      <c r="U3"/>
    </row>
    <row r="4" spans="1:21" x14ac:dyDescent="0.25">
      <c r="A4" t="s">
        <v>1277</v>
      </c>
      <c r="E4" s="104"/>
      <c r="H4" s="267"/>
      <c r="K4"/>
      <c r="S4"/>
      <c r="T4"/>
      <c r="U4"/>
    </row>
    <row r="5" spans="1:21" x14ac:dyDescent="0.25">
      <c r="A5" t="s">
        <v>1150</v>
      </c>
      <c r="B5" t="s">
        <v>1155</v>
      </c>
      <c r="E5" s="104"/>
      <c r="H5" s="267"/>
      <c r="K5"/>
      <c r="S5"/>
      <c r="T5"/>
      <c r="U5"/>
    </row>
    <row r="6" spans="1:21" x14ac:dyDescent="0.25">
      <c r="A6" t="s">
        <v>1150</v>
      </c>
      <c r="B6" s="267" t="s">
        <v>1170</v>
      </c>
      <c r="E6" s="104"/>
      <c r="H6" s="267"/>
      <c r="K6"/>
      <c r="S6"/>
      <c r="T6"/>
      <c r="U6"/>
    </row>
    <row r="7" spans="1:21" x14ac:dyDescent="0.25">
      <c r="A7" t="s">
        <v>1150</v>
      </c>
      <c r="B7" s="267" t="s">
        <v>1302</v>
      </c>
      <c r="D7" s="104"/>
      <c r="E7" s="104"/>
      <c r="H7" s="267"/>
      <c r="K7"/>
      <c r="S7"/>
      <c r="T7"/>
      <c r="U7"/>
    </row>
    <row r="8" spans="1:21" x14ac:dyDescent="0.25">
      <c r="A8" t="s">
        <v>1150</v>
      </c>
      <c r="B8" s="267" t="s">
        <v>1303</v>
      </c>
      <c r="E8" s="104"/>
      <c r="H8" s="267"/>
      <c r="K8"/>
      <c r="S8"/>
      <c r="T8"/>
      <c r="U8"/>
    </row>
    <row r="9" spans="1:21" x14ac:dyDescent="0.25">
      <c r="A9" t="s">
        <v>1150</v>
      </c>
      <c r="B9" s="267" t="s">
        <v>1304</v>
      </c>
      <c r="K9"/>
      <c r="S9"/>
      <c r="T9"/>
      <c r="U9"/>
    </row>
    <row r="10" spans="1:21" x14ac:dyDescent="0.25">
      <c r="A10" t="s">
        <v>1150</v>
      </c>
      <c r="B10" s="267" t="s">
        <v>1305</v>
      </c>
      <c r="E10" s="104"/>
      <c r="H10" s="267"/>
      <c r="K10"/>
      <c r="S10"/>
      <c r="T10"/>
      <c r="U10"/>
    </row>
    <row r="11" spans="1:21" x14ac:dyDescent="0.25">
      <c r="A11" t="s">
        <v>1150</v>
      </c>
      <c r="B11" s="267" t="s">
        <v>1320</v>
      </c>
      <c r="E11" s="104"/>
      <c r="H11" s="267"/>
      <c r="S11"/>
      <c r="T11"/>
      <c r="U11"/>
    </row>
    <row r="12" spans="1:21" x14ac:dyDescent="0.25">
      <c r="A12" t="s">
        <v>1150</v>
      </c>
      <c r="B12" s="372" t="s">
        <v>1319</v>
      </c>
      <c r="E12" s="104"/>
      <c r="H12" s="267"/>
      <c r="K12"/>
      <c r="S12"/>
      <c r="T12"/>
      <c r="U12"/>
    </row>
    <row r="13" spans="1:21" x14ac:dyDescent="0.25">
      <c r="A13" t="s">
        <v>1150</v>
      </c>
      <c r="B13" s="370" t="s">
        <v>1316</v>
      </c>
      <c r="E13" s="104"/>
      <c r="H13" s="267"/>
      <c r="K13"/>
      <c r="S13"/>
      <c r="T13"/>
      <c r="U13"/>
    </row>
    <row r="14" spans="1:21" x14ac:dyDescent="0.25">
      <c r="A14" t="s">
        <v>1150</v>
      </c>
      <c r="B14" t="s">
        <v>1306</v>
      </c>
      <c r="E14" s="104"/>
      <c r="H14" s="267"/>
      <c r="K14"/>
      <c r="S14"/>
      <c r="T14"/>
      <c r="U14"/>
    </row>
    <row r="15" spans="1:21" x14ac:dyDescent="0.25">
      <c r="A15" t="s">
        <v>1150</v>
      </c>
      <c r="B15" s="267" t="s">
        <v>1212</v>
      </c>
      <c r="E15" s="104"/>
      <c r="H15" s="267"/>
      <c r="K15"/>
      <c r="S15"/>
      <c r="T15"/>
      <c r="U15"/>
    </row>
    <row r="16" spans="1:21" x14ac:dyDescent="0.25">
      <c r="B16" s="267" t="s">
        <v>1250</v>
      </c>
      <c r="E16" s="104"/>
      <c r="K16"/>
      <c r="S16"/>
      <c r="T16"/>
      <c r="U16"/>
    </row>
    <row r="17" spans="1:29" x14ac:dyDescent="0.25">
      <c r="B17" s="267" t="s">
        <v>1211</v>
      </c>
      <c r="E17" s="104"/>
      <c r="K17"/>
      <c r="S17"/>
      <c r="T17"/>
      <c r="U17"/>
    </row>
    <row r="18" spans="1:29" x14ac:dyDescent="0.25">
      <c r="B18" t="s">
        <v>1317</v>
      </c>
      <c r="H18" s="268"/>
    </row>
    <row r="19" spans="1:29" x14ac:dyDescent="0.25">
      <c r="B19" t="s">
        <v>1174</v>
      </c>
      <c r="E19" s="104"/>
      <c r="F19" s="104"/>
    </row>
    <row r="20" spans="1:29" x14ac:dyDescent="0.25">
      <c r="B20" s="268" t="s">
        <v>1244</v>
      </c>
      <c r="D20" s="104"/>
      <c r="E20" s="104"/>
      <c r="F20" s="104"/>
    </row>
    <row r="21" spans="1:29" ht="15.75" thickBot="1" x14ac:dyDescent="0.3">
      <c r="B21" s="371" t="s">
        <v>1318</v>
      </c>
      <c r="AB21" s="1"/>
    </row>
    <row r="22" spans="1:29" ht="15.75" thickBot="1" x14ac:dyDescent="0.3">
      <c r="F22" s="384" t="s">
        <v>1308</v>
      </c>
      <c r="G22" s="385"/>
      <c r="H22" s="385"/>
      <c r="I22" s="385"/>
      <c r="J22" s="384" t="s">
        <v>1262</v>
      </c>
      <c r="K22" s="385"/>
      <c r="L22" s="385"/>
      <c r="M22" s="385"/>
      <c r="N22" s="386"/>
      <c r="O22" s="384" t="s">
        <v>1274</v>
      </c>
      <c r="P22" s="385"/>
      <c r="Q22" s="385"/>
      <c r="R22" s="386"/>
      <c r="S22" s="384" t="s">
        <v>1263</v>
      </c>
      <c r="T22" s="385"/>
      <c r="U22" s="385"/>
      <c r="V22" s="386"/>
      <c r="W22" s="384" t="s">
        <v>1264</v>
      </c>
      <c r="X22" s="385"/>
      <c r="Y22" s="385"/>
      <c r="Z22" s="386"/>
      <c r="AA22" s="345"/>
      <c r="AB22" s="301"/>
      <c r="AC22" s="301"/>
    </row>
    <row r="23" spans="1:29" x14ac:dyDescent="0.25">
      <c r="F23" s="383" t="s">
        <v>1307</v>
      </c>
      <c r="G23" s="383"/>
      <c r="H23" s="383"/>
      <c r="I23" s="383"/>
      <c r="J23" s="389" t="s">
        <v>1300</v>
      </c>
      <c r="K23" s="389"/>
      <c r="L23" s="389"/>
      <c r="M23" s="389"/>
      <c r="N23" s="389"/>
      <c r="O23" s="391" t="s">
        <v>1312</v>
      </c>
      <c r="P23" s="391"/>
      <c r="Q23" s="391"/>
      <c r="R23" s="391"/>
      <c r="S23" s="387" t="s">
        <v>1232</v>
      </c>
      <c r="T23" s="387"/>
      <c r="U23" s="387"/>
      <c r="V23" s="387"/>
      <c r="W23" s="296" t="s">
        <v>1292</v>
      </c>
      <c r="AB23" s="301"/>
      <c r="AC23" s="301"/>
    </row>
    <row r="24" spans="1:29" x14ac:dyDescent="0.25">
      <c r="A24">
        <v>71</v>
      </c>
      <c r="F24" s="392" t="s">
        <v>1327</v>
      </c>
      <c r="G24" s="392"/>
      <c r="H24" s="392"/>
      <c r="I24" s="392"/>
      <c r="J24" s="390" t="s">
        <v>1230</v>
      </c>
      <c r="K24" s="390"/>
      <c r="L24" s="390"/>
      <c r="M24" s="390"/>
      <c r="N24" s="390"/>
      <c r="O24" s="395" t="s">
        <v>1260</v>
      </c>
      <c r="P24" s="395"/>
      <c r="Q24" s="395"/>
      <c r="R24" s="395"/>
      <c r="S24" s="388" t="s">
        <v>1261</v>
      </c>
      <c r="T24" s="388"/>
      <c r="U24" s="388"/>
      <c r="V24" s="388"/>
      <c r="W24" s="297" t="s">
        <v>1225</v>
      </c>
      <c r="AB24" s="1"/>
      <c r="AC24" s="1"/>
    </row>
    <row r="25" spans="1:29" x14ac:dyDescent="0.25">
      <c r="A25">
        <v>52</v>
      </c>
      <c r="J25" s="397" t="s">
        <v>1233</v>
      </c>
      <c r="K25" s="397"/>
      <c r="L25" s="397"/>
      <c r="M25" s="397"/>
      <c r="N25" s="397"/>
      <c r="O25" s="396" t="s">
        <v>1275</v>
      </c>
      <c r="P25" s="396"/>
      <c r="Q25" s="396"/>
      <c r="R25" s="396"/>
      <c r="S25" s="399" t="s">
        <v>1309</v>
      </c>
      <c r="T25" s="399"/>
      <c r="U25" s="399"/>
      <c r="V25" s="399"/>
      <c r="W25" s="298" t="s">
        <v>1293</v>
      </c>
      <c r="X25" s="253"/>
      <c r="Y25" s="1"/>
      <c r="Z25" s="1"/>
      <c r="AA25" s="1"/>
      <c r="AB25" s="1"/>
      <c r="AC25" s="1"/>
    </row>
    <row r="26" spans="1:29" x14ac:dyDescent="0.25">
      <c r="J26" s="398" t="s">
        <v>1234</v>
      </c>
      <c r="K26" s="398"/>
      <c r="L26" s="398"/>
      <c r="M26" s="398"/>
      <c r="N26" s="398"/>
      <c r="O26" s="300"/>
      <c r="P26" s="300"/>
      <c r="W26" s="299" t="s">
        <v>1226</v>
      </c>
      <c r="X26" s="301"/>
      <c r="Y26" s="301"/>
      <c r="Z26" s="301"/>
      <c r="AA26" s="301"/>
    </row>
    <row r="27" spans="1:29" x14ac:dyDescent="0.25">
      <c r="W27" s="302" t="s">
        <v>1259</v>
      </c>
      <c r="X27" s="301"/>
      <c r="Y27" s="301"/>
      <c r="Z27" s="301"/>
      <c r="AA27" s="301"/>
    </row>
    <row r="28" spans="1:29" x14ac:dyDescent="0.25">
      <c r="W28" s="350" t="s">
        <v>1299</v>
      </c>
      <c r="X28" s="301"/>
      <c r="Y28" s="301"/>
      <c r="Z28" s="301"/>
      <c r="AA28" s="301"/>
    </row>
    <row r="29" spans="1:29" x14ac:dyDescent="0.25">
      <c r="A29" s="193">
        <f ca="1">A31/A30</f>
        <v>0.22390608379214921</v>
      </c>
      <c r="B29" s="193">
        <f ca="1">B31/B30</f>
        <v>1.0382734413331696</v>
      </c>
      <c r="C29" s="193">
        <f t="shared" ref="C29:E29" si="1">C31/C30</f>
        <v>0.41350302076730716</v>
      </c>
      <c r="D29" s="193">
        <f t="shared" si="1"/>
        <v>0.1688551010230516</v>
      </c>
      <c r="E29" s="193">
        <f t="shared" si="1"/>
        <v>-0.16941638293186398</v>
      </c>
      <c r="F29" s="193"/>
      <c r="H29" s="193"/>
      <c r="I29" s="193"/>
      <c r="J29" t="s">
        <v>1330</v>
      </c>
      <c r="K29" s="193" t="e">
        <f t="shared" ref="K29:L29" si="2">K31/K30</f>
        <v>#DIV/0!</v>
      </c>
      <c r="L29" s="193">
        <f t="shared" si="2"/>
        <v>0.16267698916118792</v>
      </c>
      <c r="M29" s="193">
        <f>M31/M30</f>
        <v>-0.13545782001328016</v>
      </c>
      <c r="N29" s="193">
        <f>N31/N30</f>
        <v>-8.1104496990088246E-2</v>
      </c>
      <c r="O29" s="193">
        <f t="shared" ref="O29" si="3">O31/O30</f>
        <v>0.10405739433584228</v>
      </c>
      <c r="P29" s="193">
        <f t="shared" ref="P29:Q29" si="4">P31/P30</f>
        <v>0.57998349483905676</v>
      </c>
      <c r="Q29" s="193">
        <f t="shared" si="4"/>
        <v>-0.14787142511202886</v>
      </c>
      <c r="R29" s="193">
        <f t="shared" ref="R29" si="5">R31/R30</f>
        <v>-0.14559206563416216</v>
      </c>
      <c r="S29" s="193">
        <f t="shared" ref="S29:U29" si="6">S31/S30</f>
        <v>-4.5469179043942778E-2</v>
      </c>
      <c r="T29" s="193">
        <f t="shared" ref="T29" si="7">T31/T30</f>
        <v>7.8385648924817516E-2</v>
      </c>
      <c r="U29" s="193">
        <f t="shared" si="6"/>
        <v>0.20828971518646588</v>
      </c>
      <c r="V29" s="193">
        <f t="shared" ref="V29" si="8">V31/V30</f>
        <v>-2.3103404045336437E-2</v>
      </c>
      <c r="W29" s="193">
        <f t="shared" ref="W29:X29" si="9">W31/W30</f>
        <v>0.20246951491600573</v>
      </c>
      <c r="X29" s="193">
        <f t="shared" si="9"/>
        <v>6.7883015551110357E-2</v>
      </c>
      <c r="Y29" s="193">
        <f t="shared" ref="Y29:Z29" si="10">Y31/Y30</f>
        <v>0.43358743541281353</v>
      </c>
      <c r="Z29" s="193">
        <f t="shared" si="10"/>
        <v>-0.16745330843145639</v>
      </c>
      <c r="AA29" s="193">
        <f t="shared" ref="AA29" si="11">AA31/AA30</f>
        <v>0.71584632304075146</v>
      </c>
      <c r="AB29" s="193"/>
    </row>
    <row r="30" spans="1:29" x14ac:dyDescent="0.25">
      <c r="A30" s="375">
        <f t="array" aca="1" ref="A30" ca="1">STDEV(IF(A41:A70&lt;0,A41:A70))</f>
        <v>9623.3068326668235</v>
      </c>
      <c r="B30" s="375">
        <f t="array" aca="1" ref="B30" ca="1">STDEV(IF(B41:B70&lt;0,B41:B70))</f>
        <v>7474.3505898674075</v>
      </c>
      <c r="C30" s="375">
        <f t="array" ref="C30">STDEV(IF(C47:C70&lt;0,C47:C70))</f>
        <v>10777.627148150785</v>
      </c>
      <c r="D30" s="375">
        <f t="array" ref="D30">STDEV(IF(D47:D70&lt;0,D47:D70))</f>
        <v>12260.408883520215</v>
      </c>
      <c r="E30" s="375">
        <f t="array" ref="E30">STDEV(IF(E47:E70&lt;0,E47:E70))</f>
        <v>22217.431931682742</v>
      </c>
      <c r="F30" s="137"/>
      <c r="H30" s="137"/>
      <c r="I30" s="137"/>
      <c r="J30" s="112" t="s">
        <v>1203</v>
      </c>
      <c r="K30" s="375" t="e">
        <f t="array" ref="K30">STDEV(IF(K41:K72&lt;0,K41:K72))</f>
        <v>#DIV/0!</v>
      </c>
      <c r="L30" s="375">
        <f t="array" ref="L30">STDEV(IF(L41:L70&lt;0,L41:L70))</f>
        <v>23909.175354454379</v>
      </c>
      <c r="M30" s="375">
        <f t="array" ref="M30">STDEV(IF(M41:M70&lt;0,M41:M70))</f>
        <v>28713.533553162128</v>
      </c>
      <c r="N30" s="375">
        <f t="array" ref="N30">STDEV(IF(N41:N70&lt;0,N41:N70))</f>
        <v>19197.714002614201</v>
      </c>
      <c r="O30" s="375">
        <f t="array" ref="O30">STDEV(IF(O41:O70&lt;0,O41:O70))</f>
        <v>14963.097504790074</v>
      </c>
      <c r="P30" s="375">
        <f t="array" ref="P30">STDEV(IF(P41:P70&lt;0,P41:P70))</f>
        <v>7364.2238585218502</v>
      </c>
      <c r="Q30" s="375">
        <f t="array" ref="Q30">STDEV(IF(Q41:Q70&lt;0,Q41:Q70))</f>
        <v>9093.0484864399787</v>
      </c>
      <c r="R30" s="375">
        <f t="array" ref="R30">STDEV(IF(R41:R70&lt;0,R41:R70))</f>
        <v>11305.151325742581</v>
      </c>
      <c r="S30" s="375">
        <f t="array" ref="S30">STDEV(IF(S41:S70&lt;0,S41:S70))</f>
        <v>11828.665645491943</v>
      </c>
      <c r="T30" s="375">
        <f t="array" ref="T30">STDEV(IF(T41:T70&lt;0,T41:T70))</f>
        <v>6861.4564459582325</v>
      </c>
      <c r="U30" s="375">
        <f t="array" ref="U30">STDEV(IF(U41:U70&lt;0,U41:U70))</f>
        <v>11172.468262736602</v>
      </c>
      <c r="V30" s="375">
        <f t="array" ref="V30">STDEV(IF(V41:V70&lt;0,V41:V70))</f>
        <v>11583.942826254324</v>
      </c>
      <c r="W30" s="375">
        <f t="array" ref="W30">STDEV(IF(W41:W70&lt;0,W41:W70))</f>
        <v>13878.943559605646</v>
      </c>
      <c r="X30" s="375">
        <f t="array" ref="X30">STDEV(IF(X41:X70&lt;0,X41:X70))</f>
        <v>10425.932225678567</v>
      </c>
      <c r="Y30" s="375">
        <f t="array" ref="Y30">STDEV(IF(Y41:Y70&lt;0,Y41:Y70))</f>
        <v>7064.5969948562451</v>
      </c>
      <c r="Z30" s="375">
        <f t="array" ref="Z30">STDEV(IF(Z41:Z70&lt;0,Z41:Z70))</f>
        <v>9364.136744372654</v>
      </c>
      <c r="AA30" s="375">
        <f t="array" ref="AA30">STDEV(IF(AA41:AA70&lt;0,AA41:AA70))</f>
        <v>5812.6528919170114</v>
      </c>
      <c r="AB30" s="137"/>
    </row>
    <row r="31" spans="1:29" ht="15.75" thickBot="1" x14ac:dyDescent="0.3">
      <c r="A31" s="374">
        <f t="shared" ref="A31" ca="1" si="12">AVERAGE(A41:A70)</f>
        <v>2154.71694603266</v>
      </c>
      <c r="B31" s="374">
        <f ca="1">AVERAGE(B41:B70)</f>
        <v>7760.4197086722397</v>
      </c>
      <c r="C31" s="374">
        <f>AVERAGE(C47:C70)</f>
        <v>4456.5813824640873</v>
      </c>
      <c r="D31" s="374">
        <f t="shared" ref="D31" si="13">AVERAGE(D47:D70)</f>
        <v>2070.2325806107251</v>
      </c>
      <c r="E31" s="374">
        <f>AVERAGE(E47:E70)</f>
        <v>-3763.9969559005858</v>
      </c>
      <c r="F31" s="186"/>
      <c r="G31" s="186"/>
      <c r="H31" s="186"/>
      <c r="I31" s="186"/>
      <c r="J31" s="303" t="s">
        <v>1200</v>
      </c>
      <c r="K31" s="374">
        <f t="shared" ref="K31:AA31" si="14">AVERAGE(K41:K70)</f>
        <v>82390.046842088195</v>
      </c>
      <c r="L31" s="374">
        <f t="shared" si="14"/>
        <v>3889.4726599895162</v>
      </c>
      <c r="M31" s="374">
        <f t="shared" si="14"/>
        <v>-3889.4726599895162</v>
      </c>
      <c r="N31" s="374">
        <f t="shared" si="14"/>
        <v>-1557.0209375415984</v>
      </c>
      <c r="O31" s="374">
        <f t="shared" si="14"/>
        <v>1557.0209375415984</v>
      </c>
      <c r="P31" s="374">
        <f t="shared" si="14"/>
        <v>4271.1282902426665</v>
      </c>
      <c r="Q31" s="374">
        <f t="shared" si="14"/>
        <v>-1344.6020383026566</v>
      </c>
      <c r="R31" s="374">
        <f t="shared" si="14"/>
        <v>-1645.9403338216493</v>
      </c>
      <c r="S31" s="374">
        <f t="shared" si="14"/>
        <v>-537.83971608580816</v>
      </c>
      <c r="T31" s="374">
        <f t="shared" si="14"/>
        <v>537.83971608580816</v>
      </c>
      <c r="U31" s="374">
        <f t="shared" si="14"/>
        <v>2327.1102323752361</v>
      </c>
      <c r="V31" s="374">
        <f t="shared" si="14"/>
        <v>-267.62851155303014</v>
      </c>
      <c r="W31" s="374">
        <f t="shared" si="14"/>
        <v>2810.062970059977</v>
      </c>
      <c r="X31" s="374">
        <f t="shared" si="14"/>
        <v>707.74371941056074</v>
      </c>
      <c r="Y31" s="374">
        <f t="shared" si="14"/>
        <v>3063.1204932247888</v>
      </c>
      <c r="Z31" s="374">
        <f t="shared" si="14"/>
        <v>-1568.055678449768</v>
      </c>
      <c r="AA31" s="374">
        <f t="shared" si="14"/>
        <v>4160.9661997909834</v>
      </c>
      <c r="AB31" s="186"/>
    </row>
    <row r="32" spans="1:29" x14ac:dyDescent="0.25">
      <c r="A32" s="376">
        <f ca="1">SUM(A41:A1009)</f>
        <v>61574.279330798847</v>
      </c>
      <c r="B32" s="376">
        <f ca="1">SUM(B41:B1009)</f>
        <v>229745.36220998623</v>
      </c>
      <c r="C32" s="376">
        <f>SUM(C41:C1009)</f>
        <v>103406.91552534608</v>
      </c>
      <c r="D32" s="376">
        <f>SUM(D41:D1009)</f>
        <v>50776.861918080831</v>
      </c>
      <c r="E32" s="376">
        <f>SUM(E41:E1009)</f>
        <v>-93403.155991795007</v>
      </c>
      <c r="F32" s="256"/>
      <c r="H32" s="256"/>
      <c r="I32" s="256"/>
      <c r="J32" t="s">
        <v>1242</v>
      </c>
      <c r="K32" s="376">
        <f t="shared" ref="K32:Z32" si="15">SUM(K41:K1009)</f>
        <v>2540579.7749627056</v>
      </c>
      <c r="L32" s="376">
        <f>SUM(L41:L1009)</f>
        <v>130993.84127657392</v>
      </c>
      <c r="M32" s="376">
        <f t="shared" si="15"/>
        <v>-130993.84127657392</v>
      </c>
      <c r="N32" s="376">
        <f t="shared" ref="N32" si="16">SUM(N41:N1009)</f>
        <v>-50261.665780039977</v>
      </c>
      <c r="O32" s="376">
        <f t="shared" si="15"/>
        <v>50261.665780039977</v>
      </c>
      <c r="P32" s="376">
        <f t="shared" si="15"/>
        <v>127089.59498941223</v>
      </c>
      <c r="Q32" s="376">
        <f t="shared" si="15"/>
        <v>-48694.146592946847</v>
      </c>
      <c r="R32" s="376">
        <f t="shared" si="15"/>
        <v>-49266.338579676398</v>
      </c>
      <c r="S32" s="376">
        <f t="shared" si="15"/>
        <v>-3828.3241040650428</v>
      </c>
      <c r="T32" s="376">
        <f t="shared" ref="T32" si="17">SUM(T41:T1009)</f>
        <v>3828.3241040650428</v>
      </c>
      <c r="U32" s="376">
        <f t="shared" si="15"/>
        <v>76136.994252532095</v>
      </c>
      <c r="V32" s="376">
        <f t="shared" si="15"/>
        <v>-16217.180849369821</v>
      </c>
      <c r="W32" s="376">
        <f t="shared" si="15"/>
        <v>80803.777282053488</v>
      </c>
      <c r="X32" s="376">
        <f t="shared" si="15"/>
        <v>11131.692453614773</v>
      </c>
      <c r="Y32" s="376">
        <f t="shared" si="15"/>
        <v>80518.370802040357</v>
      </c>
      <c r="Z32" s="376">
        <f t="shared" si="15"/>
        <v>-50108.899403673997</v>
      </c>
      <c r="AA32" s="376">
        <f>SUM(AA41:AA1009)</f>
        <v>125920.26597715293</v>
      </c>
      <c r="AB32" s="256"/>
    </row>
    <row r="33" spans="1:68" x14ac:dyDescent="0.25">
      <c r="A33" s="193">
        <f t="shared" ref="A33:D33" ca="1" si="18">A35/A34</f>
        <v>0.44664164970548415</v>
      </c>
      <c r="B33" s="193">
        <f t="shared" ca="1" si="18"/>
        <v>1.1114741792010039</v>
      </c>
      <c r="C33" s="193">
        <f t="shared" si="18"/>
        <v>0.34154794856474485</v>
      </c>
      <c r="D33" s="193">
        <f t="shared" si="18"/>
        <v>0.14488047845628285</v>
      </c>
      <c r="E33" s="193">
        <f>E35/E34</f>
        <v>-0.21566220464751609</v>
      </c>
      <c r="F33" s="256"/>
      <c r="H33" s="256"/>
      <c r="I33" s="256"/>
      <c r="J33" t="s">
        <v>1329</v>
      </c>
      <c r="K33" s="193" t="e">
        <f>K35/K34</f>
        <v>#DIV/0!</v>
      </c>
      <c r="L33" s="193">
        <f t="shared" ref="L33:AA33" si="19">L35/L34</f>
        <v>0.17786414806185211</v>
      </c>
      <c r="M33" s="193">
        <f t="shared" si="19"/>
        <v>-0.1126074593446748</v>
      </c>
      <c r="N33" s="193">
        <f t="shared" ref="N33" si="20">N35/N34</f>
        <v>-7.5980976052343968E-2</v>
      </c>
      <c r="O33" s="193">
        <f t="shared" si="19"/>
        <v>0.11145330641323389</v>
      </c>
      <c r="P33" s="193">
        <f t="shared" si="19"/>
        <v>0.56505593211400496</v>
      </c>
      <c r="Q33" s="193">
        <f t="shared" si="19"/>
        <v>-0.22512348586562889</v>
      </c>
      <c r="R33" s="193">
        <f t="shared" si="19"/>
        <v>-7.4312540426727469E-2</v>
      </c>
      <c r="S33" s="193">
        <f t="shared" si="19"/>
        <v>-0.12296205700693302</v>
      </c>
      <c r="T33" s="193">
        <f t="shared" ref="T33" si="21">T35/T34</f>
        <v>0.23752653262298062</v>
      </c>
      <c r="U33" s="193">
        <f t="shared" si="19"/>
        <v>0.14850045216899849</v>
      </c>
      <c r="V33" s="193">
        <f t="shared" si="19"/>
        <v>5.8857611835306752E-2</v>
      </c>
      <c r="W33" s="193">
        <f t="shared" si="19"/>
        <v>0.15501183735938148</v>
      </c>
      <c r="X33" s="193">
        <f t="shared" si="19"/>
        <v>8.9162165896940815E-2</v>
      </c>
      <c r="Y33" s="193">
        <f t="shared" si="19"/>
        <v>0.57453312660945288</v>
      </c>
      <c r="Z33" s="193">
        <f t="shared" si="19"/>
        <v>-0.13654175345542682</v>
      </c>
      <c r="AA33" s="193">
        <f t="shared" si="19"/>
        <v>0.8567098924470109</v>
      </c>
      <c r="AB33" s="256"/>
    </row>
    <row r="34" spans="1:68" x14ac:dyDescent="0.25">
      <c r="A34" s="375">
        <f t="array" aca="1" ref="A34" ca="1">STDEV(IF(A52:A71&lt;0,A52:A71))</f>
        <v>9859.4396606385781</v>
      </c>
      <c r="B34" s="375">
        <f t="array" aca="1" ref="B34" ca="1">STDEV(IF(B52:B71&lt;0,B52:B71))</f>
        <v>9078.5152794596524</v>
      </c>
      <c r="C34" s="375">
        <f t="array" ref="C34">STDEV(IF(C52:C71&lt;0,C52:C71))</f>
        <v>11627.927027884249</v>
      </c>
      <c r="D34" s="375">
        <f t="array" ref="D34">STDEV(IF(D52:D71&lt;0,D52:D71))</f>
        <v>13697.598532330136</v>
      </c>
      <c r="E34" s="375">
        <f t="array" ref="E34">STDEV(IF(E52:E71&lt;0,E52:E71))</f>
        <v>8869.2477305440261</v>
      </c>
      <c r="F34" s="256"/>
      <c r="H34" s="256"/>
      <c r="I34" s="256"/>
      <c r="J34" s="112" t="s">
        <v>1203</v>
      </c>
      <c r="K34" s="375" t="e">
        <f t="array" ref="K34">STDEV(IF(K52:K71&lt;0,K52:K71))</f>
        <v>#DIV/0!</v>
      </c>
      <c r="L34" s="375">
        <f t="array" ref="L34">STDEV(IF(L52:L71&lt;0,L52:L71))</f>
        <v>16346.307084246313</v>
      </c>
      <c r="M34" s="375">
        <f t="array" ref="M34">STDEV(IF(M52:M71&lt;0,M52:M71))</f>
        <v>25819.088721269334</v>
      </c>
      <c r="N34" s="375">
        <f t="array" ref="N34">STDEV(IF(N52:N71&lt;0,N52:N71))</f>
        <v>22152.469190110809</v>
      </c>
      <c r="O34" s="375">
        <f t="array" ref="O34">STDEV(IF(O52:O71&lt;0,O52:O71))</f>
        <v>15101.985622512128</v>
      </c>
      <c r="P34" s="375">
        <f t="array" ref="P34">STDEV(IF(P52:P71&lt;0,P52:P71))</f>
        <v>8952.8596039040694</v>
      </c>
      <c r="Q34" s="375">
        <f t="array" ref="Q34">STDEV(IF(Q52:Q71&lt;0,Q52:Q71))</f>
        <v>9539.3622059081754</v>
      </c>
      <c r="R34" s="375">
        <f t="array" ref="R34">STDEV(IF(R52:R71&lt;0,R52:R71))</f>
        <v>11553.03700278336</v>
      </c>
      <c r="S34" s="375">
        <f t="array" ref="S34">STDEV(IF(S52:S71&lt;0,S52:S71))</f>
        <v>12826.922617854607</v>
      </c>
      <c r="T34" s="375">
        <f t="array" ref="T34">STDEV(IF(T52:T71&lt;0,T52:T71))</f>
        <v>6640.2046657399851</v>
      </c>
      <c r="U34" s="375">
        <f t="array" ref="U34">STDEV(IF(U52:U71&lt;0,U52:U71))</f>
        <v>11212.646808396456</v>
      </c>
      <c r="V34" s="375">
        <f t="array" ref="V34">STDEV(IF(V52:V71&lt;0,V52:V71))</f>
        <v>12186.425347637354</v>
      </c>
      <c r="W34" s="375">
        <f t="array" ref="W34">STDEV(IF(W52:W71&lt;0,W52:W71))</f>
        <v>15792.228366689898</v>
      </c>
      <c r="X34" s="375">
        <f t="array" ref="X34">STDEV(IF(X52:X71&lt;0,X52:X71))</f>
        <v>10443.295427244484</v>
      </c>
      <c r="Y34" s="375">
        <f t="array" ref="Y34">STDEV(IF(Y52:Y71&lt;0,Y52:Y71))</f>
        <v>6814.2443204130286</v>
      </c>
      <c r="Z34" s="375">
        <f t="array" ref="Z34">STDEV(IF(Z52:Z71&lt;0,Z52:Z71))</f>
        <v>10261.659009512825</v>
      </c>
      <c r="AA34" s="375">
        <f t="array" ref="AA34">STDEV(IF(AA52:AA71&lt;0,AA52:AA71))</f>
        <v>6166.4197188919388</v>
      </c>
      <c r="AB34" s="256"/>
    </row>
    <row r="35" spans="1:68" x14ac:dyDescent="0.25">
      <c r="A35" s="374">
        <f ca="1">AVERAGE(A52:A71)</f>
        <v>4403.6363951992935</v>
      </c>
      <c r="B35" s="374">
        <f ca="1">AVERAGE(B52:B71)</f>
        <v>10090.535318601189</v>
      </c>
      <c r="C35" s="374">
        <f>AVERAGE(C52:C71)</f>
        <v>3971.4946224344158</v>
      </c>
      <c r="D35" s="374">
        <f>AVERAGE(D52:D71)</f>
        <v>1984.514629066068</v>
      </c>
      <c r="E35" s="374">
        <f>AVERAGE(E52:E71)</f>
        <v>-1912.7615191341033</v>
      </c>
      <c r="F35" s="256"/>
      <c r="H35" s="256"/>
      <c r="I35" s="256"/>
      <c r="J35" s="303" t="s">
        <v>1200</v>
      </c>
      <c r="K35" s="374">
        <f t="shared" ref="K35:AA35" si="22">AVERAGE(K52:K71)</f>
        <v>82921.361871266607</v>
      </c>
      <c r="L35" s="374">
        <f t="shared" si="22"/>
        <v>2907.4219834968881</v>
      </c>
      <c r="M35" s="374">
        <f t="shared" si="22"/>
        <v>-2907.4219834968881</v>
      </c>
      <c r="N35" s="374">
        <f t="shared" si="22"/>
        <v>-1683.1662310340969</v>
      </c>
      <c r="O35" s="374">
        <f t="shared" si="22"/>
        <v>1683.1662310340969</v>
      </c>
      <c r="P35" s="374">
        <f t="shared" si="22"/>
        <v>5058.8664285698351</v>
      </c>
      <c r="Q35" s="374">
        <f t="shared" si="22"/>
        <v>-2147.5344727288834</v>
      </c>
      <c r="R35" s="374">
        <f t="shared" si="22"/>
        <v>-858.53552932081675</v>
      </c>
      <c r="S35" s="374">
        <f t="shared" si="22"/>
        <v>-1577.2247901601568</v>
      </c>
      <c r="T35" s="374">
        <f t="shared" si="22"/>
        <v>1577.2247901601568</v>
      </c>
      <c r="U35" s="374">
        <f t="shared" si="22"/>
        <v>1665.0831210581514</v>
      </c>
      <c r="V35" s="374">
        <f t="shared" si="22"/>
        <v>717.26389277118255</v>
      </c>
      <c r="W35" s="374">
        <f t="shared" si="22"/>
        <v>2447.982335119545</v>
      </c>
      <c r="X35" s="374">
        <f t="shared" si="22"/>
        <v>931.14683939473616</v>
      </c>
      <c r="Y35" s="374">
        <f t="shared" si="22"/>
        <v>3915.0090948876036</v>
      </c>
      <c r="Z35" s="374">
        <f t="shared" si="22"/>
        <v>-1401.1449145205595</v>
      </c>
      <c r="AA35" s="374">
        <f t="shared" si="22"/>
        <v>5282.8327741550402</v>
      </c>
      <c r="AB35" s="256"/>
    </row>
    <row r="36" spans="1:68" x14ac:dyDescent="0.25">
      <c r="A36" s="377">
        <f ca="1">SUM(A62:A94)</f>
        <v>77571.770382512608</v>
      </c>
      <c r="B36" s="377">
        <f t="shared" ref="B36:D36" ca="1" si="23">SUM(B62:B94)</f>
        <v>116169.96981784659</v>
      </c>
      <c r="C36" s="377">
        <f t="shared" si="23"/>
        <v>82513.862382983862</v>
      </c>
      <c r="D36" s="377">
        <f t="shared" si="23"/>
        <v>22205.281428174207</v>
      </c>
      <c r="E36" s="377">
        <f>SUM(E62:E94)</f>
        <v>19229.655254420453</v>
      </c>
      <c r="F36" s="256"/>
      <c r="H36" s="256"/>
      <c r="I36" s="256"/>
      <c r="J36" t="s">
        <v>1328</v>
      </c>
      <c r="K36" s="377">
        <f t="shared" ref="K36:L36" si="24">SUM(K62:K94)</f>
        <v>936930.46338950726</v>
      </c>
      <c r="L36" s="377">
        <f t="shared" si="24"/>
        <v>138797.54331077411</v>
      </c>
      <c r="M36" s="377">
        <f>SUM(M62:M94)</f>
        <v>-138797.54331077411</v>
      </c>
      <c r="N36" s="377">
        <f>SUM(N62:N94)</f>
        <v>-16070.748109326589</v>
      </c>
      <c r="O36" s="377">
        <f t="shared" ref="O36:X36" si="25">SUM(O62:O94)</f>
        <v>16070.748109326589</v>
      </c>
      <c r="P36" s="377">
        <f t="shared" si="25"/>
        <v>78224.69579224872</v>
      </c>
      <c r="Q36" s="377">
        <f t="shared" si="25"/>
        <v>-28240.608867191258</v>
      </c>
      <c r="R36" s="377">
        <f t="shared" si="25"/>
        <v>-18551.915140214598</v>
      </c>
      <c r="S36" s="377">
        <f t="shared" si="25"/>
        <v>-74794.24871835552</v>
      </c>
      <c r="T36" s="377">
        <f t="shared" ref="T36" si="26">SUM(T62:T94)</f>
        <v>74794.24871835552</v>
      </c>
      <c r="U36" s="377">
        <f t="shared" si="25"/>
        <v>-62711.671856767141</v>
      </c>
      <c r="V36" s="378">
        <f t="shared" si="25"/>
        <v>1031.2621150815094</v>
      </c>
      <c r="W36" s="378">
        <f t="shared" si="25"/>
        <v>-686.91795207938503</v>
      </c>
      <c r="X36" s="378">
        <f t="shared" si="25"/>
        <v>63446.585066076324</v>
      </c>
      <c r="Y36" s="378">
        <f>SUM(Y62:Y94)</f>
        <v>68019.832526993618</v>
      </c>
      <c r="Z36" s="378">
        <f t="shared" ref="Z36:AA36" si="27">SUM(Z62:Z94)</f>
        <v>28855.785617955633</v>
      </c>
      <c r="AA36" s="378">
        <f t="shared" si="27"/>
        <v>112240.95475067657</v>
      </c>
      <c r="AB36" s="256"/>
    </row>
    <row r="37" spans="1:68" ht="15.75" thickBot="1" x14ac:dyDescent="0.3">
      <c r="A37" s="256"/>
      <c r="B37" s="256"/>
      <c r="C37" s="256"/>
      <c r="D37" s="256"/>
      <c r="E37" s="256"/>
      <c r="F37" s="256"/>
      <c r="G37" t="s">
        <v>1200</v>
      </c>
      <c r="H37" s="379">
        <f>AVERAGE(H41:H70)</f>
        <v>0.53333333333333333</v>
      </c>
      <c r="I37" s="380">
        <f t="shared" ref="I37:J37" si="28">AVERAGE(I41:I70)</f>
        <v>764.18296272202019</v>
      </c>
      <c r="J37" s="380">
        <f t="shared" si="28"/>
        <v>1145.8160676082002</v>
      </c>
      <c r="K37" s="256"/>
      <c r="L37" s="256"/>
      <c r="M37" s="256"/>
      <c r="N37" s="256"/>
      <c r="O37" s="256"/>
      <c r="P37" s="256"/>
      <c r="Q37" s="256"/>
      <c r="R37" s="256"/>
      <c r="S37" s="256"/>
      <c r="T37" s="256"/>
      <c r="U37" s="256"/>
      <c r="V37" s="256"/>
      <c r="W37" s="256"/>
      <c r="X37" s="256"/>
      <c r="Y37" s="256"/>
      <c r="Z37" s="256"/>
      <c r="AA37" s="256"/>
      <c r="AB37" s="256"/>
    </row>
    <row r="38" spans="1:68" ht="15.75" thickBot="1" x14ac:dyDescent="0.3">
      <c r="B38" s="256"/>
      <c r="C38" s="256"/>
      <c r="D38" s="256"/>
      <c r="E38" s="256"/>
      <c r="F38" s="256" t="s">
        <v>1278</v>
      </c>
      <c r="G38" t="s">
        <v>1326</v>
      </c>
      <c r="H38" s="381">
        <f>MIN(H41:H70)</f>
        <v>0.22535211267605634</v>
      </c>
      <c r="I38" s="375">
        <f t="shared" ref="I38:J38" si="29">MIN(I41:I70)</f>
        <v>0</v>
      </c>
      <c r="J38" s="375">
        <f t="shared" si="29"/>
        <v>242.29389123742084</v>
      </c>
      <c r="K38" t="s">
        <v>1208</v>
      </c>
      <c r="L38" s="384" t="s">
        <v>1262</v>
      </c>
      <c r="M38" s="385"/>
      <c r="N38" s="385"/>
      <c r="O38" s="386"/>
      <c r="P38" s="384" t="s">
        <v>1274</v>
      </c>
      <c r="Q38" s="385"/>
      <c r="R38" s="386"/>
      <c r="S38" s="384" t="s">
        <v>1263</v>
      </c>
      <c r="T38" s="385"/>
      <c r="U38" s="386"/>
      <c r="V38" s="393" t="s">
        <v>1264</v>
      </c>
      <c r="W38" s="394"/>
      <c r="X38" s="394"/>
      <c r="Y38" s="394"/>
      <c r="Z38" s="394"/>
      <c r="AA38" s="394"/>
      <c r="AB38" s="137"/>
      <c r="AC38" s="256"/>
      <c r="AD38" s="256"/>
      <c r="AE38" s="256"/>
      <c r="AF38" s="256"/>
      <c r="AG38" s="256"/>
      <c r="AH38" s="256"/>
      <c r="AI38" s="256"/>
      <c r="AJ38" s="256"/>
      <c r="AK38" s="256"/>
      <c r="AL38" s="256"/>
      <c r="AM38" s="256"/>
      <c r="AN38" s="256"/>
      <c r="AO38" s="256"/>
    </row>
    <row r="39" spans="1:68" x14ac:dyDescent="0.25">
      <c r="B39" s="256"/>
      <c r="C39" s="355" t="s">
        <v>1255</v>
      </c>
      <c r="D39" s="280"/>
      <c r="E39" s="280"/>
      <c r="F39" s="379">
        <f>AVERAGE(F41:F70)</f>
        <v>0.52222222222222225</v>
      </c>
      <c r="G39" t="s">
        <v>1325</v>
      </c>
      <c r="H39" s="381">
        <f>MAX(H41:H70)</f>
        <v>0.73239436619718312</v>
      </c>
      <c r="I39" s="375">
        <f t="shared" ref="I39:J39" si="30">MAX(I41:I70)</f>
        <v>2580.4837160603356</v>
      </c>
      <c r="J39" s="375">
        <f t="shared" si="30"/>
        <v>1812.9864259702028</v>
      </c>
      <c r="K39" s="137">
        <f>SUM('FuturesInfo (3)'!W2:W80)</f>
        <v>177917.66293447587</v>
      </c>
      <c r="L39" s="304" t="s">
        <v>1197</v>
      </c>
      <c r="M39" s="305" t="s">
        <v>1198</v>
      </c>
      <c r="N39" s="356" t="s">
        <v>1301</v>
      </c>
      <c r="O39" s="306" t="s">
        <v>1201</v>
      </c>
      <c r="P39" s="343" t="s">
        <v>1194</v>
      </c>
      <c r="Q39" s="310" t="s">
        <v>1189</v>
      </c>
      <c r="R39" s="311" t="s">
        <v>1195</v>
      </c>
      <c r="S39" s="314" t="s">
        <v>1192</v>
      </c>
      <c r="T39" s="362" t="s">
        <v>1311</v>
      </c>
      <c r="U39" s="315" t="s">
        <v>1193</v>
      </c>
      <c r="V39" s="318" t="s">
        <v>1196</v>
      </c>
      <c r="W39" s="319" t="s">
        <v>1191</v>
      </c>
      <c r="X39" s="320" t="s">
        <v>1190</v>
      </c>
      <c r="Y39" s="321" t="s">
        <v>1217</v>
      </c>
      <c r="Z39" s="322" t="s">
        <v>1273</v>
      </c>
      <c r="AA39" s="348" t="s">
        <v>1298</v>
      </c>
      <c r="AB39" s="137"/>
      <c r="AG39" s="258" t="s">
        <v>1197</v>
      </c>
      <c r="AH39" s="259" t="s">
        <v>1198</v>
      </c>
      <c r="AI39" s="356" t="s">
        <v>1301</v>
      </c>
      <c r="AJ39" s="271" t="s">
        <v>1201</v>
      </c>
      <c r="AK39" s="270" t="s">
        <v>1194</v>
      </c>
      <c r="AL39" s="278" t="s">
        <v>1189</v>
      </c>
      <c r="AM39" s="260" t="s">
        <v>1195</v>
      </c>
      <c r="AN39" s="262" t="s">
        <v>1192</v>
      </c>
      <c r="AO39" s="362" t="s">
        <v>1311</v>
      </c>
      <c r="AP39" s="243" t="s">
        <v>1193</v>
      </c>
      <c r="AQ39" s="263" t="s">
        <v>1196</v>
      </c>
      <c r="AR39" s="245" t="s">
        <v>1191</v>
      </c>
      <c r="AS39" s="269" t="s">
        <v>1190</v>
      </c>
      <c r="AT39" s="273" t="s">
        <v>1217</v>
      </c>
      <c r="AU39" s="322" t="s">
        <v>1273</v>
      </c>
      <c r="AV39" s="348" t="s">
        <v>1298</v>
      </c>
      <c r="BA39" s="258" t="s">
        <v>1197</v>
      </c>
      <c r="BB39" s="259" t="s">
        <v>1198</v>
      </c>
      <c r="BC39" s="356" t="s">
        <v>1301</v>
      </c>
      <c r="BD39" s="271" t="s">
        <v>1201</v>
      </c>
      <c r="BE39" s="270" t="s">
        <v>1194</v>
      </c>
      <c r="BF39" s="278" t="s">
        <v>1189</v>
      </c>
      <c r="BG39" s="260" t="s">
        <v>1195</v>
      </c>
      <c r="BH39" s="262" t="s">
        <v>1192</v>
      </c>
      <c r="BI39" s="362" t="s">
        <v>1311</v>
      </c>
      <c r="BJ39" s="243" t="s">
        <v>1193</v>
      </c>
      <c r="BK39" s="263" t="s">
        <v>1196</v>
      </c>
      <c r="BL39" s="245" t="s">
        <v>1191</v>
      </c>
      <c r="BM39" s="269" t="s">
        <v>1190</v>
      </c>
      <c r="BN39" s="273" t="s">
        <v>1217</v>
      </c>
      <c r="BO39" s="137" t="s">
        <v>1273</v>
      </c>
      <c r="BP39" t="s">
        <v>1298</v>
      </c>
    </row>
    <row r="40" spans="1:68" ht="15.75" thickBot="1" x14ac:dyDescent="0.3">
      <c r="A40" s="276" t="s">
        <v>1314</v>
      </c>
      <c r="B40" s="276" t="s">
        <v>1315</v>
      </c>
      <c r="C40" t="s">
        <v>1175</v>
      </c>
      <c r="D40" t="s">
        <v>1180</v>
      </c>
      <c r="E40" t="s">
        <v>1176</v>
      </c>
      <c r="F40" t="s">
        <v>1228</v>
      </c>
      <c r="H40" s="253" t="s">
        <v>1283</v>
      </c>
      <c r="I40" t="s">
        <v>1282</v>
      </c>
      <c r="J40" s="253" t="s">
        <v>1280</v>
      </c>
      <c r="K40" s="253" t="s">
        <v>1165</v>
      </c>
      <c r="L40" s="307" t="str">
        <f>J26</f>
        <v>Risk-On - Long Risky Assets, Short Safe Assets</v>
      </c>
      <c r="M40" s="308" t="str">
        <f>J25</f>
        <v>Risk-Off - Long Safe Assets, Short Risky Assets</v>
      </c>
      <c r="N40" s="357" t="str">
        <f>J23</f>
        <v>Previous - Previous Day's Movement</v>
      </c>
      <c r="O40" s="309" t="str">
        <f>J24</f>
        <v>Anti-Previous - Opposite of the Previous Day's Movement</v>
      </c>
      <c r="P40" s="344" t="str">
        <f>O24</f>
        <v>Lowest-Equity -( AI Counter-trend)</v>
      </c>
      <c r="Q40" s="312" t="str">
        <f>O23</f>
        <v>50/50- 50% Anti-Lowest Eq, 50% Anti-Highest Eq.</v>
      </c>
      <c r="R40" s="313" t="str">
        <f>O25</f>
        <v>Highest Equity - (AI Anti-Trend)</v>
      </c>
      <c r="S40" s="316" t="str">
        <f>S23</f>
        <v>Seasonality - 30+ year Seasonality</v>
      </c>
      <c r="T40" s="363" t="str">
        <f>S25</f>
        <v>Anti-Seasonality</v>
      </c>
      <c r="U40" s="317" t="str">
        <f>S24</f>
        <v>Adj-Seasonality - Seasonality w/ Trend Adj.</v>
      </c>
      <c r="V40" s="323" t="str">
        <f>W23</f>
        <v>Voting 1- TREND (Previous + Highest Equity +Anti-Seasonality)</v>
      </c>
      <c r="W40" s="324" t="str">
        <f>W24</f>
        <v>Voting 2- Reversal (Anti-Previous,lowestEquity, Adj-Seasonal)</v>
      </c>
      <c r="X40" s="325" t="str">
        <f>W25</f>
        <v>Voting 3- Neutral( Anti-Previous,50/50, Anti-Seasonality)</v>
      </c>
      <c r="Y40" s="326" t="str">
        <f>W26</f>
        <v>Voting 4 -Voting of Voting- Voting 1,2,3</v>
      </c>
      <c r="Z40" s="327" t="str">
        <f>W27</f>
        <v>Voting 5 - (Previous, Anti-Highest, Anti-Adj_Seasonality)</v>
      </c>
      <c r="AA40" s="349" t="str">
        <f>W28</f>
        <v>Voting 6- Reversal (Anti-Previous,lowestEquity, Anti-Seasonal)</v>
      </c>
      <c r="AB40" s="253"/>
      <c r="AD40" t="str">
        <f>C40</f>
        <v>yoko</v>
      </c>
      <c r="AE40" t="str">
        <f>D40</f>
        <v>toshi</v>
      </c>
      <c r="AF40" t="str">
        <f>E40</f>
        <v>hidemi</v>
      </c>
      <c r="AG40" s="258" t="s">
        <v>1234</v>
      </c>
      <c r="AH40" s="259" t="s">
        <v>1233</v>
      </c>
      <c r="AI40" s="357" t="s">
        <v>1300</v>
      </c>
      <c r="AJ40" s="271" t="s">
        <v>1230</v>
      </c>
      <c r="AK40" s="270" t="s">
        <v>1260</v>
      </c>
      <c r="AL40" s="186" t="s">
        <v>1276</v>
      </c>
      <c r="AM40" s="260" t="s">
        <v>1275</v>
      </c>
      <c r="AN40" s="262" t="s">
        <v>1232</v>
      </c>
      <c r="AO40" s="363" t="s">
        <v>1309</v>
      </c>
      <c r="AP40" s="243" t="s">
        <v>1261</v>
      </c>
      <c r="AQ40" s="263" t="s">
        <v>1292</v>
      </c>
      <c r="AR40" s="245" t="s">
        <v>1225</v>
      </c>
      <c r="AS40" s="269" t="s">
        <v>1293</v>
      </c>
      <c r="AT40" s="273" t="s">
        <v>1226</v>
      </c>
      <c r="AU40" s="327" t="s">
        <v>1259</v>
      </c>
      <c r="AV40" s="349" t="s">
        <v>1299</v>
      </c>
      <c r="AX40" t="s">
        <v>1175</v>
      </c>
      <c r="AY40" t="s">
        <v>1180</v>
      </c>
      <c r="AZ40" t="s">
        <v>1176</v>
      </c>
      <c r="BA40" s="258" t="s">
        <v>1234</v>
      </c>
      <c r="BB40" s="259" t="s">
        <v>1233</v>
      </c>
      <c r="BC40" s="357" t="s">
        <v>1300</v>
      </c>
      <c r="BD40" s="271" t="s">
        <v>1230</v>
      </c>
      <c r="BE40" s="270" t="s">
        <v>1260</v>
      </c>
      <c r="BF40" s="186" t="s">
        <v>1276</v>
      </c>
      <c r="BG40" s="260" t="s">
        <v>1275</v>
      </c>
      <c r="BH40" s="262" t="s">
        <v>1232</v>
      </c>
      <c r="BI40" s="363" t="s">
        <v>1309</v>
      </c>
      <c r="BJ40" s="243" t="s">
        <v>1261</v>
      </c>
      <c r="BK40" s="263" t="s">
        <v>1292</v>
      </c>
      <c r="BL40" s="245" t="s">
        <v>1225</v>
      </c>
      <c r="BM40" s="269" t="s">
        <v>1293</v>
      </c>
      <c r="BN40" s="273" t="s">
        <v>1226</v>
      </c>
      <c r="BO40" s="253" t="s">
        <v>1259</v>
      </c>
      <c r="BP40" t="s">
        <v>1299</v>
      </c>
    </row>
    <row r="41" spans="1:68" hidden="1" outlineLevel="1" x14ac:dyDescent="0.25">
      <c r="A41" s="186">
        <v>0</v>
      </c>
      <c r="B41" s="186">
        <v>0</v>
      </c>
      <c r="C41" s="186"/>
      <c r="D41" s="186"/>
      <c r="E41" s="186"/>
      <c r="F41" s="193">
        <f t="shared" ref="F41:F67" si="31">(COUNTIF(P41:AA41,"&gt;"&amp;0)/COUNT(P41:AA41))</f>
        <v>0.33333333333333331</v>
      </c>
      <c r="G41">
        <f>'0701'!$A$1</f>
        <v>20160701</v>
      </c>
      <c r="H41" s="254">
        <f>'0701'!$F$10</f>
        <v>0.70422535211267601</v>
      </c>
      <c r="I41" s="140">
        <f>'0701'!$Y$11</f>
        <v>0</v>
      </c>
      <c r="J41" s="140">
        <f>'0701'!$H$10</f>
        <v>993.22110524502045</v>
      </c>
      <c r="K41" s="186">
        <f>'0701'!$Z$13</f>
        <v>72162.799869859591</v>
      </c>
      <c r="L41" s="364">
        <f>'0701'!$AA$13</f>
        <v>-1550.8270559324883</v>
      </c>
      <c r="M41" s="365">
        <f>'0701'!$AB$13</f>
        <v>1550.8270559324883</v>
      </c>
      <c r="N41" s="303">
        <f>'0701'!$AC$13</f>
        <v>-2789.4596528649477</v>
      </c>
      <c r="O41" s="365">
        <f>'0701'!$AD$13</f>
        <v>2789.4596528649477</v>
      </c>
      <c r="P41" s="253">
        <f>'0701'!$AE$13</f>
        <v>-16760.115288284433</v>
      </c>
      <c r="Q41" s="253">
        <f>'0701'!$AF$13</f>
        <v>-185.74391967023473</v>
      </c>
      <c r="R41" s="358">
        <f>'0701'!$AG$13</f>
        <v>715.64138303623315</v>
      </c>
      <c r="S41" s="303">
        <f>'0701'!$AH$13</f>
        <v>14477.812354592679</v>
      </c>
      <c r="T41" s="303">
        <f>'0701'!$AI$13</f>
        <v>-14477.812354592679</v>
      </c>
      <c r="U41" s="358">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32">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SUM(C41:C$41)</f>
        <v>0</v>
      </c>
      <c r="AY41" s="186">
        <f>SUM(D41:D$41)</f>
        <v>0</v>
      </c>
      <c r="AZ41" s="186">
        <f>SUM(E41:E$41)</f>
        <v>0</v>
      </c>
      <c r="BA41" s="186">
        <f>SUM(L41:L$41)</f>
        <v>-1550.8270559324883</v>
      </c>
      <c r="BB41" s="186">
        <f>SUM(M41:M$41)</f>
        <v>1550.8270559324883</v>
      </c>
      <c r="BC41" s="186">
        <f>SUM(N41:N$41)</f>
        <v>-2789.4596528649477</v>
      </c>
      <c r="BD41" s="186">
        <f>SUM(O41:O$41)</f>
        <v>2789.4596528649477</v>
      </c>
      <c r="BE41" s="186">
        <f>SUM(P41:P$41)</f>
        <v>-16760.115288284433</v>
      </c>
      <c r="BF41" s="186">
        <f>SUM(Q41:Q$41)</f>
        <v>-185.74391967023473</v>
      </c>
      <c r="BG41" s="186">
        <f>SUM(R41:R$41)</f>
        <v>715.64138303623315</v>
      </c>
      <c r="BH41" s="186">
        <f>SUM(S41:S$41)</f>
        <v>14477.812354592679</v>
      </c>
      <c r="BI41" s="186">
        <f>SUM(T41:T$41)</f>
        <v>-14477.812354592679</v>
      </c>
      <c r="BJ41" s="186">
        <f>SUM(U41:U$41)</f>
        <v>-14621.311775368318</v>
      </c>
      <c r="BK41" s="186">
        <f>SUM(V41:V$41)</f>
        <v>-15900.982879131909</v>
      </c>
      <c r="BL41" s="186">
        <f>SUM(W41:W$41)</f>
        <v>-14745.173860375333</v>
      </c>
      <c r="BM41" s="186">
        <f>SUM(X41:X$41)</f>
        <v>2703.2225733355458</v>
      </c>
      <c r="BN41" s="186">
        <f>SUM(Y41:Y$41)</f>
        <v>-8117.1763211143598</v>
      </c>
      <c r="BO41" s="186">
        <f>SUM(Z41:Z$41)</f>
        <v>5812.7066107659912</v>
      </c>
      <c r="BP41" s="186">
        <f>SUM(AA41:AA$41)</f>
        <v>-15429.635078501473</v>
      </c>
    </row>
    <row r="42" spans="1:68" hidden="1" outlineLevel="1" x14ac:dyDescent="0.25">
      <c r="A42" s="186">
        <f t="shared" ref="A42:A73" ca="1" si="33">OFFSET(INDIRECT(CELL("address",OFFSET($V41,0,MATCH(MIN($V41:$AA41),$V41:$AA41,0)-1))),1,0)</f>
        <v>-5225.4487895095799</v>
      </c>
      <c r="B42" s="186">
        <f ca="1">OFFSET(INDIRECT(CELL("address",OFFSET($P41,0,MATCH(MIN($P41:AB41),$P41:AB41,0)-1))),1,0)</f>
        <v>5127.0540824589871</v>
      </c>
      <c r="C42" s="186"/>
      <c r="D42" s="186"/>
      <c r="E42" s="186"/>
      <c r="F42" s="193">
        <f t="shared" si="31"/>
        <v>0.41666666666666669</v>
      </c>
      <c r="G42">
        <f>'0704'!$A$1</f>
        <v>20160704</v>
      </c>
      <c r="H42" s="254">
        <f>'0704'!$F$10</f>
        <v>0.61971830985915488</v>
      </c>
      <c r="I42" s="140">
        <f>'0704'!$Y$11</f>
        <v>0</v>
      </c>
      <c r="J42" s="140">
        <f>'0704'!$H$10</f>
        <v>242.29389123742084</v>
      </c>
      <c r="K42" s="186">
        <f>'0704'!$Z$13</f>
        <v>17202.866277856876</v>
      </c>
      <c r="L42" s="366">
        <f>'0704'!$AA$13</f>
        <v>3539.3243547223628</v>
      </c>
      <c r="M42" s="367">
        <f>'0704'!$AB$13</f>
        <v>-3539.3243547223628</v>
      </c>
      <c r="N42" s="303">
        <f>'0704'!$AC$13</f>
        <v>-4885.7902033930941</v>
      </c>
      <c r="O42" s="367">
        <f>'0704'!$AD$13</f>
        <v>4885.7902033930941</v>
      </c>
      <c r="P42" s="253">
        <f>'0704'!$AE$13</f>
        <v>5127.0540824589871</v>
      </c>
      <c r="Q42" s="253">
        <f>'0704'!$AF$13</f>
        <v>-5230.2361036355696</v>
      </c>
      <c r="R42" s="359">
        <f>'0704'!$AG$13</f>
        <v>-1942.7805709255354</v>
      </c>
      <c r="S42" s="303">
        <f>'0704'!$AH$13</f>
        <v>3123.8906142981177</v>
      </c>
      <c r="T42" s="303">
        <f>'0704'!$AI$13</f>
        <v>-3123.8906142981177</v>
      </c>
      <c r="U42" s="359">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32"/>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34">G42</f>
        <v>20160704</v>
      </c>
      <c r="AX42" s="186">
        <f>SUM(C$41:C42)</f>
        <v>0</v>
      </c>
      <c r="AY42" s="186">
        <f>SUM(D$41:D42)</f>
        <v>0</v>
      </c>
      <c r="AZ42" s="186">
        <f>SUM(E$41:E42)</f>
        <v>0</v>
      </c>
      <c r="BA42" s="186">
        <f>SUM(L$41:L42)</f>
        <v>1988.4972987898745</v>
      </c>
      <c r="BB42" s="186">
        <f>SUM(M$41:M42)</f>
        <v>-1988.4972987898745</v>
      </c>
      <c r="BC42" s="186">
        <f>SUM(N$41:N42)</f>
        <v>-7675.2498562580422</v>
      </c>
      <c r="BD42" s="186">
        <f>SUM(O$41:O42)</f>
        <v>7675.2498562580422</v>
      </c>
      <c r="BE42" s="186">
        <f>SUM(P$41:P42)</f>
        <v>-11633.061205825445</v>
      </c>
      <c r="BF42" s="186">
        <f>SUM(Q$41:Q42)</f>
        <v>-5415.980023305804</v>
      </c>
      <c r="BG42" s="186">
        <f>SUM(R$41:R42)</f>
        <v>-1227.1391878893023</v>
      </c>
      <c r="BH42" s="186">
        <f>SUM(S$41:S42)</f>
        <v>17601.702968890797</v>
      </c>
      <c r="BI42" s="186">
        <f>SUM(T$41:T42)</f>
        <v>-17601.702968890797</v>
      </c>
      <c r="BJ42" s="186">
        <f>SUM(U$41:U42)</f>
        <v>-11717.824069443464</v>
      </c>
      <c r="BK42" s="186">
        <f>SUM(V$41:V42)</f>
        <v>-21126.43166864149</v>
      </c>
      <c r="BL42" s="186">
        <f>SUM(W$41:W42)</f>
        <v>-10525.606485028231</v>
      </c>
      <c r="BM42" s="186">
        <f>SUM(X$41:X42)</f>
        <v>-425.45535508856165</v>
      </c>
      <c r="BN42" s="186">
        <f>SUM(Y$41:Y42)</f>
        <v>-11071.750788503679</v>
      </c>
      <c r="BO42" s="186">
        <f>SUM(Z$41:Z42)</f>
        <v>4085.4779920181691</v>
      </c>
      <c r="BP42" s="186">
        <f>SUM(AA$41:AA42)</f>
        <v>-11875.248473406107</v>
      </c>
    </row>
    <row r="43" spans="1:68" hidden="1" outlineLevel="1" x14ac:dyDescent="0.25">
      <c r="A43" s="186">
        <f t="shared" ca="1" si="33"/>
        <v>-26942.907243341477</v>
      </c>
      <c r="B43" s="186">
        <f ca="1">OFFSET(INDIRECT(CELL("address",OFFSET($P42,0,MATCH(MIN($P42:AB42),$P42:AB42,0)-1))),1,0)</f>
        <v>-11969.804178746746</v>
      </c>
      <c r="C43" s="186"/>
      <c r="D43" s="186"/>
      <c r="E43" s="186"/>
      <c r="F43" s="193">
        <f t="shared" si="31"/>
        <v>0.5</v>
      </c>
      <c r="G43">
        <f>'0705'!$A$1</f>
        <v>20160705</v>
      </c>
      <c r="H43" s="254">
        <f>'0705'!$F$10</f>
        <v>0.39436619718309857</v>
      </c>
      <c r="I43" s="140">
        <f>'0705'!$Y$11</f>
        <v>0</v>
      </c>
      <c r="J43" s="140">
        <f>'0705'!$H$10</f>
        <v>1723.968960255505</v>
      </c>
      <c r="K43" s="186">
        <f>'0705'!$Z$13</f>
        <v>125039.53332099751</v>
      </c>
      <c r="L43" s="366">
        <f>'0705'!$AA$13</f>
        <v>-94078.91454640853</v>
      </c>
      <c r="M43" s="367">
        <f>'0705'!$AB$13</f>
        <v>94078.91454640853</v>
      </c>
      <c r="N43" s="303">
        <f>'0705'!$AC$13</f>
        <v>853.45463417676388</v>
      </c>
      <c r="O43" s="367">
        <f>'0705'!$AD$13</f>
        <v>-853.45463417676388</v>
      </c>
      <c r="P43" s="253">
        <f>'0705'!$AE$13</f>
        <v>42853.770333542925</v>
      </c>
      <c r="Q43" s="253">
        <f>'0705'!$AF$13</f>
        <v>-11969.804178746746</v>
      </c>
      <c r="R43" s="359">
        <f>'0705'!$AG$13</f>
        <v>-32771.270227728186</v>
      </c>
      <c r="S43" s="303">
        <f>'0705'!$AH$13</f>
        <v>14283.773277967919</v>
      </c>
      <c r="T43" s="303">
        <f>'0705'!$AI$13</f>
        <v>-14283.773277967919</v>
      </c>
      <c r="U43" s="359">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32"/>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34"/>
        <v>20160705</v>
      </c>
      <c r="AX43" s="186">
        <f>SUM(C$41:C43)</f>
        <v>0</v>
      </c>
      <c r="AY43" s="186">
        <f>SUM(D$41:D43)</f>
        <v>0</v>
      </c>
      <c r="AZ43" s="186">
        <f>SUM(E$41:E43)</f>
        <v>0</v>
      </c>
      <c r="BA43" s="186">
        <f>SUM(L$41:L43)</f>
        <v>-92090.41724761865</v>
      </c>
      <c r="BB43" s="186">
        <f>SUM(M$41:M43)</f>
        <v>92090.41724761865</v>
      </c>
      <c r="BC43" s="186">
        <f>SUM(N$41:N43)</f>
        <v>-6821.7952220812786</v>
      </c>
      <c r="BD43" s="186">
        <f>SUM(O$41:O43)</f>
        <v>6821.7952220812786</v>
      </c>
      <c r="BE43" s="186">
        <f>SUM(P$41:P43)</f>
        <v>31220.70912771748</v>
      </c>
      <c r="BF43" s="186">
        <f>SUM(Q$41:Q43)</f>
        <v>-17385.78420205255</v>
      </c>
      <c r="BG43" s="186">
        <f>SUM(R$41:R43)</f>
        <v>-33998.409415617491</v>
      </c>
      <c r="BH43" s="186">
        <f>SUM(S$41:S43)</f>
        <v>31885.476246858714</v>
      </c>
      <c r="BI43" s="186">
        <f>SUM(T$41:T43)</f>
        <v>-31885.476246858714</v>
      </c>
      <c r="BJ43" s="186">
        <f>SUM(U$41:U43)</f>
        <v>-3485.743423218817</v>
      </c>
      <c r="BK43" s="186">
        <f>SUM(V$41:V43)</f>
        <v>-48069.338911982966</v>
      </c>
      <c r="BL43" s="186">
        <f>SUM(W$41:W43)</f>
        <v>21342.799301103019</v>
      </c>
      <c r="BM43" s="186">
        <f>SUM(X$41:X43)</f>
        <v>-15398.505405624199</v>
      </c>
      <c r="BN43" s="186">
        <f>SUM(Y$41:Y43)</f>
        <v>732.31327486418922</v>
      </c>
      <c r="BO43" s="186">
        <f>SUM(Z$41:Z43)</f>
        <v>13853.80874336409</v>
      </c>
      <c r="BP43" s="186">
        <f>SUM(AA$41:AA43)</f>
        <v>-18002.394266314332</v>
      </c>
    </row>
    <row r="44" spans="1:68" hidden="1" outlineLevel="1" x14ac:dyDescent="0.25">
      <c r="A44" s="186">
        <f t="shared" ca="1" si="33"/>
        <v>4891.2911484248152</v>
      </c>
      <c r="B44" s="186">
        <f ca="1">OFFSET(INDIRECT(CELL("address",OFFSET($P43,0,MATCH(MIN($P43:AB43),$P43:AB43,0)-1))),1,0)</f>
        <v>2448.6700672231527</v>
      </c>
      <c r="C44" s="186"/>
      <c r="D44" s="186"/>
      <c r="E44" s="186"/>
      <c r="F44" s="193">
        <f t="shared" si="31"/>
        <v>0.33333333333333331</v>
      </c>
      <c r="G44">
        <f>'0706'!$A$1</f>
        <v>20160706</v>
      </c>
      <c r="H44" s="254">
        <f>'0706'!$F$10</f>
        <v>0.42253521126760563</v>
      </c>
      <c r="I44" s="140">
        <f>'0706'!$Y$11</f>
        <v>0</v>
      </c>
      <c r="J44" s="140">
        <f>'0706'!$H$10</f>
        <v>982.83202744592541</v>
      </c>
      <c r="K44" s="186">
        <f>'0706'!$Z$13</f>
        <v>70175.6018297017</v>
      </c>
      <c r="L44" s="366">
        <f>'0706'!$AA$13</f>
        <v>-23064.113871430502</v>
      </c>
      <c r="M44" s="367">
        <f>'0706'!$AB$13</f>
        <v>23064.113871430502</v>
      </c>
      <c r="N44" s="303">
        <f>'0706'!$AC$13</f>
        <v>9944.8641879268325</v>
      </c>
      <c r="O44" s="367">
        <f>'0706'!$AD$13</f>
        <v>-9944.8641879268325</v>
      </c>
      <c r="P44" s="253">
        <f>'0706'!$AE$13</f>
        <v>-3100.8691747080147</v>
      </c>
      <c r="Q44" s="253">
        <f>'0706'!$AF$13</f>
        <v>-4437.6510063115629</v>
      </c>
      <c r="R44" s="359">
        <f>'0706'!$AG$13</f>
        <v>2448.6700672231527</v>
      </c>
      <c r="S44" s="303">
        <f>'0706'!$AH$13</f>
        <v>24471.628211817722</v>
      </c>
      <c r="T44" s="303">
        <f>'0706'!$AI$13</f>
        <v>-24471.628211817722</v>
      </c>
      <c r="U44" s="359">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32"/>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34"/>
        <v>20160706</v>
      </c>
      <c r="AX44" s="186">
        <f>SUM(C$41:C44)</f>
        <v>0</v>
      </c>
      <c r="AY44" s="186">
        <f>SUM(D$41:D44)</f>
        <v>0</v>
      </c>
      <c r="AZ44" s="186">
        <f>SUM(E$41:E44)</f>
        <v>0</v>
      </c>
      <c r="BA44" s="186">
        <f>SUM(L$41:L44)</f>
        <v>-115154.53111904915</v>
      </c>
      <c r="BB44" s="186">
        <f>SUM(M$41:M44)</f>
        <v>115154.53111904915</v>
      </c>
      <c r="BC44" s="186">
        <f>SUM(N$41:N44)</f>
        <v>3123.068965845554</v>
      </c>
      <c r="BD44" s="186">
        <f>SUM(O$41:O44)</f>
        <v>-3123.068965845554</v>
      </c>
      <c r="BE44" s="186">
        <f>SUM(P$41:P44)</f>
        <v>28119.839953009465</v>
      </c>
      <c r="BF44" s="186">
        <f>SUM(Q$41:Q44)</f>
        <v>-21823.435208364113</v>
      </c>
      <c r="BG44" s="186">
        <f>SUM(R$41:R44)</f>
        <v>-31549.739348394338</v>
      </c>
      <c r="BH44" s="186">
        <f>SUM(S$41:S44)</f>
        <v>56357.104458676433</v>
      </c>
      <c r="BI44" s="186">
        <f>SUM(T$41:T44)</f>
        <v>-56357.104458676433</v>
      </c>
      <c r="BJ44" s="186">
        <f>SUM(U$41:U44)</f>
        <v>16855.501248248762</v>
      </c>
      <c r="BK44" s="186">
        <f>SUM(V$41:V44)</f>
        <v>-43178.047763558148</v>
      </c>
      <c r="BL44" s="186">
        <f>SUM(W$41:W44)</f>
        <v>19969.557952783096</v>
      </c>
      <c r="BM44" s="186">
        <f>SUM(X$41:X44)</f>
        <v>-44382.443497007691</v>
      </c>
      <c r="BN44" s="186">
        <f>SUM(Y$41:Y44)</f>
        <v>-20495.216629137285</v>
      </c>
      <c r="BO44" s="186">
        <f>SUM(Z$41:Z44)</f>
        <v>-6494.5894925570647</v>
      </c>
      <c r="BP44" s="186">
        <f>SUM(AA$41:AA44)</f>
        <v>-29445.361701780606</v>
      </c>
    </row>
    <row r="45" spans="1:68" hidden="1" outlineLevel="1" x14ac:dyDescent="0.25">
      <c r="A45" s="186">
        <f t="shared" ca="1" si="33"/>
        <v>5898.6517545778024</v>
      </c>
      <c r="B45" s="186">
        <f ca="1">OFFSET(INDIRECT(CELL("address",OFFSET($P44,0,MATCH(MIN($P44:AB44),$P44:AB44,0)-1))),1,0)</f>
        <v>5898.6517545778024</v>
      </c>
      <c r="C45" s="186"/>
      <c r="D45" s="186"/>
      <c r="E45" s="186"/>
      <c r="F45" s="193">
        <f t="shared" si="31"/>
        <v>0.58333333333333337</v>
      </c>
      <c r="G45">
        <f>'0707'!$A$1</f>
        <v>20160707</v>
      </c>
      <c r="H45" s="254">
        <f>'0707'!$F$10</f>
        <v>0.46478873239436619</v>
      </c>
      <c r="I45" s="140">
        <f>'0707'!$Y$11</f>
        <v>0</v>
      </c>
      <c r="J45" s="140">
        <f>'0707'!$H$10</f>
        <v>1124.7855691723494</v>
      </c>
      <c r="K45" s="186">
        <f>'0707'!$Z$13</f>
        <v>80775.730635117245</v>
      </c>
      <c r="L45" s="366">
        <f>'0707'!$AA$13</f>
        <v>-25682.698963517327</v>
      </c>
      <c r="M45" s="367">
        <f>'0707'!$AB$13</f>
        <v>25682.698963517327</v>
      </c>
      <c r="N45" s="303">
        <f>'0707'!$AC$13</f>
        <v>-12606.327940685191</v>
      </c>
      <c r="O45" s="367">
        <f>'0707'!$AD$13</f>
        <v>12606.327940685191</v>
      </c>
      <c r="P45" s="253">
        <f>'0707'!$AE$13</f>
        <v>-9978.2981744579956</v>
      </c>
      <c r="Q45" s="253">
        <f>'0707'!$AF$13</f>
        <v>6154.92968889863</v>
      </c>
      <c r="R45" s="359">
        <f>'0707'!$AG$13</f>
        <v>15176.57133445279</v>
      </c>
      <c r="S45" s="303">
        <f>'0707'!$AH$13</f>
        <v>4240.1177712936224</v>
      </c>
      <c r="T45" s="303">
        <f>'0707'!$AI$13</f>
        <v>-4240.1177712936224</v>
      </c>
      <c r="U45" s="359">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32"/>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34"/>
        <v>20160707</v>
      </c>
      <c r="AX45" s="186">
        <f>SUM(C$41:C45)</f>
        <v>0</v>
      </c>
      <c r="AY45" s="186">
        <f>SUM(D$41:D45)</f>
        <v>0</v>
      </c>
      <c r="AZ45" s="186">
        <f>SUM(E$41:E45)</f>
        <v>0</v>
      </c>
      <c r="BA45" s="186">
        <f>SUM(L$41:L45)</f>
        <v>-140837.23008256647</v>
      </c>
      <c r="BB45" s="186">
        <f>SUM(M$41:M45)</f>
        <v>140837.23008256647</v>
      </c>
      <c r="BC45" s="186">
        <f>SUM(N$41:N45)</f>
        <v>-9483.2589748396367</v>
      </c>
      <c r="BD45" s="186">
        <f>SUM(O$41:O45)</f>
        <v>9483.2589748396367</v>
      </c>
      <c r="BE45" s="186">
        <f>SUM(P$41:P45)</f>
        <v>18141.541778551469</v>
      </c>
      <c r="BF45" s="186">
        <f>SUM(Q$41:Q45)</f>
        <v>-15668.505519465483</v>
      </c>
      <c r="BG45" s="186">
        <f>SUM(R$41:R45)</f>
        <v>-16373.168013941548</v>
      </c>
      <c r="BH45" s="186">
        <f>SUM(S$41:S45)</f>
        <v>60597.222229970052</v>
      </c>
      <c r="BI45" s="186">
        <f>SUM(T$41:T45)</f>
        <v>-60597.222229970052</v>
      </c>
      <c r="BJ45" s="186">
        <f>SUM(U$41:U45)</f>
        <v>25554.174321677816</v>
      </c>
      <c r="BK45" s="186">
        <f>SUM(V$41:V45)</f>
        <v>-40873.357945922551</v>
      </c>
      <c r="BL45" s="186">
        <f>SUM(W$41:W45)</f>
        <v>23885.132937991828</v>
      </c>
      <c r="BM45" s="186">
        <f>SUM(X$41:X45)</f>
        <v>-38483.791742429887</v>
      </c>
      <c r="BN45" s="186">
        <f>SUM(Y$41:Y45)</f>
        <v>-27628.164691117334</v>
      </c>
      <c r="BO45" s="186">
        <f>SUM(Z$41:Z45)</f>
        <v>-28338.460717922644</v>
      </c>
      <c r="BP45" s="186">
        <f>SUM(AA$41:AA45)</f>
        <v>-32094.692697417337</v>
      </c>
    </row>
    <row r="46" spans="1:68" hidden="1" outlineLevel="1" x14ac:dyDescent="0.25">
      <c r="A46" s="186">
        <f t="shared" ca="1" si="33"/>
        <v>-8496.9118482575359</v>
      </c>
      <c r="B46" s="186">
        <f ca="1">OFFSET(INDIRECT(CELL("address",OFFSET($P45,0,MATCH(MIN($P45:AB45),$P45:AB45,0)-1))),1,0)</f>
        <v>-8496.9118482575359</v>
      </c>
      <c r="C46" s="186"/>
      <c r="D46" s="186"/>
      <c r="E46" s="186"/>
      <c r="F46" s="193">
        <f t="shared" si="31"/>
        <v>0.58333333333333337</v>
      </c>
      <c r="G46">
        <f>'0708'!$A$1</f>
        <v>20160708</v>
      </c>
      <c r="H46" s="254">
        <f>'0708'!$F$10</f>
        <v>0.6901408450704225</v>
      </c>
      <c r="I46" s="140">
        <f>'0708'!$Y$11</f>
        <v>0</v>
      </c>
      <c r="J46" s="140">
        <f>'0708'!$H$10</f>
        <v>1200.0582615363719</v>
      </c>
      <c r="K46" s="186">
        <f>'0708'!$Z$13</f>
        <v>85336.302190161354</v>
      </c>
      <c r="L46" s="366">
        <f>'0708'!$AA$13</f>
        <v>45530.878061724761</v>
      </c>
      <c r="M46" s="367">
        <f>'0708'!$AB$13</f>
        <v>-45530.878061724761</v>
      </c>
      <c r="N46" s="303">
        <f>'0708'!$AC$13</f>
        <v>-1570.0641959817483</v>
      </c>
      <c r="O46" s="367">
        <f>'0708'!$AD$13</f>
        <v>1570.0641959817483</v>
      </c>
      <c r="P46" s="253">
        <f>'0708'!$AE$13</f>
        <v>-3315.8446972954089</v>
      </c>
      <c r="Q46" s="253">
        <f>'0708'!$AF$13</f>
        <v>7044.7145301923119</v>
      </c>
      <c r="R46" s="359">
        <f>'0708'!$AG$13</f>
        <v>488.88592953376781</v>
      </c>
      <c r="S46" s="303">
        <f>'0708'!$AH$13</f>
        <v>10952.982153208502</v>
      </c>
      <c r="T46" s="303">
        <f>'0708'!$AI$13</f>
        <v>-10952.982153208502</v>
      </c>
      <c r="U46" s="359">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32"/>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34"/>
        <v>20160708</v>
      </c>
      <c r="AX46" s="186">
        <f>SUM(C$41:C46)</f>
        <v>0</v>
      </c>
      <c r="AY46" s="186">
        <f>SUM(D$41:D46)</f>
        <v>0</v>
      </c>
      <c r="AZ46" s="186">
        <f>SUM(E$41:E46)</f>
        <v>0</v>
      </c>
      <c r="BA46" s="186">
        <f>SUM(L$41:L46)</f>
        <v>-95306.352020841703</v>
      </c>
      <c r="BB46" s="186">
        <f>SUM(M$41:M46)</f>
        <v>95306.352020841703</v>
      </c>
      <c r="BC46" s="186">
        <f>SUM(N$41:N46)</f>
        <v>-11053.323170821384</v>
      </c>
      <c r="BD46" s="186">
        <f>SUM(O$41:O46)</f>
        <v>11053.323170821384</v>
      </c>
      <c r="BE46" s="186">
        <f>SUM(P$41:P46)</f>
        <v>14825.697081256061</v>
      </c>
      <c r="BF46" s="186">
        <f>SUM(Q$41:Q46)</f>
        <v>-8623.7909892731714</v>
      </c>
      <c r="BG46" s="186">
        <f>SUM(R$41:R46)</f>
        <v>-15884.28208440778</v>
      </c>
      <c r="BH46" s="186">
        <f>SUM(S$41:S46)</f>
        <v>71550.204383178556</v>
      </c>
      <c r="BI46" s="186">
        <f>SUM(T$41:T46)</f>
        <v>-71550.204383178556</v>
      </c>
      <c r="BJ46" s="186">
        <f>SUM(U$41:U46)</f>
        <v>44350.531076779225</v>
      </c>
      <c r="BK46" s="186">
        <f>SUM(V$41:V46)</f>
        <v>-43697.600618833188</v>
      </c>
      <c r="BL46" s="186">
        <f>SUM(W$41:W46)</f>
        <v>32822.138779380439</v>
      </c>
      <c r="BM46" s="186">
        <f>SUM(X$41:X46)</f>
        <v>-32900.103324525022</v>
      </c>
      <c r="BN46" s="186">
        <f>SUM(Y$41:Y46)</f>
        <v>-31316.278187737051</v>
      </c>
      <c r="BO46" s="186">
        <f>SUM(Z$41:Z46)</f>
        <v>-36835.37256618018</v>
      </c>
      <c r="BP46" s="186">
        <f>SUM(AA$41:AA46)</f>
        <v>-24577.330504757105</v>
      </c>
    </row>
    <row r="47" spans="1:68" hidden="1" outlineLevel="1" x14ac:dyDescent="0.25">
      <c r="A47" s="186">
        <f t="shared" ca="1" si="33"/>
        <v>7576.2918730919755</v>
      </c>
      <c r="B47" s="186">
        <f ca="1">OFFSET(INDIRECT(CELL("address",OFFSET($P46,0,MATCH(MIN($P46:AB46),$P46:AB46,0)-1))),1,0)</f>
        <v>6998.381713716195</v>
      </c>
      <c r="C47" s="262">
        <v>-6998.381713716195</v>
      </c>
      <c r="D47" s="277">
        <v>3498.122773807479</v>
      </c>
      <c r="E47" s="258">
        <v>50809.378788326329</v>
      </c>
      <c r="F47" s="193">
        <f t="shared" si="31"/>
        <v>0.5</v>
      </c>
      <c r="G47">
        <f>'0711'!$A$1</f>
        <v>20160711</v>
      </c>
      <c r="H47" s="254">
        <f>'0711'!$F$10</f>
        <v>0.57746478873239437</v>
      </c>
      <c r="I47" s="140">
        <f>'0711'!$Y$11</f>
        <v>0</v>
      </c>
      <c r="J47" s="140">
        <f>'0711'!$H$10</f>
        <v>1472.2546782641598</v>
      </c>
      <c r="K47" s="186">
        <f>'0711'!$Z$13</f>
        <v>105529.38666803343</v>
      </c>
      <c r="L47" s="366">
        <f>'0711'!$AA$13</f>
        <v>50809.378788326329</v>
      </c>
      <c r="M47" s="367">
        <f>'0711'!$AB$13</f>
        <v>-50809.378788326329</v>
      </c>
      <c r="N47" s="303">
        <f>'0711'!$AC$13</f>
        <v>-826.80228839114955</v>
      </c>
      <c r="O47" s="367">
        <f>'0711'!$AD$13</f>
        <v>826.80228839114955</v>
      </c>
      <c r="P47" s="253">
        <f>'0711'!$AE$13</f>
        <v>3498.122773807479</v>
      </c>
      <c r="Q47" s="253">
        <f>'0711'!$AF$13</f>
        <v>-18356.43058861711</v>
      </c>
      <c r="R47" s="359">
        <f>'0711'!$AG$13</f>
        <v>-10495.935179809116</v>
      </c>
      <c r="S47" s="303">
        <f>'0711'!$AH$13</f>
        <v>-6998.381713716195</v>
      </c>
      <c r="T47" s="303">
        <f>'0711'!$AI$13</f>
        <v>6998.381713716195</v>
      </c>
      <c r="U47" s="359">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32"/>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34"/>
        <v>20160711</v>
      </c>
      <c r="AX47" s="186">
        <f>SUM(C$41:C47)</f>
        <v>-6998.381713716195</v>
      </c>
      <c r="AY47" s="186">
        <f>SUM(D$41:D47)</f>
        <v>3498.122773807479</v>
      </c>
      <c r="AZ47" s="186">
        <f>SUM(E$41:E47)</f>
        <v>50809.378788326329</v>
      </c>
      <c r="BA47" s="186">
        <f>SUM(L$41:L47)</f>
        <v>-44496.973232515375</v>
      </c>
      <c r="BB47" s="186">
        <f>SUM(M$41:M47)</f>
        <v>44496.973232515375</v>
      </c>
      <c r="BC47" s="186">
        <f>SUM(N$41:N47)</f>
        <v>-11880.125459212533</v>
      </c>
      <c r="BD47" s="186">
        <f>SUM(O$41:O47)</f>
        <v>11880.125459212533</v>
      </c>
      <c r="BE47" s="186">
        <f>SUM(P$41:P47)</f>
        <v>18323.819855063539</v>
      </c>
      <c r="BF47" s="186">
        <f>SUM(Q$41:Q47)</f>
        <v>-26980.221577890283</v>
      </c>
      <c r="BG47" s="186">
        <f>SUM(R$41:R47)</f>
        <v>-26380.217264216895</v>
      </c>
      <c r="BH47" s="186">
        <f>SUM(S$41:S47)</f>
        <v>64551.822669462359</v>
      </c>
      <c r="BI47" s="186">
        <f>SUM(T$41:T47)</f>
        <v>-64551.822669462359</v>
      </c>
      <c r="BJ47" s="186">
        <f>SUM(U$41:U47)</f>
        <v>36006.611842662489</v>
      </c>
      <c r="BK47" s="186">
        <f>SUM(V$41:V47)</f>
        <v>-35966.971855554882</v>
      </c>
      <c r="BL47" s="186">
        <f>SUM(W$41:W47)</f>
        <v>38390.77758761873</v>
      </c>
      <c r="BM47" s="186">
        <f>SUM(X$41:X47)</f>
        <v>-44748.395255811687</v>
      </c>
      <c r="BN47" s="186">
        <f>SUM(Y$41:Y47)</f>
        <v>-31860.606259461823</v>
      </c>
      <c r="BO47" s="186">
        <f>SUM(Z$41:Z47)</f>
        <v>-29259.080693088203</v>
      </c>
      <c r="BP47" s="186">
        <f>SUM(AA$41:AA47)</f>
        <v>-20695.987764705751</v>
      </c>
    </row>
    <row r="48" spans="1:68" hidden="1" outlineLevel="1" x14ac:dyDescent="0.25">
      <c r="A48" s="186">
        <f t="shared" ca="1" si="33"/>
        <v>8313.8480693081365</v>
      </c>
      <c r="B48" s="186">
        <f ca="1">OFFSET(INDIRECT(CELL("address",OFFSET($P47,0,MATCH(MIN($P47:AB47),$P47:AB47,0)-1))),1,0)</f>
        <v>19168.361198275477</v>
      </c>
      <c r="C48" s="245">
        <v>25837.845624371821</v>
      </c>
      <c r="D48" s="277">
        <v>19328.267772981279</v>
      </c>
      <c r="E48" s="259">
        <v>-91062.905325477492</v>
      </c>
      <c r="F48" s="193">
        <f t="shared" si="31"/>
        <v>0.66666666666666663</v>
      </c>
      <c r="G48">
        <f>'0712'!$A$1</f>
        <v>20160712</v>
      </c>
      <c r="H48" s="254">
        <f>'0712'!$F$10</f>
        <v>0.647887323943662</v>
      </c>
      <c r="I48" s="140">
        <f>'0712'!$Y$11</f>
        <v>0</v>
      </c>
      <c r="J48" s="140">
        <f>'0712'!$H$10</f>
        <v>1541.2867027296927</v>
      </c>
      <c r="K48" s="186">
        <f>'0712'!$Z$13</f>
        <v>110195.77395712283</v>
      </c>
      <c r="L48" s="366">
        <f>'0712'!$AA$13</f>
        <v>88278.258306972057</v>
      </c>
      <c r="M48" s="367">
        <f>'0712'!$AB$13</f>
        <v>-88278.258306972057</v>
      </c>
      <c r="N48" s="303">
        <f>'0712'!$AC$13</f>
        <v>31994.94867113862</v>
      </c>
      <c r="O48" s="367">
        <f>'0712'!$AD$13</f>
        <v>-31994.94867113862</v>
      </c>
      <c r="P48" s="253">
        <f>'0712'!$AE$13</f>
        <v>19328.267772981279</v>
      </c>
      <c r="Q48" s="253">
        <f>'0712'!$AF$13</f>
        <v>19168.361198275477</v>
      </c>
      <c r="R48" s="359">
        <f>'0712'!$AG$13</f>
        <v>-18377.576976710778</v>
      </c>
      <c r="S48" s="303">
        <f>'0712'!$AH$13</f>
        <v>-25837.845624371821</v>
      </c>
      <c r="T48" s="303">
        <f>'0712'!$AI$13</f>
        <v>25837.845624371821</v>
      </c>
      <c r="U48" s="359">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32"/>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34"/>
        <v>20160712</v>
      </c>
      <c r="AX48" s="186">
        <f>SUM(C$41:C48)</f>
        <v>18839.463910655628</v>
      </c>
      <c r="AY48" s="186">
        <f>SUM(D$41:D48)</f>
        <v>22826.390546788756</v>
      </c>
      <c r="AZ48" s="186">
        <f>SUM(E$41:E48)</f>
        <v>-40253.526537151163</v>
      </c>
      <c r="BA48" s="186">
        <f>SUM(L$41:L48)</f>
        <v>43781.285074456682</v>
      </c>
      <c r="BB48" s="186">
        <f>SUM(M$41:M48)</f>
        <v>-43781.285074456682</v>
      </c>
      <c r="BC48" s="186">
        <f>SUM(N$41:N48)</f>
        <v>20114.823211926087</v>
      </c>
      <c r="BD48" s="186">
        <f>SUM(O$41:O48)</f>
        <v>-20114.823211926087</v>
      </c>
      <c r="BE48" s="186">
        <f>SUM(P$41:P48)</f>
        <v>37652.087628044814</v>
      </c>
      <c r="BF48" s="186">
        <f>SUM(Q$41:Q48)</f>
        <v>-7811.8603796148054</v>
      </c>
      <c r="BG48" s="186">
        <f>SUM(R$41:R48)</f>
        <v>-44757.794240927673</v>
      </c>
      <c r="BH48" s="186">
        <f>SUM(S$41:S48)</f>
        <v>38713.977045090534</v>
      </c>
      <c r="BI48" s="186">
        <f>SUM(T$41:T48)</f>
        <v>-38713.977045090534</v>
      </c>
      <c r="BJ48" s="186">
        <f>SUM(U$41:U48)</f>
        <v>32027.09997909853</v>
      </c>
      <c r="BK48" s="186">
        <f>SUM(V$41:V48)</f>
        <v>-21713.71023016698</v>
      </c>
      <c r="BL48" s="186">
        <f>SUM(W$41:W48)</f>
        <v>25206.793231381405</v>
      </c>
      <c r="BM48" s="186">
        <f>SUM(X$41:X48)</f>
        <v>-36434.547186503551</v>
      </c>
      <c r="BN48" s="186">
        <f>SUM(Y$41:Y48)</f>
        <v>-23670.05772398728</v>
      </c>
      <c r="BO48" s="186">
        <f>SUM(Z$41:Z48)</f>
        <v>1138.633808837134</v>
      </c>
      <c r="BP48" s="186">
        <f>SUM(AA$41:AA48)</f>
        <v>-7368.2455974926597</v>
      </c>
    </row>
    <row r="49" spans="1:68" hidden="1" outlineLevel="1" x14ac:dyDescent="0.25">
      <c r="A49" s="186">
        <f t="shared" ca="1" si="33"/>
        <v>-2007.897569244423</v>
      </c>
      <c r="B49" s="186">
        <f ca="1">OFFSET(INDIRECT(CELL("address",OFFSET($P48,0,MATCH(MIN($P48:AB48),$P48:AB48,0)-1))),1,0)</f>
        <v>13508.250645239907</v>
      </c>
      <c r="C49" s="277">
        <v>-13901.462138342649</v>
      </c>
      <c r="D49" s="277">
        <v>-13901.462138342649</v>
      </c>
      <c r="E49" s="259">
        <v>4621.0210541478</v>
      </c>
      <c r="F49" s="193">
        <f t="shared" si="31"/>
        <v>0.66666666666666663</v>
      </c>
      <c r="G49">
        <f>'0713'!$A$1</f>
        <v>20160713</v>
      </c>
      <c r="H49" s="254">
        <f>'0713'!$F$10</f>
        <v>0.57746478873239437</v>
      </c>
      <c r="I49" s="140">
        <f>'0713'!$Y$11</f>
        <v>0</v>
      </c>
      <c r="J49" s="140">
        <f>'0713'!$H$10</f>
        <v>930.49110350251067</v>
      </c>
      <c r="K49" s="186">
        <f>'0713'!$Z$13</f>
        <v>66929.74292494898</v>
      </c>
      <c r="L49" s="366">
        <f>'0713'!$AA$13</f>
        <v>-2058.2170765945548</v>
      </c>
      <c r="M49" s="367">
        <f>'0713'!$AB$13</f>
        <v>2058.2170765945548</v>
      </c>
      <c r="N49" s="303">
        <f>'0713'!$AC$13</f>
        <v>-14522.329623946101</v>
      </c>
      <c r="O49" s="367">
        <f>'0713'!$AD$13</f>
        <v>14522.329623946101</v>
      </c>
      <c r="P49" s="253">
        <f>'0713'!$AE$13</f>
        <v>-13901.462138342649</v>
      </c>
      <c r="Q49" s="253">
        <f>'0713'!$AF$13</f>
        <v>7156.4600212881605</v>
      </c>
      <c r="R49" s="359">
        <f>'0713'!$AG$13</f>
        <v>24189.450853991977</v>
      </c>
      <c r="S49" s="303">
        <f>'0713'!$AH$13</f>
        <v>13508.250645239907</v>
      </c>
      <c r="T49" s="303">
        <f>'0713'!$AI$13</f>
        <v>-13508.250645239907</v>
      </c>
      <c r="U49" s="359">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32"/>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34"/>
        <v>20160713</v>
      </c>
      <c r="AX49" s="186">
        <f>SUM(C$41:C49)</f>
        <v>4938.0017723129786</v>
      </c>
      <c r="AY49" s="186">
        <f>SUM(D$41:D49)</f>
        <v>8924.9284084461069</v>
      </c>
      <c r="AZ49" s="186">
        <f>SUM(E$41:E49)</f>
        <v>-35632.505483003362</v>
      </c>
      <c r="BA49" s="186">
        <f>SUM(L$41:L49)</f>
        <v>41723.067997862127</v>
      </c>
      <c r="BB49" s="186">
        <f>SUM(M$41:M49)</f>
        <v>-41723.067997862127</v>
      </c>
      <c r="BC49" s="186">
        <f>SUM(N$41:N49)</f>
        <v>5592.493587979985</v>
      </c>
      <c r="BD49" s="186">
        <f>SUM(O$41:O49)</f>
        <v>-5592.493587979985</v>
      </c>
      <c r="BE49" s="186">
        <f>SUM(P$41:P49)</f>
        <v>23750.625489702164</v>
      </c>
      <c r="BF49" s="186">
        <f>SUM(Q$41:Q49)</f>
        <v>-655.40035832664489</v>
      </c>
      <c r="BG49" s="186">
        <f>SUM(R$41:R49)</f>
        <v>-20568.343386935696</v>
      </c>
      <c r="BH49" s="186">
        <f>SUM(S$41:S49)</f>
        <v>52222.227690330445</v>
      </c>
      <c r="BI49" s="186">
        <f>SUM(T$41:T49)</f>
        <v>-52222.227690330445</v>
      </c>
      <c r="BJ49" s="186">
        <f>SUM(U$41:U49)</f>
        <v>37883.538288737298</v>
      </c>
      <c r="BK49" s="186">
        <f>SUM(V$41:V49)</f>
        <v>-21087.693920127302</v>
      </c>
      <c r="BL49" s="186">
        <f>SUM(W$41:W49)</f>
        <v>23198.895662136983</v>
      </c>
      <c r="BM49" s="186">
        <f>SUM(X$41:X49)</f>
        <v>-34014.59950999666</v>
      </c>
      <c r="BN49" s="186">
        <f>SUM(Y$41:Y49)</f>
        <v>-21798.309979698333</v>
      </c>
      <c r="BO49" s="186">
        <f>SUM(Z$41:Z49)</f>
        <v>-11580.635145026072</v>
      </c>
      <c r="BP49" s="186">
        <f>SUM(AA$41:AA49)</f>
        <v>-5770.239188139185</v>
      </c>
    </row>
    <row r="50" spans="1:68" hidden="1" outlineLevel="1" x14ac:dyDescent="0.25">
      <c r="A50" s="186">
        <f t="shared" ca="1" si="33"/>
        <v>-18721.465050084826</v>
      </c>
      <c r="B50" s="186">
        <f ca="1">OFFSET(INDIRECT(CELL("address",OFFSET($P49,0,MATCH(MIN($P49:AB49),$P49:AB49,0)-1))),1,0)</f>
        <v>-12964.0966783729</v>
      </c>
      <c r="C50" s="245">
        <v>3913.2836976585113</v>
      </c>
      <c r="D50" s="277">
        <v>-12964.0966783729</v>
      </c>
      <c r="E50" s="260">
        <v>-368.01446793959911</v>
      </c>
      <c r="F50" s="193">
        <f t="shared" si="31"/>
        <v>0.58333333333333337</v>
      </c>
      <c r="G50">
        <f>'0714'!$A$1</f>
        <v>20160714</v>
      </c>
      <c r="H50" s="254">
        <f>'0714'!$F$10</f>
        <v>0.63380281690140849</v>
      </c>
      <c r="I50" s="140">
        <f>'0714'!$Y$11</f>
        <v>0</v>
      </c>
      <c r="J50" s="140">
        <f>'0714'!$H$10</f>
        <v>1156.2260612512839</v>
      </c>
      <c r="K50" s="186">
        <f>'0714'!$Z$13</f>
        <v>84176.831149821141</v>
      </c>
      <c r="L50" s="366">
        <f>'0714'!$AA$13</f>
        <v>50269.739266943987</v>
      </c>
      <c r="M50" s="367">
        <f>'0714'!$AB$13</f>
        <v>-50269.739266943987</v>
      </c>
      <c r="N50" s="303">
        <f>'0714'!$AC$13</f>
        <v>-18554.603085784289</v>
      </c>
      <c r="O50" s="367">
        <f>'0714'!$AD$13</f>
        <v>18554.603085784289</v>
      </c>
      <c r="P50" s="253">
        <f>'0714'!$AE$13</f>
        <v>-12964.0966783729</v>
      </c>
      <c r="Q50" s="253">
        <f>'0714'!$AF$13</f>
        <v>561.75062790309528</v>
      </c>
      <c r="R50" s="359">
        <f>'0714'!$AG$13</f>
        <v>-368.01446793959911</v>
      </c>
      <c r="S50" s="303">
        <f>'0714'!$AH$13</f>
        <v>-3913.2836976585113</v>
      </c>
      <c r="T50" s="303">
        <f>'0714'!$AI$13</f>
        <v>3913.2836976585113</v>
      </c>
      <c r="U50" s="359">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32"/>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34"/>
        <v>20160714</v>
      </c>
      <c r="AX50" s="186">
        <f>SUM(C$41:C50)</f>
        <v>8851.2854699714899</v>
      </c>
      <c r="AY50" s="186">
        <f>SUM(D$41:D50)</f>
        <v>-4039.1682699267931</v>
      </c>
      <c r="AZ50" s="186">
        <f>SUM(E$41:E50)</f>
        <v>-36000.519950942959</v>
      </c>
      <c r="BA50" s="186">
        <f>SUM(L$41:L50)</f>
        <v>91992.807264806121</v>
      </c>
      <c r="BB50" s="186">
        <f>SUM(M$41:M50)</f>
        <v>-91992.807264806121</v>
      </c>
      <c r="BC50" s="186">
        <f>SUM(N$41:N50)</f>
        <v>-12962.109497804304</v>
      </c>
      <c r="BD50" s="186">
        <f>SUM(O$41:O50)</f>
        <v>12962.109497804304</v>
      </c>
      <c r="BE50" s="186">
        <f>SUM(P$41:P50)</f>
        <v>10786.528811329264</v>
      </c>
      <c r="BF50" s="186">
        <f>SUM(Q$41:Q50)</f>
        <v>-93.649730423549613</v>
      </c>
      <c r="BG50" s="186">
        <f>SUM(R$41:R50)</f>
        <v>-20936.357854875296</v>
      </c>
      <c r="BH50" s="186">
        <f>SUM(S$41:S50)</f>
        <v>48308.943992671935</v>
      </c>
      <c r="BI50" s="186">
        <f>SUM(T$41:T50)</f>
        <v>-48308.943992671935</v>
      </c>
      <c r="BJ50" s="186">
        <f>SUM(U$41:U50)</f>
        <v>49834.632563041283</v>
      </c>
      <c r="BK50" s="186">
        <f>SUM(V$41:V50)</f>
        <v>-30354.663218652524</v>
      </c>
      <c r="BL50" s="186">
        <f>SUM(W$41:W50)</f>
        <v>27880.471249482587</v>
      </c>
      <c r="BM50" s="186">
        <f>SUM(X$41:X50)</f>
        <v>-20793.743323771872</v>
      </c>
      <c r="BN50" s="186">
        <f>SUM(Y$41:Y50)</f>
        <v>-10698.79597700597</v>
      </c>
      <c r="BO50" s="186">
        <f>SUM(Z$41:Z50)</f>
        <v>-30302.100195110899</v>
      </c>
      <c r="BP50" s="186">
        <f>SUM(AA$41:AA50)</f>
        <v>4005.0617596672255</v>
      </c>
    </row>
    <row r="51" spans="1:68" hidden="1" outlineLevel="1" x14ac:dyDescent="0.25">
      <c r="A51" s="186">
        <f t="shared" ca="1" si="33"/>
        <v>8216.099081848095</v>
      </c>
      <c r="B51" s="186">
        <f ca="1">OFFSET(INDIRECT(CELL("address",OFFSET($P50,0,MATCH(MIN($P50:AB50),$P50:AB50,0)-1))),1,0)</f>
        <v>8216.099081848095</v>
      </c>
      <c r="C51" s="277">
        <v>15125.737606686253</v>
      </c>
      <c r="D51" s="277">
        <v>15125.737606686253</v>
      </c>
      <c r="E51" s="258">
        <v>-19147.405658169995</v>
      </c>
      <c r="F51" s="193">
        <f t="shared" si="31"/>
        <v>0.58333333333333337</v>
      </c>
      <c r="G51">
        <f>'0715'!$A$1</f>
        <v>20160715</v>
      </c>
      <c r="H51" s="254">
        <f>'0715'!$F$10</f>
        <v>0.22535211267605634</v>
      </c>
      <c r="I51" s="140">
        <f>'0715'!$Y$11</f>
        <v>0</v>
      </c>
      <c r="J51" s="140">
        <f>'0715'!$H$10</f>
        <v>896.9764105548843</v>
      </c>
      <c r="K51" s="186">
        <f>'0715'!$Z$13</f>
        <v>64627.968713753369</v>
      </c>
      <c r="L51" s="366">
        <f>'0715'!$AA$13</f>
        <v>-19147.405658169995</v>
      </c>
      <c r="M51" s="367">
        <f>'0715'!$AB$13</f>
        <v>19147.405658169995</v>
      </c>
      <c r="N51" s="303">
        <f>'0715'!$AC$13</f>
        <v>-3636.2316615537434</v>
      </c>
      <c r="O51" s="367">
        <f>'0715'!$AD$13</f>
        <v>3636.2316615537434</v>
      </c>
      <c r="P51" s="253">
        <f>'0715'!$AE$13</f>
        <v>15125.737606686253</v>
      </c>
      <c r="Q51" s="253">
        <f>'0715'!$AF$13</f>
        <v>-5649.8074079456201</v>
      </c>
      <c r="R51" s="359">
        <f>'0715'!$AG$13</f>
        <v>-11159.270138384771</v>
      </c>
      <c r="S51" s="303">
        <f>'0715'!$AH$13</f>
        <v>-20592.772293533857</v>
      </c>
      <c r="T51" s="303">
        <f>'0715'!$AI$13</f>
        <v>20592.772293533857</v>
      </c>
      <c r="U51" s="359">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32"/>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34"/>
        <v>20160715</v>
      </c>
      <c r="AX51" s="186">
        <f>SUM(C$41:C51)</f>
        <v>23977.023076657744</v>
      </c>
      <c r="AY51" s="186">
        <f>SUM(D$41:D51)</f>
        <v>11086.569336759459</v>
      </c>
      <c r="AZ51" s="186">
        <f>SUM(E$41:E51)</f>
        <v>-55147.92560911295</v>
      </c>
      <c r="BA51" s="186">
        <f>SUM(L$41:L51)</f>
        <v>72845.401606636122</v>
      </c>
      <c r="BB51" s="186">
        <f>SUM(M$41:M51)</f>
        <v>-72845.401606636122</v>
      </c>
      <c r="BC51" s="186">
        <f>SUM(N$41:N51)</f>
        <v>-16598.341159358046</v>
      </c>
      <c r="BD51" s="186">
        <f>SUM(O$41:O51)</f>
        <v>16598.341159358046</v>
      </c>
      <c r="BE51" s="186">
        <f>SUM(P$41:P51)</f>
        <v>25912.266418015519</v>
      </c>
      <c r="BF51" s="186">
        <f>SUM(Q$41:Q51)</f>
        <v>-5743.45713836917</v>
      </c>
      <c r="BG51" s="186">
        <f>SUM(R$41:R51)</f>
        <v>-32095.627993260066</v>
      </c>
      <c r="BH51" s="186">
        <f>SUM(S$41:S51)</f>
        <v>27716.171699138078</v>
      </c>
      <c r="BI51" s="186">
        <f>SUM(T$41:T51)</f>
        <v>-27716.171699138078</v>
      </c>
      <c r="BJ51" s="186">
        <f>SUM(U$41:U51)</f>
        <v>42835.331831369047</v>
      </c>
      <c r="BK51" s="186">
        <f>SUM(V$41:V51)</f>
        <v>-30562.458704793466</v>
      </c>
      <c r="BL51" s="186">
        <f>SUM(W$41:W51)</f>
        <v>31844.130579662557</v>
      </c>
      <c r="BM51" s="186">
        <f>SUM(X$41:X51)</f>
        <v>-7491.2443342799561</v>
      </c>
      <c r="BN51" s="186">
        <f>SUM(Y$41:Y51)</f>
        <v>2218.1889042882667</v>
      </c>
      <c r="BO51" s="186">
        <f>SUM(Z$41:Z51)</f>
        <v>-22086.001113262806</v>
      </c>
      <c r="BP51" s="186">
        <f>SUM(AA$41:AA51)</f>
        <v>20263.610494052118</v>
      </c>
    </row>
    <row r="52" spans="1:68" hidden="1" outlineLevel="1" x14ac:dyDescent="0.25">
      <c r="A52" s="186">
        <f t="shared" ca="1" si="33"/>
        <v>-7172.6246668443955</v>
      </c>
      <c r="B52" s="186">
        <f ca="1">OFFSET(INDIRECT(CELL("address",OFFSET($P51,0,MATCH(MIN($P51:AB51),$P51:AB51,0)-1))),1,0)</f>
        <v>-1683.7234196409127</v>
      </c>
      <c r="C52" s="259">
        <v>-10095.839518512632</v>
      </c>
      <c r="D52" s="277">
        <v>-2042.5722875224292</v>
      </c>
      <c r="E52" s="245">
        <v>-10095.839518512632</v>
      </c>
      <c r="F52" s="193">
        <f t="shared" si="31"/>
        <v>0.66666666666666663</v>
      </c>
      <c r="G52">
        <f>'0718'!$A$1</f>
        <v>20160718</v>
      </c>
      <c r="H52" s="254">
        <f>'0718'!$F$10</f>
        <v>0.676056338028169</v>
      </c>
      <c r="I52" s="140">
        <f>'0718'!$Y$11</f>
        <v>0</v>
      </c>
      <c r="J52" s="140">
        <f>'0718'!$H$10</f>
        <v>643.76006721745262</v>
      </c>
      <c r="K52" s="186">
        <f>'0718'!$Z$13</f>
        <v>48232.544486893916</v>
      </c>
      <c r="L52" s="366">
        <f>'0718'!$AA$13</f>
        <v>10095.839518512632</v>
      </c>
      <c r="M52" s="367">
        <f>'0718'!$AB$13</f>
        <v>-10095.839518512632</v>
      </c>
      <c r="N52" s="303">
        <f>'0718'!$AC$13</f>
        <v>-22643.554566786184</v>
      </c>
      <c r="O52" s="367">
        <f>'0718'!$AD$13</f>
        <v>22643.554566786184</v>
      </c>
      <c r="P52" s="253">
        <f>'0718'!$AE$13</f>
        <v>-2042.5722875224292</v>
      </c>
      <c r="Q52" s="253">
        <f>'0718'!$AF$13</f>
        <v>4482.4360873779924</v>
      </c>
      <c r="R52" s="359">
        <f>'0718'!$AG$13</f>
        <v>2011.2422552255166</v>
      </c>
      <c r="S52" s="303">
        <f>'0718'!$AH$13</f>
        <v>-1683.7234196409127</v>
      </c>
      <c r="T52" s="303">
        <f>'0718'!$AI$13</f>
        <v>1683.7234196409127</v>
      </c>
      <c r="U52" s="359">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32"/>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34"/>
        <v>20160718</v>
      </c>
      <c r="AX52" s="186">
        <f>SUM(C$41:C52)</f>
        <v>13881.183558145112</v>
      </c>
      <c r="AY52" s="186">
        <f>SUM(D$41:D52)</f>
        <v>9043.9970492370303</v>
      </c>
      <c r="AZ52" s="186">
        <f>SUM(E$41:E52)</f>
        <v>-65243.765127625578</v>
      </c>
      <c r="BA52" s="186">
        <f>SUM(L$41:L52)</f>
        <v>82941.24112514875</v>
      </c>
      <c r="BB52" s="186">
        <f>SUM(M$41:M52)</f>
        <v>-82941.24112514875</v>
      </c>
      <c r="BC52" s="186">
        <f>SUM(N$41:N52)</f>
        <v>-39241.895726144227</v>
      </c>
      <c r="BD52" s="186">
        <f>SUM(O$41:O52)</f>
        <v>39241.895726144227</v>
      </c>
      <c r="BE52" s="186">
        <f>SUM(P$41:P52)</f>
        <v>23869.694130493088</v>
      </c>
      <c r="BF52" s="186">
        <f>SUM(Q$41:Q52)</f>
        <v>-1261.0210509911776</v>
      </c>
      <c r="BG52" s="186">
        <f>SUM(R$41:R52)</f>
        <v>-30084.385738034551</v>
      </c>
      <c r="BH52" s="186">
        <f>SUM(S$41:S52)</f>
        <v>26032.448279497166</v>
      </c>
      <c r="BI52" s="186">
        <f>SUM(T$41:T52)</f>
        <v>-26032.448279497166</v>
      </c>
      <c r="BJ52" s="186">
        <f>SUM(U$41:U52)</f>
        <v>47430.452207710892</v>
      </c>
      <c r="BK52" s="186">
        <f>SUM(V$41:V52)</f>
        <v>-37735.083371637862</v>
      </c>
      <c r="BL52" s="186">
        <f>SUM(W$41:W52)</f>
        <v>38398.227904823121</v>
      </c>
      <c r="BM52" s="186">
        <f>SUM(X$41:X52)</f>
        <v>8579.1562815511861</v>
      </c>
      <c r="BN52" s="186">
        <f>SUM(Y$41:Y52)</f>
        <v>12527.45925242146</v>
      </c>
      <c r="BO52" s="186">
        <f>SUM(Z$41:Z52)</f>
        <v>-41200.482134799182</v>
      </c>
      <c r="BP52" s="186">
        <f>SUM(AA$41:AA52)</f>
        <v>31247.256978002995</v>
      </c>
    </row>
    <row r="53" spans="1:68" hidden="1" outlineLevel="1" x14ac:dyDescent="0.25">
      <c r="A53" s="186">
        <f t="shared" ca="1" si="33"/>
        <v>7041.6476191464217</v>
      </c>
      <c r="B53" s="186">
        <f ca="1">OFFSET(INDIRECT(CELL("address",OFFSET($P52,0,MATCH(MIN($P52:AB52),$P52:AB52,0)-1))),1,0)</f>
        <v>7041.6476191464217</v>
      </c>
      <c r="C53" s="269">
        <v>-27865.22856497547</v>
      </c>
      <c r="D53" s="263">
        <v>-10859.975037241193</v>
      </c>
      <c r="E53" s="271">
        <v>27865.22856497547</v>
      </c>
      <c r="F53" s="193">
        <f t="shared" si="31"/>
        <v>0.33333333333333331</v>
      </c>
      <c r="G53">
        <f>'0719'!$A$1</f>
        <v>20160719</v>
      </c>
      <c r="H53" s="254">
        <f>'0719'!$F$10</f>
        <v>0.30985915492957744</v>
      </c>
      <c r="I53" s="140">
        <f>'0719'!$Y$11</f>
        <v>0</v>
      </c>
      <c r="J53" s="140">
        <f>'0719'!$H$10</f>
        <v>963.91274206308856</v>
      </c>
      <c r="K53" s="186">
        <f>'0719'!$Z$13</f>
        <v>69289.009681910771</v>
      </c>
      <c r="L53" s="366">
        <f>'0719'!$AA$13</f>
        <v>-52834.25008472809</v>
      </c>
      <c r="M53" s="367">
        <f>'0719'!$AB$13</f>
        <v>52834.25008472809</v>
      </c>
      <c r="N53" s="303">
        <f>'0719'!$AC$13</f>
        <v>-27865.22856497547</v>
      </c>
      <c r="O53" s="367">
        <f>'0719'!$AD$13</f>
        <v>27865.22856497547</v>
      </c>
      <c r="P53" s="253">
        <f>'0719'!$AE$13</f>
        <v>996.36581408768325</v>
      </c>
      <c r="Q53" s="253">
        <f>'0719'!$AF$13</f>
        <v>-13072.370235922479</v>
      </c>
      <c r="R53" s="359">
        <f>'0719'!$AG$13</f>
        <v>-9516.0972566272394</v>
      </c>
      <c r="S53" s="303">
        <f>'0719'!$AH$13</f>
        <v>28561.663908771297</v>
      </c>
      <c r="T53" s="303">
        <f>'0719'!$AI$13</f>
        <v>-28561.663908771297</v>
      </c>
      <c r="U53" s="359">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32"/>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34"/>
        <v>20160719</v>
      </c>
      <c r="AX53" s="186">
        <f>SUM(C$41:C53)</f>
        <v>-13984.045006830358</v>
      </c>
      <c r="AY53" s="186">
        <f>SUM(D$41:D53)</f>
        <v>-1815.9779880041624</v>
      </c>
      <c r="AZ53" s="186">
        <f>SUM(E$41:E53)</f>
        <v>-37378.536562650108</v>
      </c>
      <c r="BA53" s="186">
        <f>SUM(L$41:L53)</f>
        <v>30106.99104042066</v>
      </c>
      <c r="BB53" s="186">
        <f>SUM(M$41:M53)</f>
        <v>-30106.99104042066</v>
      </c>
      <c r="BC53" s="186">
        <f>SUM(N$41:N53)</f>
        <v>-67107.12429111969</v>
      </c>
      <c r="BD53" s="186">
        <f>SUM(O$41:O53)</f>
        <v>67107.12429111969</v>
      </c>
      <c r="BE53" s="186">
        <f>SUM(P$41:P53)</f>
        <v>24866.059944580771</v>
      </c>
      <c r="BF53" s="186">
        <f>SUM(Q$41:Q53)</f>
        <v>-14333.391286913657</v>
      </c>
      <c r="BG53" s="186">
        <f>SUM(R$41:R53)</f>
        <v>-39600.48299466179</v>
      </c>
      <c r="BH53" s="186">
        <f>SUM(S$41:S53)</f>
        <v>54594.112188268467</v>
      </c>
      <c r="BI53" s="186">
        <f>SUM(T$41:T53)</f>
        <v>-54594.112188268467</v>
      </c>
      <c r="BJ53" s="186">
        <f>SUM(U$41:U53)</f>
        <v>38394.190278618029</v>
      </c>
      <c r="BK53" s="186">
        <f>SUM(V$41:V53)</f>
        <v>-70989.876169321884</v>
      </c>
      <c r="BL53" s="186">
        <f>SUM(W$41:W53)</f>
        <v>48343.418984474119</v>
      </c>
      <c r="BM53" s="186">
        <f>SUM(X$41:X53)</f>
        <v>125.76970334049656</v>
      </c>
      <c r="BN53" s="186">
        <f>SUM(Y$41:Y53)</f>
        <v>-6001.4963565972866</v>
      </c>
      <c r="BO53" s="186">
        <f>SUM(Z$41:Z53)</f>
        <v>-34158.834515652758</v>
      </c>
      <c r="BP53" s="186">
        <f>SUM(AA$41:AA53)</f>
        <v>27132.992602837068</v>
      </c>
    </row>
    <row r="54" spans="1:68" hidden="1" outlineLevel="1" x14ac:dyDescent="0.25">
      <c r="A54" s="186">
        <f t="shared" ca="1" si="33"/>
        <v>28808.488718592762</v>
      </c>
      <c r="B54" s="186">
        <f ca="1">OFFSET(INDIRECT(CELL("address",OFFSET($P53,0,MATCH(MIN($P53:AB53),$P53:AB53,0)-1))),1,0)</f>
        <v>28808.488718592762</v>
      </c>
      <c r="C54" s="245">
        <v>17399.677097477994</v>
      </c>
      <c r="D54" s="263">
        <v>28615.998130078759</v>
      </c>
      <c r="E54" s="259">
        <v>-21887.488196094077</v>
      </c>
      <c r="F54" s="193">
        <f t="shared" si="31"/>
        <v>0.83333333333333337</v>
      </c>
      <c r="G54">
        <f>'0720'!$A$1</f>
        <v>20160720</v>
      </c>
      <c r="H54" s="254">
        <f>'0720'!$F$10</f>
        <v>0.47887323943661969</v>
      </c>
      <c r="I54" s="140">
        <f>'0720'!$Y$11</f>
        <v>0</v>
      </c>
      <c r="J54" s="140">
        <f>'0720'!$H$10</f>
        <v>916.03296655340523</v>
      </c>
      <c r="K54" s="186">
        <f>'0720'!$Z$13</f>
        <v>65673.425979912761</v>
      </c>
      <c r="L54" s="366">
        <f>'0720'!$AA$13</f>
        <v>21887.488196094077</v>
      </c>
      <c r="M54" s="367">
        <f>'0720'!$AB$13</f>
        <v>-21887.488196094077</v>
      </c>
      <c r="N54" s="303">
        <f>'0720'!$AC$13</f>
        <v>-54.742175558399822</v>
      </c>
      <c r="O54" s="367">
        <f>'0720'!$AD$13</f>
        <v>54.742175558399822</v>
      </c>
      <c r="P54" s="253">
        <f>'0720'!$AE$13</f>
        <v>2238.3409662310355</v>
      </c>
      <c r="Q54" s="253">
        <f>'0720'!$AF$13</f>
        <v>18677.16999493101</v>
      </c>
      <c r="R54" s="359">
        <f>'0720'!$AG$13</f>
        <v>37568.479308030808</v>
      </c>
      <c r="S54" s="303">
        <f>'0720'!$AH$13</f>
        <v>-8342.9356224193198</v>
      </c>
      <c r="T54" s="303">
        <f>'0720'!$AI$13</f>
        <v>8342.9356224193198</v>
      </c>
      <c r="U54" s="359">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32"/>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34"/>
        <v>20160720</v>
      </c>
      <c r="AX54" s="186">
        <f>SUM(C$41:C54)</f>
        <v>3415.6320906476358</v>
      </c>
      <c r="AY54" s="186">
        <f>SUM(D$41:D54)</f>
        <v>26800.020142074594</v>
      </c>
      <c r="AZ54" s="186">
        <f>SUM(E$41:E54)</f>
        <v>-59266.024758744185</v>
      </c>
      <c r="BA54" s="186">
        <f>SUM(L$41:L54)</f>
        <v>51994.479236514737</v>
      </c>
      <c r="BB54" s="186">
        <f>SUM(M$41:M54)</f>
        <v>-51994.479236514737</v>
      </c>
      <c r="BC54" s="186">
        <f>SUM(N$41:N54)</f>
        <v>-67161.866466678082</v>
      </c>
      <c r="BD54" s="186">
        <f>SUM(O$41:O54)</f>
        <v>67161.866466678082</v>
      </c>
      <c r="BE54" s="186">
        <f>SUM(P$41:P54)</f>
        <v>27104.400910811808</v>
      </c>
      <c r="BF54" s="186">
        <f>SUM(Q$41:Q54)</f>
        <v>4343.778708017353</v>
      </c>
      <c r="BG54" s="186">
        <f>SUM(R$41:R54)</f>
        <v>-2032.003686630982</v>
      </c>
      <c r="BH54" s="186">
        <f>SUM(S$41:S54)</f>
        <v>46251.176565849149</v>
      </c>
      <c r="BI54" s="186">
        <f>SUM(T$41:T54)</f>
        <v>-46251.176565849149</v>
      </c>
      <c r="BJ54" s="186">
        <f>SUM(U$41:U54)</f>
        <v>62298.798284059434</v>
      </c>
      <c r="BK54" s="186">
        <f>SUM(V$41:V54)</f>
        <v>-42181.387450729118</v>
      </c>
      <c r="BL54" s="186">
        <f>SUM(W$41:W54)</f>
        <v>65743.096081952113</v>
      </c>
      <c r="BM54" s="186">
        <f>SUM(X$41:X54)</f>
        <v>13113.894009043037</v>
      </c>
      <c r="BN54" s="186">
        <f>SUM(Y$41:Y54)</f>
        <v>18115.691648839867</v>
      </c>
      <c r="BO54" s="186">
        <f>SUM(Z$41:Z54)</f>
        <v>-63777.367689443665</v>
      </c>
      <c r="BP54" s="186">
        <f>SUM(AA$41:AA54)</f>
        <v>38271.714635659475</v>
      </c>
    </row>
    <row r="55" spans="1:68" hidden="1" outlineLevel="1" x14ac:dyDescent="0.25">
      <c r="A55" s="186">
        <f t="shared" ca="1" si="33"/>
        <v>-4601.1142507000795</v>
      </c>
      <c r="B55" s="186">
        <f ca="1">OFFSET(INDIRECT(CELL("address",OFFSET($P54,0,MATCH(MIN($P54:AB54),$P54:AB54,0)-1))),1,0)</f>
        <v>-4601.1142507000795</v>
      </c>
      <c r="C55" s="258">
        <v>-23653.113789079569</v>
      </c>
      <c r="D55" s="263">
        <v>1417.1988776261801</v>
      </c>
      <c r="E55" s="260">
        <v>3748.4572192028181</v>
      </c>
      <c r="F55" s="193">
        <f t="shared" si="31"/>
        <v>0.75</v>
      </c>
      <c r="G55">
        <f>'0721'!$A$1</f>
        <v>20160721</v>
      </c>
      <c r="H55" s="254">
        <f>'0721'!$F$10</f>
        <v>0.49295774647887325</v>
      </c>
      <c r="I55" s="140">
        <f>'0721'!$Y$11</f>
        <v>0</v>
      </c>
      <c r="J55" s="140">
        <f>'0721'!$H$10</f>
        <v>864.00065418233544</v>
      </c>
      <c r="K55" s="186">
        <f>'0721'!$Z$13</f>
        <v>62108.375201524883</v>
      </c>
      <c r="L55" s="366">
        <f>'0721'!$AA$13</f>
        <v>-23653.113789079569</v>
      </c>
      <c r="M55" s="367">
        <f>'0721'!$AB$13</f>
        <v>23653.113789079569</v>
      </c>
      <c r="N55" s="303">
        <f>'0721'!$AC$13</f>
        <v>-12000.078997483492</v>
      </c>
      <c r="O55" s="367">
        <f>'0721'!$AD$13</f>
        <v>12000.078997483492</v>
      </c>
      <c r="P55" s="253">
        <f>'0721'!$AE$13</f>
        <v>11077.069514970593</v>
      </c>
      <c r="Q55" s="253">
        <f>'0721'!$AF$13</f>
        <v>21487.444902381212</v>
      </c>
      <c r="R55" s="359">
        <f>'0721'!$AG$13</f>
        <v>3748.4572192028181</v>
      </c>
      <c r="S55" s="303">
        <f>'0721'!$AH$13</f>
        <v>8653.2922647307751</v>
      </c>
      <c r="T55" s="303">
        <f>'0721'!$AI$13</f>
        <v>-8653.2922647307751</v>
      </c>
      <c r="U55" s="359">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32"/>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34"/>
        <v>20160721</v>
      </c>
      <c r="AX55" s="186">
        <f>SUM(C$41:C55)</f>
        <v>-20237.481698431933</v>
      </c>
      <c r="AY55" s="186">
        <f>SUM(D$41:D55)</f>
        <v>28217.219019700773</v>
      </c>
      <c r="AZ55" s="186">
        <f>SUM(E$41:E55)</f>
        <v>-55517.567539541364</v>
      </c>
      <c r="BA55" s="186">
        <f>SUM(L$41:L55)</f>
        <v>28341.365447435168</v>
      </c>
      <c r="BB55" s="186">
        <f>SUM(M$41:M55)</f>
        <v>-28341.365447435168</v>
      </c>
      <c r="BC55" s="186">
        <f>SUM(N$41:N55)</f>
        <v>-79161.945464161574</v>
      </c>
      <c r="BD55" s="186">
        <f>SUM(O$41:O55)</f>
        <v>79161.945464161574</v>
      </c>
      <c r="BE55" s="186">
        <f>SUM(P$41:P55)</f>
        <v>38181.470425782405</v>
      </c>
      <c r="BF55" s="186">
        <f>SUM(Q$41:Q55)</f>
        <v>25831.223610398563</v>
      </c>
      <c r="BG55" s="186">
        <f>SUM(R$41:R55)</f>
        <v>1716.4535325718361</v>
      </c>
      <c r="BH55" s="186">
        <f>SUM(S$41:S55)</f>
        <v>54904.468830579921</v>
      </c>
      <c r="BI55" s="186">
        <f>SUM(T$41:T55)</f>
        <v>-54904.468830579921</v>
      </c>
      <c r="BJ55" s="186">
        <f>SUM(U$41:U55)</f>
        <v>65978.002542300979</v>
      </c>
      <c r="BK55" s="186">
        <f>SUM(V$41:V55)</f>
        <v>-44153.572955181575</v>
      </c>
      <c r="BL55" s="186">
        <f>SUM(W$41:W55)</f>
        <v>89568.294119039507</v>
      </c>
      <c r="BM55" s="186">
        <f>SUM(X$41:X55)</f>
        <v>23110.354839556927</v>
      </c>
      <c r="BN55" s="186">
        <f>SUM(Y$41:Y55)</f>
        <v>35508.737057437116</v>
      </c>
      <c r="BO55" s="186">
        <f>SUM(Z$41:Z55)</f>
        <v>-68378.481940143742</v>
      </c>
      <c r="BP55" s="186">
        <f>SUM(AA$41:AA55)</f>
        <v>51999.711080731766</v>
      </c>
    </row>
    <row r="56" spans="1:68" hidden="1" outlineLevel="1" x14ac:dyDescent="0.25">
      <c r="A56" s="186">
        <f t="shared" ca="1" si="33"/>
        <v>-18996.380518011985</v>
      </c>
      <c r="B56" s="186">
        <f ca="1">OFFSET(INDIRECT(CELL("address",OFFSET($P55,0,MATCH(MIN($P55:AB55),$P55:AB55,0)-1))),1,0)</f>
        <v>9511.4341663701089</v>
      </c>
      <c r="C56" s="258">
        <v>-3171.0176449690475</v>
      </c>
      <c r="D56" s="263">
        <v>9691.2409290231735</v>
      </c>
      <c r="E56" s="245">
        <v>813.77516318491871</v>
      </c>
      <c r="F56" s="193">
        <f t="shared" si="31"/>
        <v>0.41666666666666669</v>
      </c>
      <c r="G56">
        <f>'0722'!$A$1</f>
        <v>20160722</v>
      </c>
      <c r="H56" s="254">
        <f>'0722'!$F$10</f>
        <v>0.47887323943661969</v>
      </c>
      <c r="I56" s="140">
        <f>'0722'!$Y$11</f>
        <v>0</v>
      </c>
      <c r="J56" s="140">
        <f>'0722'!$H$10</f>
        <v>990.00019358806526</v>
      </c>
      <c r="K56" s="186">
        <f>'0722'!$Z$13</f>
        <v>70553.373550754681</v>
      </c>
      <c r="L56" s="366">
        <f>'0722'!$AA$13</f>
        <v>-3171.0176449690475</v>
      </c>
      <c r="M56" s="367">
        <f>'0722'!$AB$13</f>
        <v>3171.0176449690475</v>
      </c>
      <c r="N56" s="303">
        <f>'0722'!$AC$13</f>
        <v>-23229.173460803147</v>
      </c>
      <c r="O56" s="367">
        <f>'0722'!$AD$13</f>
        <v>23229.173460803147</v>
      </c>
      <c r="P56" s="253">
        <f>'0722'!$AE$13</f>
        <v>-27305.315303959491</v>
      </c>
      <c r="Q56" s="253">
        <f>'0722'!$AF$13</f>
        <v>-18814.01512393773</v>
      </c>
      <c r="R56" s="359">
        <f>'0722'!$AG$13</f>
        <v>-1485.9849288201754</v>
      </c>
      <c r="S56" s="303">
        <f>'0722'!$AH$13</f>
        <v>-9511.4341663701089</v>
      </c>
      <c r="T56" s="303">
        <f>'0722'!$AI$13</f>
        <v>9511.4341663701089</v>
      </c>
      <c r="U56" s="359">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32"/>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34"/>
        <v>20160722</v>
      </c>
      <c r="AX56" s="186">
        <f>SUM(C$41:C56)</f>
        <v>-23408.499343400981</v>
      </c>
      <c r="AY56" s="186">
        <f>SUM(D$41:D56)</f>
        <v>37908.459948723947</v>
      </c>
      <c r="AZ56" s="186">
        <f>SUM(E$41:E56)</f>
        <v>-54703.792376356447</v>
      </c>
      <c r="BA56" s="186">
        <f>SUM(L$41:L56)</f>
        <v>25170.34780246612</v>
      </c>
      <c r="BB56" s="186">
        <f>SUM(M$41:M56)</f>
        <v>-25170.34780246612</v>
      </c>
      <c r="BC56" s="186">
        <f>SUM(N$41:N56)</f>
        <v>-102391.11892496471</v>
      </c>
      <c r="BD56" s="186">
        <f>SUM(O$41:O56)</f>
        <v>102391.11892496471</v>
      </c>
      <c r="BE56" s="186">
        <f>SUM(P$41:P56)</f>
        <v>10876.155121822914</v>
      </c>
      <c r="BF56" s="186">
        <f>SUM(Q$41:Q56)</f>
        <v>7017.2084864608332</v>
      </c>
      <c r="BG56" s="186">
        <f>SUM(R$41:R56)</f>
        <v>230.46860375166079</v>
      </c>
      <c r="BH56" s="186">
        <f>SUM(S$41:S56)</f>
        <v>45393.034664209816</v>
      </c>
      <c r="BI56" s="186">
        <f>SUM(T$41:T56)</f>
        <v>-45393.034664209816</v>
      </c>
      <c r="BJ56" s="186">
        <f>SUM(U$41:U56)</f>
        <v>82925.329202575784</v>
      </c>
      <c r="BK56" s="186">
        <f>SUM(V$41:V56)</f>
        <v>-41227.2076323863</v>
      </c>
      <c r="BL56" s="186">
        <f>SUM(W$41:W56)</f>
        <v>90382.069282224431</v>
      </c>
      <c r="BM56" s="186">
        <f>SUM(X$41:X56)</f>
        <v>15464.184313282167</v>
      </c>
      <c r="BN56" s="186">
        <f>SUM(Y$41:Y56)</f>
        <v>31227.765121102115</v>
      </c>
      <c r="BO56" s="186">
        <f>SUM(Z$41:Z56)</f>
        <v>-87374.862458155723</v>
      </c>
      <c r="BP56" s="186">
        <f>SUM(AA$41:AA56)</f>
        <v>54228.492983333781</v>
      </c>
    </row>
    <row r="57" spans="1:68" hidden="1" outlineLevel="1" x14ac:dyDescent="0.25">
      <c r="A57" s="186">
        <f t="shared" ca="1" si="33"/>
        <v>-6411.8960662782574</v>
      </c>
      <c r="B57" s="186">
        <f ca="1">OFFSET(INDIRECT(CELL("address",OFFSET($P56,0,MATCH(MIN($P56:AB56),$P56:AB56,0)-1))),1,0)</f>
        <v>2149.7849097689696</v>
      </c>
      <c r="C57" s="243">
        <v>7236.5701700098762</v>
      </c>
      <c r="D57" s="245">
        <v>-5970.9284107493331</v>
      </c>
      <c r="E57" s="271">
        <v>-19904.972510908789</v>
      </c>
      <c r="F57" s="193">
        <f t="shared" si="31"/>
        <v>0.5</v>
      </c>
      <c r="G57">
        <f>'0725'!$A$1</f>
        <v>20160725</v>
      </c>
      <c r="H57" s="254">
        <f>'0725'!$F$10</f>
        <v>0.36619718309859156</v>
      </c>
      <c r="I57" s="140">
        <f>'0725'!$Y$11</f>
        <v>0</v>
      </c>
      <c r="J57" s="140">
        <f>'0725'!$H$10</f>
        <v>902.42182645838147</v>
      </c>
      <c r="K57" s="186">
        <f>'0725'!$Z$13</f>
        <v>64270.611483467859</v>
      </c>
      <c r="L57" s="366">
        <f>'0725'!$AA$13</f>
        <v>-9815.7224672746088</v>
      </c>
      <c r="M57" s="367">
        <f>'0725'!$AB$13</f>
        <v>9815.7224672746088</v>
      </c>
      <c r="N57" s="303">
        <f>'0725'!$AC$13</f>
        <v>18876.04453749055</v>
      </c>
      <c r="O57" s="367">
        <f>'0725'!$AD$13</f>
        <v>-18876.04453749055</v>
      </c>
      <c r="P57" s="253">
        <f>'0725'!$AE$13</f>
        <v>2149.7849097689696</v>
      </c>
      <c r="Q57" s="253">
        <f>'0725'!$AF$13</f>
        <v>1814.9884009308023</v>
      </c>
      <c r="R57" s="359">
        <f>'0725'!$AG$13</f>
        <v>14502.315688250852</v>
      </c>
      <c r="S57" s="303">
        <f>'0725'!$AH$13</f>
        <v>6599.9039374204112</v>
      </c>
      <c r="T57" s="303">
        <f>'0725'!$AI$13</f>
        <v>-6599.9039374204112</v>
      </c>
      <c r="U57" s="359">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32"/>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34"/>
        <v>20160725</v>
      </c>
      <c r="AX57" s="186">
        <f>SUM(C$41:C57)</f>
        <v>-16171.929173391105</v>
      </c>
      <c r="AY57" s="186">
        <f>SUM(D$41:D57)</f>
        <v>31937.531537974613</v>
      </c>
      <c r="AZ57" s="186">
        <f>SUM(E$41:E57)</f>
        <v>-74608.764887265235</v>
      </c>
      <c r="BA57" s="186">
        <f>SUM(L$41:L57)</f>
        <v>15354.625335191511</v>
      </c>
      <c r="BB57" s="186">
        <f>SUM(M$41:M57)</f>
        <v>-15354.625335191511</v>
      </c>
      <c r="BC57" s="186">
        <f>SUM(N$41:N57)</f>
        <v>-83515.07438747416</v>
      </c>
      <c r="BD57" s="186">
        <f>SUM(O$41:O57)</f>
        <v>83515.07438747416</v>
      </c>
      <c r="BE57" s="186">
        <f>SUM(P$41:P57)</f>
        <v>13025.940031591883</v>
      </c>
      <c r="BF57" s="186">
        <f>SUM(Q$41:Q57)</f>
        <v>8832.1968873916358</v>
      </c>
      <c r="BG57" s="186">
        <f>SUM(R$41:R57)</f>
        <v>14732.784292002512</v>
      </c>
      <c r="BH57" s="186">
        <f>SUM(S$41:S57)</f>
        <v>51992.938601630231</v>
      </c>
      <c r="BI57" s="186">
        <f>SUM(T$41:T57)</f>
        <v>-51992.938601630231</v>
      </c>
      <c r="BJ57" s="186">
        <f>SUM(U$41:U57)</f>
        <v>90701.345649123308</v>
      </c>
      <c r="BK57" s="186">
        <f>SUM(V$41:V57)</f>
        <v>-11672.347426096367</v>
      </c>
      <c r="BL57" s="186">
        <f>SUM(W$41:W57)</f>
        <v>85292.202827896253</v>
      </c>
      <c r="BM57" s="186">
        <f>SUM(X$41:X57)</f>
        <v>-6550.378452448098</v>
      </c>
      <c r="BN57" s="186">
        <f>SUM(Y$41:Y57)</f>
        <v>29839.007300717025</v>
      </c>
      <c r="BO57" s="186">
        <f>SUM(Z$41:Z57)</f>
        <v>-93786.758524433986</v>
      </c>
      <c r="BP57" s="186">
        <f>SUM(AA$41:AA57)</f>
        <v>47400.861840625163</v>
      </c>
    </row>
    <row r="58" spans="1:68" hidden="1" outlineLevel="1" x14ac:dyDescent="0.25">
      <c r="A58" s="186">
        <f t="shared" ca="1" si="33"/>
        <v>305.14137620728758</v>
      </c>
      <c r="B58" s="186">
        <f ca="1">OFFSET(INDIRECT(CELL("address",OFFSET($P57,0,MATCH(MIN($P57:AB57),$P57:AB57,0)-1))),1,0)</f>
        <v>305.14137620728758</v>
      </c>
      <c r="C58" s="272">
        <v>6450.4162597172535</v>
      </c>
      <c r="D58" s="245">
        <v>362.74773745941366</v>
      </c>
      <c r="E58" s="263">
        <v>-10997.609561125573</v>
      </c>
      <c r="F58" s="193">
        <f t="shared" si="31"/>
        <v>0.33333333333333331</v>
      </c>
      <c r="G58">
        <f>'0726'!$A$1</f>
        <v>20160726</v>
      </c>
      <c r="H58" s="254">
        <f>'0726'!$F$10</f>
        <v>0.60563380281690138</v>
      </c>
      <c r="I58" s="140">
        <f>'0726'!$Y$11</f>
        <v>0</v>
      </c>
      <c r="J58" s="140">
        <f>'0726'!$H$10</f>
        <v>874.80504480352079</v>
      </c>
      <c r="K58" s="186">
        <f>'0726'!$Z$13</f>
        <v>62276.408408529416</v>
      </c>
      <c r="L58" s="366">
        <f>'0726'!$AA$13</f>
        <v>4259.9368119499441</v>
      </c>
      <c r="M58" s="367">
        <f>'0726'!$AB$13</f>
        <v>-4259.9368119499441</v>
      </c>
      <c r="N58" s="303">
        <f>'0726'!$AC$13</f>
        <v>-6450.4162597172535</v>
      </c>
      <c r="O58" s="367">
        <f>'0726'!$AD$13</f>
        <v>6450.4162597172535</v>
      </c>
      <c r="P58" s="253">
        <f>'0726'!$AE$13</f>
        <v>-14024.084962786259</v>
      </c>
      <c r="Q58" s="253">
        <f>'0726'!$AF$13</f>
        <v>-5268.5280337974209</v>
      </c>
      <c r="R58" s="359">
        <f>'0726'!$AG$13</f>
        <v>-2207.4468490490322</v>
      </c>
      <c r="S58" s="303">
        <f>'0726'!$AH$13</f>
        <v>11267.320460154691</v>
      </c>
      <c r="T58" s="303">
        <f>'0726'!$AI$13</f>
        <v>-11267.320460154691</v>
      </c>
      <c r="U58" s="359">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32"/>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34"/>
        <v>20160726</v>
      </c>
      <c r="AX58" s="186">
        <f>SUM(C$41:C58)</f>
        <v>-9721.5129136738506</v>
      </c>
      <c r="AY58" s="186">
        <f>SUM(D$41:D58)</f>
        <v>32300.279275434026</v>
      </c>
      <c r="AZ58" s="186">
        <f>SUM(E$41:E58)</f>
        <v>-85606.374448390809</v>
      </c>
      <c r="BA58" s="186">
        <f>SUM(L$41:L58)</f>
        <v>19614.562147141456</v>
      </c>
      <c r="BB58" s="186">
        <f>SUM(M$41:M58)</f>
        <v>-19614.562147141456</v>
      </c>
      <c r="BC58" s="186">
        <f>SUM(N$41:N58)</f>
        <v>-89965.490647191415</v>
      </c>
      <c r="BD58" s="186">
        <f>SUM(O$41:O58)</f>
        <v>89965.490647191415</v>
      </c>
      <c r="BE58" s="186">
        <f>SUM(P$41:P58)</f>
        <v>-998.14493119437611</v>
      </c>
      <c r="BF58" s="186">
        <f>SUM(Q$41:Q58)</f>
        <v>3563.6688535942149</v>
      </c>
      <c r="BG58" s="186">
        <f>SUM(R$41:R58)</f>
        <v>12525.33744295348</v>
      </c>
      <c r="BH58" s="186">
        <f>SUM(S$41:S58)</f>
        <v>63260.25906178492</v>
      </c>
      <c r="BI58" s="186">
        <f>SUM(T$41:T58)</f>
        <v>-63260.25906178492</v>
      </c>
      <c r="BJ58" s="186">
        <f>SUM(U$41:U58)</f>
        <v>94939.805328893912</v>
      </c>
      <c r="BK58" s="186">
        <f>SUM(V$41:V58)</f>
        <v>-22669.95698722194</v>
      </c>
      <c r="BL58" s="186">
        <f>SUM(W$41:W58)</f>
        <v>85654.95056535567</v>
      </c>
      <c r="BM58" s="186">
        <f>SUM(X$41:X58)</f>
        <v>-6245.23707624081</v>
      </c>
      <c r="BN58" s="186">
        <f>SUM(Y$41:Y58)</f>
        <v>19438.896142777721</v>
      </c>
      <c r="BO58" s="186">
        <f>SUM(Z$41:Z58)</f>
        <v>-103649.82008791024</v>
      </c>
      <c r="BP58" s="186">
        <f>SUM(AA$41:AA58)</f>
        <v>36237.824729410029</v>
      </c>
    </row>
    <row r="59" spans="1:68" hidden="1" outlineLevel="1" x14ac:dyDescent="0.25">
      <c r="A59" s="186">
        <f t="shared" ca="1" si="33"/>
        <v>-20151.522848765904</v>
      </c>
      <c r="B59" s="186">
        <f ca="1">OFFSET(INDIRECT(CELL("address",OFFSET($P58,0,MATCH(MIN($P58:AB58),$P58:AB58,0)-1))),1,0)</f>
        <v>12429.859276305213</v>
      </c>
      <c r="C59" s="245">
        <v>-4960.4087258284599</v>
      </c>
      <c r="D59" s="245">
        <v>-4960.4087258284599</v>
      </c>
      <c r="E59" s="269">
        <v>-4960.4087258284599</v>
      </c>
      <c r="F59" s="193">
        <f t="shared" si="31"/>
        <v>0.58333333333333337</v>
      </c>
      <c r="G59">
        <f>'0727'!$A$1</f>
        <v>20160727</v>
      </c>
      <c r="H59" s="254">
        <f>'0727'!$F$10</f>
        <v>0.57746478873239437</v>
      </c>
      <c r="I59" s="140">
        <f>'0727'!$Y$11</f>
        <v>0</v>
      </c>
      <c r="J59" s="140">
        <f>'0727'!$H$10</f>
        <v>1152.0675355599544</v>
      </c>
      <c r="K59" s="186">
        <f>'0727'!$Z$13</f>
        <v>82423.795024756371</v>
      </c>
      <c r="L59" s="366">
        <f>'0727'!$AA$13</f>
        <v>-21058.389074418927</v>
      </c>
      <c r="M59" s="367">
        <f>'0727'!$AB$13</f>
        <v>21058.389074418927</v>
      </c>
      <c r="N59" s="303">
        <f>'0727'!$AC$13</f>
        <v>17587.910848772284</v>
      </c>
      <c r="O59" s="367">
        <f>'0727'!$AD$13</f>
        <v>-17587.910848772284</v>
      </c>
      <c r="P59" s="253">
        <f>'0727'!$AE$13</f>
        <v>12429.859276305213</v>
      </c>
      <c r="Q59" s="253">
        <f>'0727'!$AF$13</f>
        <v>5948.1588250151744</v>
      </c>
      <c r="R59" s="359">
        <f>'0727'!$AG$13</f>
        <v>-6784.0599771033849</v>
      </c>
      <c r="S59" s="303">
        <f>'0727'!$AH$13</f>
        <v>8284.1530765648768</v>
      </c>
      <c r="T59" s="303">
        <f>'0727'!$AI$13</f>
        <v>-8284.1530765648768</v>
      </c>
      <c r="U59" s="359">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32"/>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34"/>
        <v>20160727</v>
      </c>
      <c r="AX59" s="186">
        <f>SUM(C$41:C59)</f>
        <v>-14681.92163950231</v>
      </c>
      <c r="AY59" s="186">
        <f>SUM(D$41:D59)</f>
        <v>27339.870549605566</v>
      </c>
      <c r="AZ59" s="186">
        <f>SUM(E$41:E59)</f>
        <v>-90566.783174219265</v>
      </c>
      <c r="BA59" s="186">
        <f>SUM(L$41:L59)</f>
        <v>-1443.8269272774705</v>
      </c>
      <c r="BB59" s="186">
        <f>SUM(M$41:M59)</f>
        <v>1443.8269272774705</v>
      </c>
      <c r="BC59" s="186">
        <f>SUM(N$41:N59)</f>
        <v>-72377.57979841913</v>
      </c>
      <c r="BD59" s="186">
        <f>SUM(O$41:O59)</f>
        <v>72377.57979841913</v>
      </c>
      <c r="BE59" s="186">
        <f>SUM(P$41:P59)</f>
        <v>11431.714345110837</v>
      </c>
      <c r="BF59" s="186">
        <f>SUM(Q$41:Q59)</f>
        <v>9511.8276786093884</v>
      </c>
      <c r="BG59" s="186">
        <f>SUM(R$41:R59)</f>
        <v>5741.2774658500948</v>
      </c>
      <c r="BH59" s="186">
        <f>SUM(S$41:S59)</f>
        <v>71544.412138349799</v>
      </c>
      <c r="BI59" s="186">
        <f>SUM(T$41:T59)</f>
        <v>-71544.412138349799</v>
      </c>
      <c r="BJ59" s="186">
        <f>SUM(U$41:U59)</f>
        <v>103125.98160307079</v>
      </c>
      <c r="BK59" s="186">
        <f>SUM(V$41:V59)</f>
        <v>-19498.360964322503</v>
      </c>
      <c r="BL59" s="186">
        <f>SUM(W$41:W59)</f>
        <v>80694.541839527214</v>
      </c>
      <c r="BM59" s="186">
        <f>SUM(X$41:X59)</f>
        <v>-17243.646152820816</v>
      </c>
      <c r="BN59" s="186">
        <f>SUM(Y$41:Y59)</f>
        <v>21202.861165391128</v>
      </c>
      <c r="BO59" s="186">
        <f>SUM(Z$41:Z59)</f>
        <v>-97233.600338347256</v>
      </c>
      <c r="BP59" s="186">
        <f>SUM(AA$41:AA59)</f>
        <v>16086.301880644125</v>
      </c>
    </row>
    <row r="60" spans="1:68" hidden="1" outlineLevel="1" x14ac:dyDescent="0.25">
      <c r="A60" s="186">
        <f t="shared" ca="1" si="33"/>
        <v>3711.6457123351011</v>
      </c>
      <c r="B60" s="186">
        <f ca="1">OFFSET(INDIRECT(CELL("address",OFFSET($P59,0,MATCH(MIN($P59:AB59),$P59:AB59,0)-1))),1,0)</f>
        <v>3711.6457123351011</v>
      </c>
      <c r="C60" s="243">
        <v>22632.414694083294</v>
      </c>
      <c r="D60" s="245">
        <v>11469.366594402871</v>
      </c>
      <c r="E60" s="271">
        <v>-2749.8546821161158</v>
      </c>
      <c r="F60" s="193">
        <f t="shared" si="31"/>
        <v>0.58333333333333337</v>
      </c>
      <c r="G60">
        <f>'0728'!$A$1</f>
        <v>20160728</v>
      </c>
      <c r="H60" s="254">
        <f>'0728'!$F$10</f>
        <v>0.38028169014084506</v>
      </c>
      <c r="I60" s="140">
        <f>'0728'!$Y$11</f>
        <v>0</v>
      </c>
      <c r="J60" s="140">
        <f>'0728'!$H$10</f>
        <v>1096.3201437364364</v>
      </c>
      <c r="K60" s="186">
        <f>'0728'!$Z$13</f>
        <v>78670.856918659367</v>
      </c>
      <c r="L60" s="366">
        <f>'0728'!$AA$13</f>
        <v>-29377.004690599038</v>
      </c>
      <c r="M60" s="367">
        <f>'0728'!$AB$13</f>
        <v>29377.004690599038</v>
      </c>
      <c r="N60" s="303">
        <f>'0728'!$AC$13</f>
        <v>2705.8625321769123</v>
      </c>
      <c r="O60" s="367">
        <f>'0728'!$AD$13</f>
        <v>-2705.8625321769123</v>
      </c>
      <c r="P60" s="253">
        <f>'0728'!$AE$13</f>
        <v>9936.1565360368113</v>
      </c>
      <c r="Q60" s="253">
        <f>'0728'!$AF$13</f>
        <v>-8549.7171894163148</v>
      </c>
      <c r="R60" s="359">
        <f>'0728'!$AG$13</f>
        <v>-5439.7682925088375</v>
      </c>
      <c r="S60" s="303">
        <f>'0728'!$AH$13</f>
        <v>-9570.1484904835961</v>
      </c>
      <c r="T60" s="303">
        <f>'0728'!$AI$13</f>
        <v>9570.1484904835961</v>
      </c>
      <c r="U60" s="359">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32"/>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34"/>
        <v>20160728</v>
      </c>
      <c r="AX60" s="186">
        <f>SUM(C$41:C60)</f>
        <v>7950.4930545809839</v>
      </c>
      <c r="AY60" s="186">
        <f>SUM(D$41:D60)</f>
        <v>38809.237144008439</v>
      </c>
      <c r="AZ60" s="186">
        <f>SUM(E$41:E60)</f>
        <v>-93316.637856335379</v>
      </c>
      <c r="BA60" s="186">
        <f>SUM(L$41:L60)</f>
        <v>-30820.831617876509</v>
      </c>
      <c r="BB60" s="186">
        <f>SUM(M$41:M60)</f>
        <v>30820.831617876509</v>
      </c>
      <c r="BC60" s="186">
        <f>SUM(N$41:N60)</f>
        <v>-69671.717266242224</v>
      </c>
      <c r="BD60" s="186">
        <f>SUM(O$41:O60)</f>
        <v>69671.717266242224</v>
      </c>
      <c r="BE60" s="186">
        <f>SUM(P$41:P60)</f>
        <v>21367.870881147646</v>
      </c>
      <c r="BF60" s="186">
        <f>SUM(Q$41:Q60)</f>
        <v>962.11048919307359</v>
      </c>
      <c r="BG60" s="186">
        <f>SUM(R$41:R60)</f>
        <v>301.50917334125734</v>
      </c>
      <c r="BH60" s="186">
        <f>SUM(S$41:S60)</f>
        <v>61974.263647866203</v>
      </c>
      <c r="BI60" s="186">
        <f>SUM(T$41:T60)</f>
        <v>-61974.263647866203</v>
      </c>
      <c r="BJ60" s="186">
        <f>SUM(U$41:U60)</f>
        <v>125906.10602151799</v>
      </c>
      <c r="BK60" s="186">
        <f>SUM(V$41:V60)</f>
        <v>-24104.04628149877</v>
      </c>
      <c r="BL60" s="186">
        <f>SUM(W$41:W60)</f>
        <v>91728.351888234698</v>
      </c>
      <c r="BM60" s="186">
        <f>SUM(X$41:X60)</f>
        <v>-14734.618191864152</v>
      </c>
      <c r="BN60" s="186">
        <f>SUM(Y$41:Y60)</f>
        <v>31727.105064989515</v>
      </c>
      <c r="BO60" s="186">
        <f>SUM(Z$41:Z60)</f>
        <v>-106932.25746742195</v>
      </c>
      <c r="BP60" s="186">
        <f>SUM(AA$41:AA60)</f>
        <v>19797.947592979224</v>
      </c>
    </row>
    <row r="61" spans="1:68" hidden="1" outlineLevel="1" x14ac:dyDescent="0.25">
      <c r="A61" s="186">
        <f t="shared" ca="1" si="33"/>
        <v>27967.572445792317</v>
      </c>
      <c r="B61" s="186">
        <f ca="1">OFFSET(INDIRECT(CELL("address",OFFSET($P60,0,MATCH(MIN($P60:AB60),$P60:AB60,0)-1))),1,0)</f>
        <v>27967.572445792317</v>
      </c>
      <c r="C61" s="243">
        <v>12942.560087781232</v>
      </c>
      <c r="D61" s="245">
        <v>-10237.656654101831</v>
      </c>
      <c r="E61" s="269">
        <v>-19316.173389880081</v>
      </c>
      <c r="F61" s="193">
        <f t="shared" si="31"/>
        <v>0.41666666666666669</v>
      </c>
      <c r="G61">
        <f>'0729'!$A$1</f>
        <v>20160729</v>
      </c>
      <c r="H61" s="254">
        <f>'0729'!$F$10</f>
        <v>0.73239436619718312</v>
      </c>
      <c r="I61" s="140">
        <f>'0729'!$Y$11</f>
        <v>0</v>
      </c>
      <c r="J61" s="140">
        <f>'0729'!$H$10</f>
        <v>1628.779814813628</v>
      </c>
      <c r="K61" s="186">
        <f>'0729'!$Z$13</f>
        <v>117998.37329941482</v>
      </c>
      <c r="L61" s="366">
        <f>'0729'!$AA$13</f>
        <v>23017.129583676306</v>
      </c>
      <c r="M61" s="367">
        <f>'0729'!$AB$13</f>
        <v>-23017.129583676306</v>
      </c>
      <c r="N61" s="303">
        <f>'0729'!$AC$13</f>
        <v>35480.799595528842</v>
      </c>
      <c r="O61" s="367">
        <f>'0729'!$AD$13</f>
        <v>-35480.799595528842</v>
      </c>
      <c r="P61" s="253">
        <f>'0729'!$AE$13</f>
        <v>27497.028316015861</v>
      </c>
      <c r="Q61" s="253">
        <f>'0729'!$AF$13</f>
        <v>-21415.648214948673</v>
      </c>
      <c r="R61" s="359">
        <f>'0729'!$AG$13</f>
        <v>-31015.932612803063</v>
      </c>
      <c r="S61" s="303">
        <f>'0729'!$AH$13</f>
        <v>8991.6609664242642</v>
      </c>
      <c r="T61" s="303">
        <f>'0729'!$AI$13</f>
        <v>-8991.6609664242642</v>
      </c>
      <c r="U61" s="359">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32"/>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34"/>
        <v>20160729</v>
      </c>
      <c r="AX61" s="186">
        <f>SUM(C$41:C61)</f>
        <v>20893.053142362216</v>
      </c>
      <c r="AY61" s="186">
        <f>SUM(D$41:D61)</f>
        <v>28571.580489906606</v>
      </c>
      <c r="AZ61" s="186">
        <f>SUM(E$41:E61)</f>
        <v>-112632.81124621545</v>
      </c>
      <c r="BA61" s="186">
        <f>SUM(L$41:L61)</f>
        <v>-7803.7020342002033</v>
      </c>
      <c r="BB61" s="186">
        <f>SUM(M$41:M61)</f>
        <v>7803.7020342002033</v>
      </c>
      <c r="BC61" s="186">
        <f>SUM(N$41:N61)</f>
        <v>-34190.917670713381</v>
      </c>
      <c r="BD61" s="186">
        <f>SUM(O$41:O61)</f>
        <v>34190.917670713381</v>
      </c>
      <c r="BE61" s="186">
        <f>SUM(P$41:P61)</f>
        <v>48864.899197163511</v>
      </c>
      <c r="BF61" s="186">
        <f>SUM(Q$41:Q61)</f>
        <v>-20453.537725755599</v>
      </c>
      <c r="BG61" s="186">
        <f>SUM(R$41:R61)</f>
        <v>-30714.423439461803</v>
      </c>
      <c r="BH61" s="186">
        <f>SUM(S$41:S61)</f>
        <v>70965.924614290474</v>
      </c>
      <c r="BI61" s="186">
        <f>SUM(T$41:T61)</f>
        <v>-70965.924614290474</v>
      </c>
      <c r="BJ61" s="186">
        <f>SUM(U$41:U61)</f>
        <v>138848.66610929923</v>
      </c>
      <c r="BK61" s="186">
        <f>SUM(V$41:V61)</f>
        <v>-17248.442964451318</v>
      </c>
      <c r="BL61" s="186">
        <f>SUM(W$41:W61)</f>
        <v>81490.695234132872</v>
      </c>
      <c r="BM61" s="186">
        <f>SUM(X$41:X61)</f>
        <v>-52314.892612461561</v>
      </c>
      <c r="BN61" s="186">
        <f>SUM(Y$41:Y61)</f>
        <v>12498.538275046743</v>
      </c>
      <c r="BO61" s="186">
        <f>SUM(Z$41:Z61)</f>
        <v>-78964.68502162963</v>
      </c>
      <c r="BP61" s="186">
        <f>SUM(AA$41:AA61)</f>
        <v>13679.311226476369</v>
      </c>
    </row>
    <row r="62" spans="1:68" collapsed="1" x14ac:dyDescent="0.25">
      <c r="A62" s="186">
        <f t="shared" ca="1" si="33"/>
        <v>52614.200434527193</v>
      </c>
      <c r="B62" s="186">
        <f ca="1">OFFSET(INDIRECT(CELL("address",OFFSET($P61,0,MATCH(MIN($P61:AB61),$P61:AB61,0)-1))),1,0)</f>
        <v>52614.200434527193</v>
      </c>
      <c r="C62" s="273">
        <v>30624.76</v>
      </c>
      <c r="D62" s="245">
        <v>21943.690810783566</v>
      </c>
      <c r="E62" s="273">
        <v>30624.76</v>
      </c>
      <c r="F62" s="193">
        <f t="shared" si="31"/>
        <v>0.41666666666666669</v>
      </c>
      <c r="G62">
        <f>'0801'!A1</f>
        <v>20160801</v>
      </c>
      <c r="H62" s="254">
        <f>'0801'!F10</f>
        <v>0.36619718309859156</v>
      </c>
      <c r="I62" s="110">
        <v>2580.4837160603356</v>
      </c>
      <c r="J62" s="140">
        <f>'0801'!H10</f>
        <v>1507.2750022957532</v>
      </c>
      <c r="K62" s="186">
        <f>'0801'!Z13</f>
        <v>108319.94224843063</v>
      </c>
      <c r="L62" s="366">
        <f>'0801'!AA13</f>
        <v>-11060.145663851221</v>
      </c>
      <c r="M62" s="367">
        <f>'0801'!AB13</f>
        <v>11060.145663851221</v>
      </c>
      <c r="N62" s="303">
        <f>'0801'!AC13</f>
        <v>-71968.404364849266</v>
      </c>
      <c r="O62" s="367">
        <f>'0801'!AD13</f>
        <v>71968.404364849266</v>
      </c>
      <c r="P62" s="186">
        <f>'0801'!AE13</f>
        <v>-8243.6647210266565</v>
      </c>
      <c r="Q62" s="186">
        <f>'0801'!AF13</f>
        <v>-3020.9573606422487</v>
      </c>
      <c r="R62" s="360">
        <f>'0801'!AG13</f>
        <v>-10590.746229118431</v>
      </c>
      <c r="S62" s="303">
        <f>'0801'!AH13</f>
        <v>-38222.925481672275</v>
      </c>
      <c r="T62" s="303">
        <f>'0801'!AI13</f>
        <v>38222.925481672275</v>
      </c>
      <c r="U62" s="360">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34"/>
        <v>20160801</v>
      </c>
      <c r="AX62" s="186">
        <f>SUM(C$41:C62)</f>
        <v>51517.813142362211</v>
      </c>
      <c r="AY62" s="186">
        <f>SUM(D$41:D62)</f>
        <v>50515.271300690176</v>
      </c>
      <c r="AZ62" s="186">
        <f>SUM(E$41:E62)</f>
        <v>-82008.051246215458</v>
      </c>
      <c r="BA62" s="186">
        <f>SUM(L$41:L62)</f>
        <v>-18863.847698051424</v>
      </c>
      <c r="BB62" s="186">
        <f>SUM(M$41:M62)</f>
        <v>18863.847698051424</v>
      </c>
      <c r="BC62" s="186">
        <f>SUM(N$41:N62)</f>
        <v>-106159.32203556265</v>
      </c>
      <c r="BD62" s="186">
        <f>SUM(O$41:O62)</f>
        <v>106159.32203556265</v>
      </c>
      <c r="BE62" s="186">
        <f>SUM(P$41:P62)</f>
        <v>40621.234476136859</v>
      </c>
      <c r="BF62" s="186">
        <f>SUM(Q$41:Q62)</f>
        <v>-23474.495086397848</v>
      </c>
      <c r="BG62" s="186">
        <f>SUM(R$41:R62)</f>
        <v>-41305.169668580231</v>
      </c>
      <c r="BH62" s="186">
        <f>SUM(S$41:S62)</f>
        <v>32742.999132618199</v>
      </c>
      <c r="BI62" s="186">
        <f>SUM(T$41:T62)</f>
        <v>-32742.999132618199</v>
      </c>
      <c r="BJ62" s="186">
        <f>SUM(U$41:U62)</f>
        <v>120823.78906042287</v>
      </c>
      <c r="BK62" s="186">
        <f>SUM(V$41:V62)</f>
        <v>-42347.360468049883</v>
      </c>
      <c r="BL62" s="186">
        <f>SUM(W$41:W62)</f>
        <v>103434.38604491643</v>
      </c>
      <c r="BM62" s="186">
        <f>SUM(X$41:X62)</f>
        <v>299.30782206563163</v>
      </c>
      <c r="BN62" s="186">
        <f>SUM(Y$41:Y62)</f>
        <v>50518.245957147694</v>
      </c>
      <c r="BO62" s="186">
        <f>SUM(Z$41:Z62)</f>
        <v>-83343.411659048536</v>
      </c>
      <c r="BP62" s="186">
        <f>SUM(AA$41:AA62)</f>
        <v>69235.585059824181</v>
      </c>
    </row>
    <row r="63" spans="1:68" x14ac:dyDescent="0.25">
      <c r="A63" s="186">
        <f t="shared" ca="1" si="33"/>
        <v>-16974.893730660373</v>
      </c>
      <c r="B63" s="186">
        <f ca="1">OFFSET(INDIRECT(CELL("address",OFFSET($P62,0,MATCH(MIN($P62:AB62),$P62:AB62,0)-1))),1,0)</f>
        <v>18586.611260042944</v>
      </c>
      <c r="C63" s="260">
        <v>-18105.365010166366</v>
      </c>
      <c r="D63" s="245">
        <v>-7813.937991710688</v>
      </c>
      <c r="E63" s="245">
        <v>-16312.788618110815</v>
      </c>
      <c r="F63" s="193">
        <f t="shared" si="31"/>
        <v>0.25</v>
      </c>
      <c r="G63">
        <f>'0802'!A1</f>
        <v>20160802</v>
      </c>
      <c r="H63" s="254">
        <f>'0802'!F10</f>
        <v>0.39436619718309857</v>
      </c>
      <c r="I63" s="110">
        <v>2580.4837160603356</v>
      </c>
      <c r="J63" s="140">
        <f>'0802'!H10</f>
        <v>1577.049829827901</v>
      </c>
      <c r="K63" s="186">
        <f>'0802'!Z10</f>
        <v>111970.53791778097</v>
      </c>
      <c r="L63" s="366">
        <f>'0802'!AA10</f>
        <v>-44342.798941205299</v>
      </c>
      <c r="M63" s="367">
        <f>'0802'!AB10</f>
        <v>44342.798941205299</v>
      </c>
      <c r="N63" s="303">
        <f>'0802'!AC10</f>
        <v>10684.713580883745</v>
      </c>
      <c r="O63" s="367">
        <f>'0802'!AD10</f>
        <v>-10684.713580883745</v>
      </c>
      <c r="P63" s="186">
        <f>'0802'!AE10</f>
        <v>19472.0788828404</v>
      </c>
      <c r="Q63" s="186">
        <f>'0802'!AF10</f>
        <v>-20668.315842147447</v>
      </c>
      <c r="R63" s="360">
        <f>'0802'!AG10</f>
        <v>-17940.102605586635</v>
      </c>
      <c r="S63" s="303">
        <f>'0802'!AH10</f>
        <v>18586.611260042944</v>
      </c>
      <c r="T63" s="303">
        <f>'0802'!AI10</f>
        <v>-18586.611260042944</v>
      </c>
      <c r="U63" s="360">
        <f>'0802'!AJ10</f>
        <v>-33719.366255729365</v>
      </c>
      <c r="V63" s="275">
        <f>'0802'!AK10</f>
        <v>-16974.893730660373</v>
      </c>
      <c r="W63" s="275">
        <f>'0802'!AL10</f>
        <v>-7979.2003962904173</v>
      </c>
      <c r="X63" s="186">
        <f>'0802'!AM10</f>
        <v>-10661.904482088943</v>
      </c>
      <c r="Y63" s="275">
        <f>'0802'!AN10</f>
        <v>-8604.2731044590255</v>
      </c>
      <c r="Z63" s="253">
        <f>'0802'!AO10</f>
        <v>27926.028813922581</v>
      </c>
      <c r="AA63" s="253">
        <f>'0802'!AP10</f>
        <v>-2277.8642679252489</v>
      </c>
      <c r="AB63" s="253"/>
      <c r="AC63">
        <f t="shared" ref="AC63:AC65" si="35">G63</f>
        <v>20160802</v>
      </c>
      <c r="AD63" s="186">
        <f>SUM(C$62:C63)</f>
        <v>12519.394989833632</v>
      </c>
      <c r="AE63" s="186">
        <f>SUM(D$62:D63)</f>
        <v>14129.752819072877</v>
      </c>
      <c r="AF63" s="186">
        <f>SUM(E$62:E63)</f>
        <v>14311.971381889183</v>
      </c>
      <c r="AG63" s="186">
        <f>SUM(L$62:L63)</f>
        <v>-55402.944605056517</v>
      </c>
      <c r="AH63" s="186">
        <f>SUM(M$62:M63)</f>
        <v>55402.944605056517</v>
      </c>
      <c r="AI63" s="186">
        <f>SUM(N$62:N63)</f>
        <v>-61283.690783965518</v>
      </c>
      <c r="AJ63" s="186">
        <f>SUM(O$62:O63)</f>
        <v>61283.690783965518</v>
      </c>
      <c r="AK63" s="186">
        <f>SUM(P$62:P63)</f>
        <v>11228.414161813744</v>
      </c>
      <c r="AL63" s="186">
        <f>SUM(Q$62:Q63)</f>
        <v>-23689.273202789696</v>
      </c>
      <c r="AM63" s="186">
        <f>SUM(R$62:R63)</f>
        <v>-28530.848834705066</v>
      </c>
      <c r="AN63" s="186">
        <f>SUM(S$62:S63)</f>
        <v>-19636.314221629331</v>
      </c>
      <c r="AO63" s="186">
        <f>SUM(T$62:T63)</f>
        <v>19636.314221629331</v>
      </c>
      <c r="AP63" s="186">
        <f>SUM(U$62:U63)</f>
        <v>-51744.243304605727</v>
      </c>
      <c r="AQ63" s="186">
        <f>SUM(V$62:V63)</f>
        <v>-42073.811234258937</v>
      </c>
      <c r="AR63" s="186">
        <f>SUM(W$62:W63)</f>
        <v>13964.49041449315</v>
      </c>
      <c r="AS63" s="186">
        <f>SUM(X$62:X63)</f>
        <v>41952.295952438246</v>
      </c>
      <c r="AT63" s="186">
        <f>SUM(Y$62:Y63)</f>
        <v>29415.434577641921</v>
      </c>
      <c r="AU63" s="186">
        <f>SUM(Z$62:Z63)</f>
        <v>23547.302176503668</v>
      </c>
      <c r="AV63" s="186">
        <f>SUM(AA$62:AA63)</f>
        <v>53278.40956542256</v>
      </c>
      <c r="AW63">
        <f t="shared" si="34"/>
        <v>20160802</v>
      </c>
      <c r="AX63" s="186">
        <f>SUM(C$41:C63)</f>
        <v>33412.448132195845</v>
      </c>
      <c r="AY63" s="186">
        <f>SUM(D$41:D63)</f>
        <v>42701.333308979491</v>
      </c>
      <c r="AZ63" s="186">
        <f>SUM(E$41:E63)</f>
        <v>-98320.839864326277</v>
      </c>
      <c r="BA63" s="186">
        <f>SUM(L$41:L63)</f>
        <v>-63206.646639256724</v>
      </c>
      <c r="BB63" s="186">
        <f>SUM(M$41:M63)</f>
        <v>63206.646639256724</v>
      </c>
      <c r="BC63" s="186">
        <f>SUM(N$41:N63)</f>
        <v>-95474.608454678906</v>
      </c>
      <c r="BD63" s="186">
        <f>SUM(O$41:O63)</f>
        <v>95474.608454678906</v>
      </c>
      <c r="BE63" s="186">
        <f>SUM(P$41:P63)</f>
        <v>60093.313358977262</v>
      </c>
      <c r="BF63" s="186">
        <f>SUM(Q$41:Q63)</f>
        <v>-44142.810928545296</v>
      </c>
      <c r="BG63" s="186">
        <f>SUM(R$41:R63)</f>
        <v>-59245.272274166869</v>
      </c>
      <c r="BH63" s="186">
        <f>SUM(S$41:S63)</f>
        <v>51329.610392661139</v>
      </c>
      <c r="BI63" s="186">
        <f>SUM(T$41:T63)</f>
        <v>-51329.610392661139</v>
      </c>
      <c r="BJ63" s="186">
        <f>SUM(U$41:U63)</f>
        <v>87104.422804693517</v>
      </c>
      <c r="BK63" s="186">
        <f>SUM(V$41:V63)</f>
        <v>-59322.25419871026</v>
      </c>
      <c r="BL63" s="186">
        <f>SUM(W$41:W63)</f>
        <v>95455.185648626022</v>
      </c>
      <c r="BM63" s="186">
        <f>SUM(X$41:X63)</f>
        <v>-10362.596660023311</v>
      </c>
      <c r="BN63" s="186">
        <f>SUM(Y$41:Y63)</f>
        <v>41913.972852688668</v>
      </c>
      <c r="BO63" s="186">
        <f>SUM(Z$41:Z63)</f>
        <v>-55417.382845125954</v>
      </c>
      <c r="BP63" s="186">
        <f>SUM(AA$41:AA63)</f>
        <v>66957.72079189893</v>
      </c>
    </row>
    <row r="64" spans="1:68" x14ac:dyDescent="0.25">
      <c r="A64" s="186">
        <f t="shared" ca="1" si="33"/>
        <v>-33599.516389106604</v>
      </c>
      <c r="B64" s="186">
        <f ca="1">OFFSET(INDIRECT(CELL("address",OFFSET($P63,0,MATCH(MIN($P63:AB63),$P63:AB63,0)-1))),1,0)</f>
        <v>-24678.21493394248</v>
      </c>
      <c r="C64" s="290">
        <v>16469.420388418668</v>
      </c>
      <c r="D64" s="245">
        <v>16469.420388418668</v>
      </c>
      <c r="E64" s="290">
        <v>16469.420388418668</v>
      </c>
      <c r="F64" s="193">
        <f t="shared" si="31"/>
        <v>0.58333333333333337</v>
      </c>
      <c r="G64">
        <f>'0803'!A1</f>
        <v>20160803</v>
      </c>
      <c r="H64" s="254">
        <f>'0803'!$F$10</f>
        <v>0.50704225352112675</v>
      </c>
      <c r="I64" s="110">
        <v>2580.4837160603356</v>
      </c>
      <c r="J64" s="140">
        <f>'0803'!$H$10</f>
        <v>1213.7361618211369</v>
      </c>
      <c r="K64" s="186">
        <f>'0803'!$Z$13</f>
        <v>86208.26748930075</v>
      </c>
      <c r="L64" s="366">
        <f>'0803'!$AA$13</f>
        <v>9645.7898674769367</v>
      </c>
      <c r="M64" s="367">
        <f>'0803'!$AB$13</f>
        <v>-9645.7898674769367</v>
      </c>
      <c r="N64" s="303">
        <f>'0803'!$AC$13</f>
        <v>-32853.691389113868</v>
      </c>
      <c r="O64" s="367">
        <f>'0803'!$AD$13</f>
        <v>32853.691389113868</v>
      </c>
      <c r="P64" s="186">
        <f>'0803'!$AE$13</f>
        <v>33253.036625739769</v>
      </c>
      <c r="Q64" s="186">
        <f>'0803'!$AF$13</f>
        <v>-32754.146389133628</v>
      </c>
      <c r="R64" s="360">
        <f>'0803'!$AG$13</f>
        <v>-35979.992389114668</v>
      </c>
      <c r="S64" s="303">
        <f>'0803'!$AH$13</f>
        <v>-4843.8745533766814</v>
      </c>
      <c r="T64" s="303">
        <f>'0803'!$AI$13</f>
        <v>4843.8745533766814</v>
      </c>
      <c r="U64" s="360">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35"/>
        <v>20160803</v>
      </c>
      <c r="AD64" s="186">
        <f>SUM(C$62:C64)</f>
        <v>28988.8153782523</v>
      </c>
      <c r="AE64" s="186">
        <f>SUM(D$62:D64)</f>
        <v>30599.173207491545</v>
      </c>
      <c r="AF64" s="186">
        <f>SUM(E$62:E64)</f>
        <v>30781.391770307851</v>
      </c>
      <c r="AG64" s="186">
        <f>SUM(L$62:L64)</f>
        <v>-45757.154737579578</v>
      </c>
      <c r="AH64" s="186">
        <f>SUM(M$62:M64)</f>
        <v>45757.154737579578</v>
      </c>
      <c r="AI64" s="186">
        <f>SUM(N$62:N64)</f>
        <v>-94137.382173079386</v>
      </c>
      <c r="AJ64" s="186">
        <f>SUM(O$62:O64)</f>
        <v>94137.382173079386</v>
      </c>
      <c r="AK64" s="186">
        <f>SUM(P$62:P64)</f>
        <v>44481.450787553513</v>
      </c>
      <c r="AL64" s="186">
        <f>SUM(Q$62:Q64)</f>
        <v>-56443.419591923324</v>
      </c>
      <c r="AM64" s="186">
        <f>SUM(R$62:R64)</f>
        <v>-64510.841223819734</v>
      </c>
      <c r="AN64" s="186">
        <f>SUM(S$62:S64)</f>
        <v>-24480.188775006012</v>
      </c>
      <c r="AO64" s="186">
        <f>SUM(T$62:T64)</f>
        <v>24480.188775006012</v>
      </c>
      <c r="AP64" s="186">
        <f>SUM(U$62:U64)</f>
        <v>-76422.458238548206</v>
      </c>
      <c r="AQ64" s="186">
        <f>SUM(V$62:V64)</f>
        <v>-75673.327623365534</v>
      </c>
      <c r="AR64" s="186">
        <f>SUM(W$62:W64)</f>
        <v>30433.910802911818</v>
      </c>
      <c r="AS64" s="186">
        <f>SUM(X$62:X64)</f>
        <v>50528.74050580286</v>
      </c>
      <c r="AT64" s="186">
        <f>SUM(Y$62:Y64)</f>
        <v>32480.532130324205</v>
      </c>
      <c r="AU64" s="186">
        <f>SUM(Z$62:Z64)</f>
        <v>26699.793110433842</v>
      </c>
      <c r="AV64" s="186">
        <f>SUM(AA$62:AA64)</f>
        <v>100334.77695454215</v>
      </c>
      <c r="AW64">
        <f t="shared" si="34"/>
        <v>20160803</v>
      </c>
      <c r="AX64" s="186">
        <f>SUM(C$41:C64)</f>
        <v>49881.868520614516</v>
      </c>
      <c r="AY64" s="186">
        <f>SUM(D$41:D64)</f>
        <v>59170.753697398162</v>
      </c>
      <c r="AZ64" s="186">
        <f>SUM(E$41:E64)</f>
        <v>-81851.419475907605</v>
      </c>
      <c r="BA64" s="186">
        <f>SUM(L$41:L64)</f>
        <v>-53560.856771779785</v>
      </c>
      <c r="BB64" s="186">
        <f>SUM(M$41:M64)</f>
        <v>53560.856771779785</v>
      </c>
      <c r="BC64" s="186">
        <f>SUM(N$41:N64)</f>
        <v>-128328.29984379277</v>
      </c>
      <c r="BD64" s="186">
        <f>SUM(O$41:O64)</f>
        <v>128328.29984379277</v>
      </c>
      <c r="BE64" s="186">
        <f>SUM(P$41:P64)</f>
        <v>93346.349984717031</v>
      </c>
      <c r="BF64" s="186">
        <f>SUM(Q$41:Q64)</f>
        <v>-76896.957317678927</v>
      </c>
      <c r="BG64" s="186">
        <f>SUM(R$41:R64)</f>
        <v>-95225.26466328153</v>
      </c>
      <c r="BH64" s="186">
        <f>SUM(S$41:S64)</f>
        <v>46485.735839284462</v>
      </c>
      <c r="BI64" s="186">
        <f>SUM(T$41:T64)</f>
        <v>-46485.735839284462</v>
      </c>
      <c r="BJ64" s="186">
        <f>SUM(U$41:U64)</f>
        <v>62426.207870751037</v>
      </c>
      <c r="BK64" s="186">
        <f>SUM(V$41:V64)</f>
        <v>-92921.770587816864</v>
      </c>
      <c r="BL64" s="186">
        <f>SUM(W$41:W64)</f>
        <v>111924.60603704469</v>
      </c>
      <c r="BM64" s="186">
        <f>SUM(X$41:X64)</f>
        <v>-1786.1521066586956</v>
      </c>
      <c r="BN64" s="186">
        <f>SUM(Y$41:Y64)</f>
        <v>44979.070405370949</v>
      </c>
      <c r="BO64" s="186">
        <f>SUM(Z$41:Z64)</f>
        <v>-52264.89191119578</v>
      </c>
      <c r="BP64" s="186">
        <f>SUM(AA$41:AA64)</f>
        <v>114014.08818101851</v>
      </c>
    </row>
    <row r="65" spans="1:68" x14ac:dyDescent="0.25">
      <c r="A65" s="186">
        <f t="shared" ca="1" si="33"/>
        <v>13614.266682169939</v>
      </c>
      <c r="B65" s="186">
        <f ca="1">OFFSET(INDIRECT(CELL("address",OFFSET($P64,0,MATCH(MIN($P64:AB64),$P64:AB64,0)-1))),1,0)</f>
        <v>-3221.5591082198994</v>
      </c>
      <c r="C65" s="351">
        <v>25351.64888800402</v>
      </c>
      <c r="D65" s="245">
        <v>13558.896585729917</v>
      </c>
      <c r="E65" s="263">
        <v>-8424.612356599011</v>
      </c>
      <c r="F65" s="193">
        <f t="shared" si="31"/>
        <v>0.58333333333333337</v>
      </c>
      <c r="G65">
        <f>'0804'!$A$1</f>
        <v>20160804</v>
      </c>
      <c r="H65" s="254">
        <f>'0804'!$F$10</f>
        <v>0.647887323943662</v>
      </c>
      <c r="I65" s="110">
        <v>2580.4837160603356</v>
      </c>
      <c r="J65" s="140">
        <f>'0804'!$H$10</f>
        <v>1278.9803128993312</v>
      </c>
      <c r="K65" s="186">
        <f>'0804'!$Z$13</f>
        <v>91505.222215852889</v>
      </c>
      <c r="L65" s="366">
        <f>'0804'!$AA$13</f>
        <v>16083.656533887734</v>
      </c>
      <c r="M65" s="367">
        <f>'0804'!$AB$13</f>
        <v>-16083.656533887734</v>
      </c>
      <c r="N65" s="303">
        <f>'0804'!$AC$13</f>
        <v>24507.116144651718</v>
      </c>
      <c r="O65" s="367">
        <f>'0804'!$AD$13</f>
        <v>-24507.116144651718</v>
      </c>
      <c r="P65" s="275">
        <f>'0804'!$AE$13</f>
        <v>27148.450894145357</v>
      </c>
      <c r="Q65" s="186">
        <f>'0804'!$AF$13</f>
        <v>4337.1794271212502</v>
      </c>
      <c r="R65" s="359">
        <f>'0804'!$AG$13</f>
        <v>-3221.5591082198994</v>
      </c>
      <c r="S65" s="303">
        <f>'0804'!$AH$13</f>
        <v>-5428.9142290259333</v>
      </c>
      <c r="T65" s="303">
        <f>'0804'!$AI$13</f>
        <v>5428.9142290259333</v>
      </c>
      <c r="U65" s="360">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35"/>
        <v>20160804</v>
      </c>
      <c r="AD65" s="186">
        <f>SUM(C$62:C65)</f>
        <v>54340.46426625632</v>
      </c>
      <c r="AE65" s="186">
        <f>SUM(D$62:D65)</f>
        <v>44158.069793221461</v>
      </c>
      <c r="AF65" s="186">
        <f>SUM(E$62:E65)</f>
        <v>22356.779413708842</v>
      </c>
      <c r="AG65" s="186">
        <f>SUM(L$62:L65)</f>
        <v>-29673.498203691845</v>
      </c>
      <c r="AH65" s="186">
        <f>SUM(M$62:M65)</f>
        <v>29673.498203691845</v>
      </c>
      <c r="AI65" s="186">
        <f>SUM(N$62:N65)</f>
        <v>-69630.266028427664</v>
      </c>
      <c r="AJ65" s="186">
        <f>SUM(O$62:O65)</f>
        <v>69630.266028427664</v>
      </c>
      <c r="AK65" s="186">
        <f>SUM(P$62:P65)</f>
        <v>71629.901681698873</v>
      </c>
      <c r="AL65" s="186">
        <f>SUM(Q$62:Q65)</f>
        <v>-52106.240164802075</v>
      </c>
      <c r="AM65" s="186">
        <f>SUM(R$62:R65)</f>
        <v>-67732.40033203963</v>
      </c>
      <c r="AN65" s="186">
        <f>SUM(S$62:S65)</f>
        <v>-29909.103004031946</v>
      </c>
      <c r="AO65" s="186">
        <f>SUM(T$62:T65)</f>
        <v>29909.103004031946</v>
      </c>
      <c r="AP65" s="186">
        <f>SUM(U$62:U65)</f>
        <v>-49999.517235581734</v>
      </c>
      <c r="AQ65" s="186">
        <f>SUM(V$62:V65)</f>
        <v>-62059.060941195596</v>
      </c>
      <c r="AR65" s="186">
        <f>SUM(W$62:W65)</f>
        <v>45317.277748232176</v>
      </c>
      <c r="AS65" s="186">
        <f>SUM(X$62:X65)</f>
        <v>44912.71990570386</v>
      </c>
      <c r="AT65" s="186">
        <f>SUM(Y$62:Y65)</f>
        <v>48241.345650194919</v>
      </c>
      <c r="AU65" s="186">
        <f>SUM(Z$62:Z65)</f>
        <v>17108.313309757039</v>
      </c>
      <c r="AV65" s="186">
        <f>SUM(AA$62:AA65)</f>
        <v>97595.740227363174</v>
      </c>
      <c r="AW65">
        <f t="shared" si="34"/>
        <v>20160804</v>
      </c>
      <c r="AX65" s="186">
        <f>SUM(C$41:C65)</f>
        <v>75233.517408618529</v>
      </c>
      <c r="AY65" s="186">
        <f>SUM(D$41:D65)</f>
        <v>72729.650283128081</v>
      </c>
      <c r="AZ65" s="186">
        <f>SUM(E$41:E65)</f>
        <v>-90276.031832506618</v>
      </c>
      <c r="BA65" s="186">
        <f>SUM(L$41:L65)</f>
        <v>-37477.200237892052</v>
      </c>
      <c r="BB65" s="186">
        <f>SUM(M$41:M65)</f>
        <v>37477.200237892052</v>
      </c>
      <c r="BC65" s="186">
        <f>SUM(N$41:N65)</f>
        <v>-103821.18369914105</v>
      </c>
      <c r="BD65" s="186">
        <f>SUM(O$41:O65)</f>
        <v>103821.18369914105</v>
      </c>
      <c r="BE65" s="186">
        <f>SUM(P$41:P65)</f>
        <v>120494.80087886238</v>
      </c>
      <c r="BF65" s="186">
        <f>SUM(Q$41:Q65)</f>
        <v>-72559.777890557671</v>
      </c>
      <c r="BG65" s="186">
        <f>SUM(R$41:R65)</f>
        <v>-98446.823771501426</v>
      </c>
      <c r="BH65" s="186">
        <f>SUM(S$41:S65)</f>
        <v>41056.821610258528</v>
      </c>
      <c r="BI65" s="186">
        <f>SUM(T$41:T65)</f>
        <v>-41056.821610258528</v>
      </c>
      <c r="BJ65" s="186">
        <f>SUM(U$41:U65)</f>
        <v>88849.14887371751</v>
      </c>
      <c r="BK65" s="186">
        <f>SUM(V$41:V65)</f>
        <v>-79307.503905646925</v>
      </c>
      <c r="BL65" s="186">
        <f>SUM(W$41:W65)</f>
        <v>126807.97298236506</v>
      </c>
      <c r="BM65" s="186">
        <f>SUM(X$41:X65)</f>
        <v>-7402.172706757694</v>
      </c>
      <c r="BN65" s="186">
        <f>SUM(Y$41:Y65)</f>
        <v>60739.883925241658</v>
      </c>
      <c r="BO65" s="186">
        <f>SUM(Z$41:Z65)</f>
        <v>-61856.371711872584</v>
      </c>
      <c r="BP65" s="186">
        <f>SUM(AA$41:AA65)</f>
        <v>111275.05145383954</v>
      </c>
    </row>
    <row r="66" spans="1:68" x14ac:dyDescent="0.25">
      <c r="A66" s="186">
        <f t="shared" ca="1" si="33"/>
        <v>27928.12391571949</v>
      </c>
      <c r="B66" s="186">
        <f ca="1">OFFSET(INDIRECT(CELL("address",OFFSET($P65,0,MATCH(MIN($P65:AB65),$P65:AB65,0)-1))),1,0)</f>
        <v>27928.12391571949</v>
      </c>
      <c r="C66" s="346">
        <v>26906.056034334171</v>
      </c>
      <c r="D66" s="245">
        <v>-47699.082263092299</v>
      </c>
      <c r="E66" s="260">
        <v>-28344.190123937929</v>
      </c>
      <c r="F66" s="193">
        <f t="shared" si="31"/>
        <v>0.5</v>
      </c>
      <c r="G66">
        <f>'0805'!$A$1</f>
        <v>20160805</v>
      </c>
      <c r="H66" s="254">
        <f>'0805'!$F$10</f>
        <v>0.59154929577464788</v>
      </c>
      <c r="I66" s="140">
        <f>'0805'!$Y$11</f>
        <v>2580.4837160603356</v>
      </c>
      <c r="J66" s="140">
        <f>'0805'!$H$10</f>
        <v>1812.9864259702028</v>
      </c>
      <c r="K66" s="186">
        <f>'0805'!$Z$13</f>
        <v>130568.5168493761</v>
      </c>
      <c r="L66" s="366">
        <f>'0805'!$AA$13</f>
        <v>89342.69728783959</v>
      </c>
      <c r="M66" s="367">
        <f>'0805'!$AB$13</f>
        <v>-89342.69728783959</v>
      </c>
      <c r="N66" s="303">
        <f>'0805'!$AC$13</f>
        <v>42484.248722629192</v>
      </c>
      <c r="O66" s="367">
        <f>'0805'!$AD$13</f>
        <v>-42484.248722629192</v>
      </c>
      <c r="P66" s="275">
        <f>'0805'!$AE$13</f>
        <v>-11850.448648755537</v>
      </c>
      <c r="Q66" s="186">
        <f>'0805'!$AF$13</f>
        <v>24715.690924329025</v>
      </c>
      <c r="R66" s="359">
        <f>'0805'!$AG$13</f>
        <v>28421.404234841626</v>
      </c>
      <c r="S66" s="303">
        <f>'0805'!$AH$13</f>
        <v>-25956.984074312913</v>
      </c>
      <c r="T66" s="303">
        <f>'0805'!$AI$13</f>
        <v>25956.984074312913</v>
      </c>
      <c r="U66" s="360">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36">G66</f>
        <v>20160805</v>
      </c>
      <c r="AD66" s="186">
        <f>SUM(C$62:C66)</f>
        <v>81246.520300590491</v>
      </c>
      <c r="AE66" s="186">
        <f>SUM(D$62:D66)</f>
        <v>-3541.0124698708387</v>
      </c>
      <c r="AF66" s="186">
        <f>SUM(E$62:E66)</f>
        <v>-5987.4107102290873</v>
      </c>
      <c r="AG66" s="186">
        <f>SUM(L$62:L66)</f>
        <v>59669.199084147745</v>
      </c>
      <c r="AH66" s="186">
        <f>SUM(M$62:M66)</f>
        <v>-59669.199084147745</v>
      </c>
      <c r="AI66" s="186">
        <f>SUM(N$62:N66)</f>
        <v>-27146.017305798472</v>
      </c>
      <c r="AJ66" s="186">
        <f>SUM(O$62:O66)</f>
        <v>27146.017305798472</v>
      </c>
      <c r="AK66" s="186">
        <f>SUM(P$62:P66)</f>
        <v>59779.453032943333</v>
      </c>
      <c r="AL66" s="186">
        <f>SUM(Q$62:Q66)</f>
        <v>-27390.54924047305</v>
      </c>
      <c r="AM66" s="186">
        <f>SUM(R$62:R66)</f>
        <v>-39310.996097198004</v>
      </c>
      <c r="AN66" s="186">
        <f>SUM(S$62:S66)</f>
        <v>-55866.087078344863</v>
      </c>
      <c r="AO66" s="186">
        <f>SUM(T$62:T66)</f>
        <v>55866.087078344863</v>
      </c>
      <c r="AP66" s="186">
        <f>SUM(U$62:U66)</f>
        <v>-85302.510797497118</v>
      </c>
      <c r="AQ66" s="186">
        <f>SUM(V$62:V66)</f>
        <v>-20857.092897661816</v>
      </c>
      <c r="AR66" s="186">
        <f>SUM(W$62:W66)</f>
        <v>-4492.6684444792627</v>
      </c>
      <c r="AS66" s="186">
        <f>SUM(X$62:X66)</f>
        <v>55882.882405385215</v>
      </c>
      <c r="AT66" s="186">
        <f>SUM(Y$62:Y66)</f>
        <v>44281.8733664061</v>
      </c>
      <c r="AU66" s="186">
        <f>SUM(Z$62:Z66)</f>
        <v>45036.437225476533</v>
      </c>
      <c r="AV66" s="186">
        <f>SUM(AA$62:AA66)</f>
        <v>86715.12017498663</v>
      </c>
      <c r="AW66">
        <f t="shared" si="34"/>
        <v>20160805</v>
      </c>
      <c r="AX66" s="186">
        <f>SUM(C$41:C66)</f>
        <v>102139.57344295271</v>
      </c>
      <c r="AY66" s="186">
        <f>SUM(D$41:D66)</f>
        <v>25030.568020035782</v>
      </c>
      <c r="AZ66" s="186">
        <f>SUM(E$41:E66)</f>
        <v>-118620.22195644455</v>
      </c>
      <c r="BA66" s="186">
        <f>SUM(L$41:L66)</f>
        <v>51865.497049947538</v>
      </c>
      <c r="BB66" s="186">
        <f>SUM(M$41:M66)</f>
        <v>-51865.497049947538</v>
      </c>
      <c r="BC66" s="186">
        <f>SUM(N$41:N66)</f>
        <v>-61336.93497651186</v>
      </c>
      <c r="BD66" s="186">
        <f>SUM(O$41:O66)</f>
        <v>61336.93497651186</v>
      </c>
      <c r="BE66" s="186">
        <f>SUM(P$41:P66)</f>
        <v>108644.35223010684</v>
      </c>
      <c r="BF66" s="186">
        <f>SUM(Q$41:Q66)</f>
        <v>-47844.086966228642</v>
      </c>
      <c r="BG66" s="186">
        <f>SUM(R$41:R66)</f>
        <v>-70025.4195366598</v>
      </c>
      <c r="BH66" s="186">
        <f>SUM(S$41:S66)</f>
        <v>15099.837535945615</v>
      </c>
      <c r="BI66" s="186">
        <f>SUM(T$41:T66)</f>
        <v>-15099.837535945615</v>
      </c>
      <c r="BJ66" s="186">
        <f>SUM(U$41:U66)</f>
        <v>53546.155311802126</v>
      </c>
      <c r="BK66" s="186">
        <f>SUM(V$41:V66)</f>
        <v>-38105.535862113145</v>
      </c>
      <c r="BL66" s="186">
        <f>SUM(W$41:W66)</f>
        <v>76998.02678965361</v>
      </c>
      <c r="BM66" s="186">
        <f>SUM(X$41:X66)</f>
        <v>3567.9897929236577</v>
      </c>
      <c r="BN66" s="186">
        <f>SUM(Y$41:Y66)</f>
        <v>56780.41164145284</v>
      </c>
      <c r="BO66" s="186">
        <f>SUM(Z$41:Z66)</f>
        <v>-33928.247796153097</v>
      </c>
      <c r="BP66" s="186">
        <f>SUM(AA$41:AA66)</f>
        <v>100394.43140146299</v>
      </c>
    </row>
    <row r="67" spans="1:68" x14ac:dyDescent="0.25">
      <c r="A67" s="186">
        <f t="shared" ca="1" si="33"/>
        <v>3524.8200119363205</v>
      </c>
      <c r="B67" s="186">
        <f ca="1">OFFSET(INDIRECT(CELL("address",OFFSET($P66,0,MATCH(MIN($P66:AB66),$P66:AB66,0)-1))),1,0)</f>
        <v>3524.8200119363205</v>
      </c>
      <c r="C67" s="347">
        <v>-3769.2932217177463</v>
      </c>
      <c r="D67" s="245">
        <v>3524.8200119363205</v>
      </c>
      <c r="E67" s="260">
        <v>4402.2481979081022</v>
      </c>
      <c r="F67" s="193">
        <f t="shared" si="31"/>
        <v>0.75</v>
      </c>
      <c r="G67">
        <f>'0808'!$A$1</f>
        <v>20160808</v>
      </c>
      <c r="H67" s="254">
        <f>'0808'!$F$10</f>
        <v>0.63380281690140849</v>
      </c>
      <c r="I67" s="140">
        <f>'0808'!$Y$11</f>
        <v>2531.8078544341006</v>
      </c>
      <c r="J67" s="140">
        <f>'0808'!$H$10</f>
        <v>1006.0742655221744</v>
      </c>
      <c r="K67" s="186">
        <f>'0808'!$Z$13</f>
        <v>71563.109181894179</v>
      </c>
      <c r="L67" s="366">
        <f>'0808'!$AA$13</f>
        <v>37402.342686552802</v>
      </c>
      <c r="M67" s="367">
        <f>'0808'!$AB$13</f>
        <v>-37402.342686552802</v>
      </c>
      <c r="N67" s="303">
        <f>'0808'!$AC$13</f>
        <v>3746.4894807223509</v>
      </c>
      <c r="O67" s="367">
        <f>'0808'!$AD$13</f>
        <v>-3746.4894807223509</v>
      </c>
      <c r="P67" s="275">
        <f>'0808'!$AE$13</f>
        <v>8533.714931546785</v>
      </c>
      <c r="Q67" s="186">
        <f>'0808'!$AF$13</f>
        <v>-15318.264083152455</v>
      </c>
      <c r="R67" s="359">
        <f>'0808'!$AG$13</f>
        <v>4402.2481979081022</v>
      </c>
      <c r="S67" s="303">
        <f>'0808'!$AH$13</f>
        <v>-18678.750700092103</v>
      </c>
      <c r="T67" s="303">
        <f>'0808'!$AI$13</f>
        <v>18678.750700092103</v>
      </c>
      <c r="U67" s="360">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36"/>
        <v>20160808</v>
      </c>
      <c r="AD67" s="186">
        <f>SUM(C$62:C67)</f>
        <v>77477.227078872747</v>
      </c>
      <c r="AE67" s="186">
        <f>SUM(D$62:D67)</f>
        <v>-16.192457934518188</v>
      </c>
      <c r="AF67" s="186">
        <f>SUM(E$62:E67)</f>
        <v>-1585.1625123209851</v>
      </c>
      <c r="AG67" s="186">
        <f>SUM(L$62:L67)</f>
        <v>97071.54177070054</v>
      </c>
      <c r="AH67" s="186">
        <f>SUM(M$62:M67)</f>
        <v>-97071.54177070054</v>
      </c>
      <c r="AI67" s="186">
        <f>SUM(N$62:N67)</f>
        <v>-23399.527825076122</v>
      </c>
      <c r="AJ67" s="186">
        <f>SUM(O$62:O67)</f>
        <v>23399.527825076122</v>
      </c>
      <c r="AK67" s="186">
        <f>SUM(P$62:P67)</f>
        <v>68313.167964490116</v>
      </c>
      <c r="AL67" s="186">
        <f>SUM(Q$62:Q67)</f>
        <v>-42708.813323625509</v>
      </c>
      <c r="AM67" s="186">
        <f>SUM(R$62:R67)</f>
        <v>-34908.747899289898</v>
      </c>
      <c r="AN67" s="186">
        <f>SUM(S$62:S67)</f>
        <v>-74544.837778436966</v>
      </c>
      <c r="AO67" s="186">
        <f>SUM(T$62:T67)</f>
        <v>74544.837778436966</v>
      </c>
      <c r="AP67" s="186">
        <f>SUM(U$62:U67)</f>
        <v>-85260.842350982828</v>
      </c>
      <c r="AQ67" s="186">
        <f>SUM(V$62:V67)</f>
        <v>-10302.866724848551</v>
      </c>
      <c r="AR67" s="186">
        <f>SUM(W$62:W67)</f>
        <v>-967.84843254294219</v>
      </c>
      <c r="AS67" s="186">
        <f>SUM(X$62:X67)</f>
        <v>57440.162671404287</v>
      </c>
      <c r="AT67" s="186">
        <f>SUM(Y$62:Y67)</f>
        <v>49083.123480102215</v>
      </c>
      <c r="AU67" s="186">
        <f>SUM(Z$62:Z67)</f>
        <v>41267.144003758789</v>
      </c>
      <c r="AV67" s="186">
        <f>SUM(AA$62:AA67)</f>
        <v>99181.055940731574</v>
      </c>
      <c r="AW67">
        <f t="shared" si="34"/>
        <v>20160808</v>
      </c>
      <c r="AX67" s="186">
        <f>SUM(C$41:C67)</f>
        <v>98370.280221234963</v>
      </c>
      <c r="AY67" s="186">
        <f>SUM(D$41:D67)</f>
        <v>28555.388031972103</v>
      </c>
      <c r="AZ67" s="186">
        <f>SUM(E$41:E67)</f>
        <v>-114217.97375853645</v>
      </c>
      <c r="BA67" s="186">
        <f>SUM(L$41:L67)</f>
        <v>89267.839736500347</v>
      </c>
      <c r="BB67" s="186">
        <f>SUM(M$41:M67)</f>
        <v>-89267.839736500347</v>
      </c>
      <c r="BC67" s="186">
        <f>SUM(N$41:N67)</f>
        <v>-57590.445495789507</v>
      </c>
      <c r="BD67" s="186">
        <f>SUM(O$41:O67)</f>
        <v>57590.445495789507</v>
      </c>
      <c r="BE67" s="186">
        <f>SUM(P$41:P67)</f>
        <v>117178.06716165363</v>
      </c>
      <c r="BF67" s="186">
        <f>SUM(Q$41:Q67)</f>
        <v>-63162.351049381097</v>
      </c>
      <c r="BG67" s="186">
        <f>SUM(R$41:R67)</f>
        <v>-65623.171338751694</v>
      </c>
      <c r="BH67" s="186">
        <f>SUM(S$41:S67)</f>
        <v>-3578.9131641464883</v>
      </c>
      <c r="BI67" s="186">
        <f>SUM(T$41:T67)</f>
        <v>3578.9131641464883</v>
      </c>
      <c r="BJ67" s="186">
        <f>SUM(U$41:U67)</f>
        <v>53587.823758316408</v>
      </c>
      <c r="BK67" s="186">
        <f>SUM(V$41:V67)</f>
        <v>-27551.30968929988</v>
      </c>
      <c r="BL67" s="186">
        <f>SUM(W$41:W67)</f>
        <v>80522.846801589927</v>
      </c>
      <c r="BM67" s="186">
        <f>SUM(X$41:X67)</f>
        <v>5125.2700589427268</v>
      </c>
      <c r="BN67" s="186">
        <f>SUM(Y$41:Y67)</f>
        <v>61581.661755148954</v>
      </c>
      <c r="BO67" s="186">
        <f>SUM(Z$41:Z67)</f>
        <v>-37697.541017870841</v>
      </c>
      <c r="BP67" s="186">
        <f>SUM(AA$41:AA67)</f>
        <v>112860.36716720794</v>
      </c>
    </row>
    <row r="68" spans="1:68" x14ac:dyDescent="0.25">
      <c r="A68" s="186">
        <f t="shared" ca="1" si="33"/>
        <v>-2987.8737124377617</v>
      </c>
      <c r="B68" s="186">
        <f ca="1">OFFSET(INDIRECT(CELL("address",OFFSET($P67,0,MATCH(MIN($P67:AB67),$P67:AB67,0)-1))),1,0)</f>
        <v>7963.3450674186133</v>
      </c>
      <c r="C68" s="347">
        <v>-2987.8737124377617</v>
      </c>
      <c r="D68" s="290">
        <v>-7922.5680694836319</v>
      </c>
      <c r="E68" s="299">
        <v>-702.80602562262413</v>
      </c>
      <c r="F68" s="193">
        <f t="shared" ref="F68:F73" si="37">(COUNTIF(P68:AA68,"&gt;"&amp;0)/COUNT(P68:AA68))</f>
        <v>0.41666666666666669</v>
      </c>
      <c r="G68">
        <f>'0809'!$A$1</f>
        <v>20160809</v>
      </c>
      <c r="H68" s="254">
        <f>'0809'!$F$10</f>
        <v>0.70422535211267601</v>
      </c>
      <c r="I68" s="140">
        <f>'0809'!$Y$11</f>
        <v>2509.7678798792708</v>
      </c>
      <c r="J68" s="140">
        <f>'0809'!$H$10</f>
        <v>987.26977859958072</v>
      </c>
      <c r="K68" s="186">
        <f>'0809'!$Z$13</f>
        <v>73498.575137181688</v>
      </c>
      <c r="L68" s="366">
        <f>'0809'!$AA$13</f>
        <v>4884.3604571400592</v>
      </c>
      <c r="M68" s="367">
        <f>'0809'!$AB$13</f>
        <v>-4884.3604571400592</v>
      </c>
      <c r="N68" s="303">
        <f>'0809'!$AC$13</f>
        <v>14169.851786552521</v>
      </c>
      <c r="O68" s="367">
        <f>'0809'!$AD$13</f>
        <v>-14169.851786552521</v>
      </c>
      <c r="P68" s="275">
        <f>'0809'!$AE$13</f>
        <v>-7287.9119965960253</v>
      </c>
      <c r="Q68" s="253">
        <f>'0809'!$AF$13</f>
        <v>6366.3289148554522</v>
      </c>
      <c r="R68" s="359">
        <f>'0809'!$AG$13</f>
        <v>15454.275327798972</v>
      </c>
      <c r="S68" s="303">
        <f>'0809'!$AH$13</f>
        <v>7963.3450674186133</v>
      </c>
      <c r="T68" s="303">
        <f>'0809'!$AI$13</f>
        <v>-7963.3450674186133</v>
      </c>
      <c r="U68" s="359">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8">G68</f>
        <v>20160809</v>
      </c>
      <c r="AD68" s="186">
        <f>SUM(C$62:C68)</f>
        <v>74489.353366434982</v>
      </c>
      <c r="AE68" s="186">
        <f>SUM(D$62:D68)</f>
        <v>-7938.7605274181496</v>
      </c>
      <c r="AF68" s="186">
        <f>SUM(E$62:E68)</f>
        <v>-2287.9685379436091</v>
      </c>
      <c r="AG68" s="186">
        <f>SUM(L$62:L68)</f>
        <v>101955.9022278406</v>
      </c>
      <c r="AH68" s="186">
        <f>SUM(M$62:M68)</f>
        <v>-101955.9022278406</v>
      </c>
      <c r="AI68" s="186">
        <f>SUM(N$62:N68)</f>
        <v>-9229.6760385236012</v>
      </c>
      <c r="AJ68" s="186">
        <f>SUM(O$62:O68)</f>
        <v>9229.6760385236012</v>
      </c>
      <c r="AK68" s="186">
        <f>SUM(P$62:P68)</f>
        <v>61025.255967894089</v>
      </c>
      <c r="AL68" s="186">
        <f>SUM(Q$62:Q68)</f>
        <v>-36342.484408770055</v>
      </c>
      <c r="AM68" s="186">
        <f>SUM(R$62:R68)</f>
        <v>-19454.472571490925</v>
      </c>
      <c r="AN68" s="186">
        <f>SUM(S$62:S68)</f>
        <v>-66581.492711018349</v>
      </c>
      <c r="AO68" s="186">
        <f>SUM(T$62:T68)</f>
        <v>66581.492711018349</v>
      </c>
      <c r="AP68" s="186">
        <f>SUM(U$62:U68)</f>
        <v>-78547.516404232709</v>
      </c>
      <c r="AQ68" s="186">
        <f>SUM(V$62:V68)</f>
        <v>-3055.4939013621333</v>
      </c>
      <c r="AR68" s="186">
        <f>SUM(W$62:W68)</f>
        <v>-8890.4165020265737</v>
      </c>
      <c r="AS68" s="186">
        <f>SUM(X$62:X68)</f>
        <v>49378.668057211034</v>
      </c>
      <c r="AT68" s="186">
        <f>SUM(Y$62:Y68)</f>
        <v>48380.317454479591</v>
      </c>
      <c r="AU68" s="186">
        <f>SUM(Z$62:Z68)</f>
        <v>38279.270291321031</v>
      </c>
      <c r="AV68" s="186">
        <f>SUM(AA$62:AA68)</f>
        <v>82096.912795084208</v>
      </c>
      <c r="AW68">
        <f t="shared" si="34"/>
        <v>20160809</v>
      </c>
      <c r="AX68" s="186">
        <f>SUM(C$41:C68)</f>
        <v>95382.406508797198</v>
      </c>
      <c r="AY68" s="186">
        <f>SUM(D$41:D68)</f>
        <v>20632.819962488473</v>
      </c>
      <c r="AZ68" s="186">
        <f>SUM(E$41:E68)</f>
        <v>-114920.77978415908</v>
      </c>
      <c r="BA68" s="186">
        <f>SUM(L$41:L68)</f>
        <v>94152.200193640412</v>
      </c>
      <c r="BB68" s="186">
        <f>SUM(M$41:M68)</f>
        <v>-94152.200193640412</v>
      </c>
      <c r="BC68" s="186">
        <f>SUM(N$41:N68)</f>
        <v>-43420.593709236986</v>
      </c>
      <c r="BD68" s="186">
        <f>SUM(O$41:O68)</f>
        <v>43420.593709236986</v>
      </c>
      <c r="BE68" s="186">
        <f>SUM(P$41:P68)</f>
        <v>109890.1551650576</v>
      </c>
      <c r="BF68" s="186">
        <f>SUM(Q$41:Q68)</f>
        <v>-56796.022134525643</v>
      </c>
      <c r="BG68" s="186">
        <f>SUM(R$41:R68)</f>
        <v>-50168.896010952725</v>
      </c>
      <c r="BH68" s="186">
        <f>SUM(S$41:S68)</f>
        <v>4384.4319032721251</v>
      </c>
      <c r="BI68" s="186">
        <f>SUM(T$41:T68)</f>
        <v>-4384.4319032721251</v>
      </c>
      <c r="BJ68" s="186">
        <f>SUM(U$41:U68)</f>
        <v>60301.149705066535</v>
      </c>
      <c r="BK68" s="186">
        <f>SUM(V$41:V68)</f>
        <v>-20303.936865813463</v>
      </c>
      <c r="BL68" s="186">
        <f>SUM(W$41:W68)</f>
        <v>72600.278732106293</v>
      </c>
      <c r="BM68" s="186">
        <f>SUM(X$41:X68)</f>
        <v>-2936.2245552505237</v>
      </c>
      <c r="BN68" s="186">
        <f>SUM(Y$41:Y68)</f>
        <v>60878.855729526331</v>
      </c>
      <c r="BO68" s="186">
        <f>SUM(Z$41:Z68)</f>
        <v>-40685.414730308599</v>
      </c>
      <c r="BP68" s="186">
        <f>SUM(AA$41:AA68)</f>
        <v>95776.224021560571</v>
      </c>
    </row>
    <row r="69" spans="1:68" x14ac:dyDescent="0.25">
      <c r="A69" s="186">
        <f t="shared" ca="1" si="33"/>
        <v>-14098.494512063167</v>
      </c>
      <c r="B69" s="186">
        <f ca="1">OFFSET(INDIRECT(CELL("address",OFFSET($P68,0,MATCH(MIN($P68:AB68),$P68:AB68,0)-1))),1,0)</f>
        <v>-14098.494512063167</v>
      </c>
      <c r="C69" s="356">
        <v>44877.107519872283</v>
      </c>
      <c r="D69" s="350">
        <v>-14098.494512063167</v>
      </c>
      <c r="E69" s="302">
        <v>27211.664412963735</v>
      </c>
      <c r="F69" s="193">
        <f t="shared" si="37"/>
        <v>0.33333333333333331</v>
      </c>
      <c r="G69">
        <f>'0810'!$A$1</f>
        <v>20160810</v>
      </c>
      <c r="H69" s="254">
        <f>'0810'!$F$10</f>
        <v>0.52112676056338025</v>
      </c>
      <c r="I69" s="140">
        <f>'0810'!$Y$11</f>
        <v>2477.3122879457305</v>
      </c>
      <c r="J69" s="140">
        <f>'0810'!$H$10</f>
        <v>1239.0720509076896</v>
      </c>
      <c r="K69" s="186">
        <f>'0810'!$Z$13</f>
        <v>88466.880515108074</v>
      </c>
      <c r="L69" s="366">
        <f>'0810'!$AA$13</f>
        <v>-32177.658860155512</v>
      </c>
      <c r="M69" s="367">
        <f>'0810'!$AB$13</f>
        <v>32177.658860155512</v>
      </c>
      <c r="N69" s="303">
        <f>'0810'!$AC$13</f>
        <v>44877.107519872283</v>
      </c>
      <c r="O69" s="367">
        <f>'0810'!$AD$13</f>
        <v>-44877.107519872283</v>
      </c>
      <c r="P69" s="253">
        <f>'0810'!$AE$13</f>
        <v>18444.726419939296</v>
      </c>
      <c r="Q69" s="253">
        <f>'0810'!$AF$13</f>
        <v>-654.64598395176267</v>
      </c>
      <c r="R69" s="361">
        <f>'0810'!$AG$13</f>
        <v>-10711.904300515816</v>
      </c>
      <c r="S69" s="303">
        <f>'0810'!$AH$13</f>
        <v>12781.937463685015</v>
      </c>
      <c r="T69" s="303">
        <f>'0810'!$AI$13</f>
        <v>-12781.937463685015</v>
      </c>
      <c r="U69" s="359">
        <f>'0810'!$AJ$13</f>
        <v>-10896.369913820196</v>
      </c>
      <c r="V69" s="275">
        <f>'0810'!$AK$13</f>
        <v>14901.893089641282</v>
      </c>
      <c r="W69" s="253">
        <f>'0810'!$AL$13</f>
        <v>-24249.683185427075</v>
      </c>
      <c r="X69" s="186">
        <f>'0810'!$AM$13</f>
        <v>-26449.830595041174</v>
      </c>
      <c r="Y69" s="253">
        <f>'0810'!$AN$13</f>
        <v>-15466.895193089538</v>
      </c>
      <c r="Z69" s="275">
        <f>'0810'!$AO$13</f>
        <v>27211.664412963735</v>
      </c>
      <c r="AA69" s="253">
        <f>'0810'!$AP$13</f>
        <v>-14098.494512063167</v>
      </c>
      <c r="AC69">
        <f t="shared" ref="AC69:AC71" si="39">G69</f>
        <v>20160810</v>
      </c>
      <c r="AD69" s="186">
        <f>SUM(C$62:C69)</f>
        <v>119366.46088630726</v>
      </c>
      <c r="AE69" s="186">
        <f>SUM(D$62:D69)</f>
        <v>-22037.255039481315</v>
      </c>
      <c r="AF69" s="186">
        <f>SUM(E$62:E69)</f>
        <v>24923.695875020127</v>
      </c>
      <c r="AG69" s="186">
        <f>SUM(L$62:L69)</f>
        <v>69778.243367685092</v>
      </c>
      <c r="AH69" s="186">
        <f>SUM(M$62:M69)</f>
        <v>-69778.243367685092</v>
      </c>
      <c r="AI69" s="186">
        <f>SUM(N$62:N69)</f>
        <v>35647.431481348685</v>
      </c>
      <c r="AJ69" s="186">
        <f>SUM(O$62:O69)</f>
        <v>-35647.431481348685</v>
      </c>
      <c r="AK69" s="186">
        <f>SUM(P$62:P69)</f>
        <v>79469.982387833385</v>
      </c>
      <c r="AL69" s="186">
        <f>SUM(Q$62:Q69)</f>
        <v>-36997.130392721818</v>
      </c>
      <c r="AM69" s="186">
        <f>SUM(R$62:R69)</f>
        <v>-30166.376872006742</v>
      </c>
      <c r="AN69" s="186">
        <f>SUM(S$62:S69)</f>
        <v>-53799.555247333337</v>
      </c>
      <c r="AO69" s="186">
        <f>SUM(T$62:T69)</f>
        <v>53799.555247333337</v>
      </c>
      <c r="AP69" s="186">
        <f>SUM(U$62:U69)</f>
        <v>-89443.886318052901</v>
      </c>
      <c r="AQ69" s="186">
        <f>SUM(V$62:V69)</f>
        <v>11846.399188279149</v>
      </c>
      <c r="AR69" s="186">
        <f>SUM(W$62:W69)</f>
        <v>-33140.09968745365</v>
      </c>
      <c r="AS69" s="186">
        <f>SUM(X$62:X69)</f>
        <v>22928.83746216986</v>
      </c>
      <c r="AT69" s="186">
        <f>SUM(Y$62:Y69)</f>
        <v>32913.422261390049</v>
      </c>
      <c r="AU69" s="186">
        <f>SUM(Z$62:Z69)</f>
        <v>65490.934704284766</v>
      </c>
      <c r="AV69" s="186">
        <f>SUM(AA$62:AA69)</f>
        <v>67998.418283021048</v>
      </c>
      <c r="AW69">
        <f t="shared" ref="AW69:AW71" si="40">G69</f>
        <v>20160810</v>
      </c>
      <c r="AX69" s="186">
        <f>SUM(C$41:C69)</f>
        <v>140259.51402866948</v>
      </c>
      <c r="AY69" s="186">
        <f>SUM(D$41:D69)</f>
        <v>6534.3254504253055</v>
      </c>
      <c r="AZ69" s="186">
        <f>SUM(E$41:E69)</f>
        <v>-87709.115371195338</v>
      </c>
      <c r="BA69" s="186">
        <f>SUM(L$41:L69)</f>
        <v>61974.5413334849</v>
      </c>
      <c r="BB69" s="186">
        <f>SUM(M$41:M69)</f>
        <v>-61974.5413334849</v>
      </c>
      <c r="BC69" s="186">
        <f>SUM(N$41:N69)</f>
        <v>1456.513810635297</v>
      </c>
      <c r="BD69" s="186">
        <f>SUM(O$41:O69)</f>
        <v>-1456.513810635297</v>
      </c>
      <c r="BE69" s="186">
        <f>SUM(P$41:P69)</f>
        <v>128334.8815849969</v>
      </c>
      <c r="BF69" s="186">
        <f>SUM(Q$41:Q69)</f>
        <v>-57450.668118477406</v>
      </c>
      <c r="BG69" s="186">
        <f>SUM(R$41:R69)</f>
        <v>-60880.800311468542</v>
      </c>
      <c r="BH69" s="186">
        <f>SUM(S$41:S69)</f>
        <v>17166.36936695714</v>
      </c>
      <c r="BI69" s="186">
        <f>SUM(T$41:T69)</f>
        <v>-17166.36936695714</v>
      </c>
      <c r="BJ69" s="186">
        <f>SUM(U$41:U69)</f>
        <v>49404.779791246343</v>
      </c>
      <c r="BK69" s="186">
        <f>SUM(V$41:V69)</f>
        <v>-5402.0437761721805</v>
      </c>
      <c r="BL69" s="186">
        <f>SUM(W$41:W69)</f>
        <v>48350.595546679222</v>
      </c>
      <c r="BM69" s="186">
        <f>SUM(X$41:X69)</f>
        <v>-29386.055150291697</v>
      </c>
      <c r="BN69" s="186">
        <f>SUM(Y$41:Y69)</f>
        <v>45411.960536436789</v>
      </c>
      <c r="BO69" s="186">
        <f>SUM(Z$41:Z69)</f>
        <v>-13473.750317344864</v>
      </c>
      <c r="BP69" s="186">
        <f>SUM(AA$41:AA69)</f>
        <v>81677.729509497411</v>
      </c>
    </row>
    <row r="70" spans="1:68" ht="15.75" thickBot="1" x14ac:dyDescent="0.3">
      <c r="A70" s="186">
        <f t="shared" ca="1" si="33"/>
        <v>50618.36673260852</v>
      </c>
      <c r="B70" s="186">
        <f ca="1">OFFSET(INDIRECT(CELL("address",OFFSET($P69,0,MATCH(MIN($P69:AB69),$P69:AB69,0)-1))),1,0)</f>
        <v>50618.36673260852</v>
      </c>
      <c r="C70" s="368">
        <v>-33301.560849531386</v>
      </c>
      <c r="D70" s="350">
        <v>43151.256484232093</v>
      </c>
      <c r="E70" s="323">
        <v>-2626.811570418723</v>
      </c>
      <c r="F70" s="193">
        <f t="shared" si="37"/>
        <v>0.66666666666666663</v>
      </c>
      <c r="G70">
        <f>'0811'!$A$1</f>
        <v>20160811</v>
      </c>
      <c r="H70" s="254">
        <f>'0811'!$F$10</f>
        <v>0.57746478873239437</v>
      </c>
      <c r="I70" s="140">
        <f>'0811'!$Y$11</f>
        <v>2504.1822790998299</v>
      </c>
      <c r="J70" s="140">
        <f>'0811'!$H$10</f>
        <v>1455.5424402308481</v>
      </c>
      <c r="K70" s="186">
        <f>'0811'!$Z$13</f>
        <v>105951.04213452215</v>
      </c>
      <c r="L70" s="366">
        <f>'0811'!$AA$13</f>
        <v>54709.638466200588</v>
      </c>
      <c r="M70" s="367">
        <f>'0811'!$AB$13</f>
        <v>-54709.638466200588</v>
      </c>
      <c r="N70" s="303">
        <f>'0811'!$AC$13</f>
        <v>-48167.14193688325</v>
      </c>
      <c r="O70" s="367">
        <f>'0811'!$AD$13</f>
        <v>48167.14193688325</v>
      </c>
      <c r="P70" s="275">
        <f>'0811'!$AE$13</f>
        <v>-201.03287771691049</v>
      </c>
      <c r="Q70" s="253">
        <f>'0811'!$AF$13</f>
        <v>17112.606969397701</v>
      </c>
      <c r="R70" s="359">
        <f>'0811'!$AG$13</f>
        <v>11502.590296819068</v>
      </c>
      <c r="S70" s="303">
        <f>'0811'!$AH$13</f>
        <v>-33301.560849531386</v>
      </c>
      <c r="T70" s="303">
        <f>'0811'!$AI$13</f>
        <v>33301.560849531386</v>
      </c>
      <c r="U70" s="359">
        <f>'0811'!$AJ$13</f>
        <v>20408.52718001074</v>
      </c>
      <c r="V70" s="275">
        <f>'0811'!$AK$13</f>
        <v>-2626.811570418723</v>
      </c>
      <c r="W70" s="253">
        <f>'0811'!$AL$13</f>
        <v>35951.293555120086</v>
      </c>
      <c r="X70" s="186">
        <f>'0811'!$AM$13</f>
        <v>50618.36673260852</v>
      </c>
      <c r="Y70" s="253">
        <f>'0811'!$AN$13</f>
        <v>46481.654260306874</v>
      </c>
      <c r="Z70" s="275">
        <f>'0811'!$AO$13</f>
        <v>-33567.920036148178</v>
      </c>
      <c r="AA70" s="253">
        <f>'0811'!$AP$13</f>
        <v>43151.256484232093</v>
      </c>
      <c r="AC70">
        <f t="shared" si="39"/>
        <v>20160811</v>
      </c>
      <c r="AD70" s="186">
        <f>SUM(C$62:C70)</f>
        <v>86064.900036775885</v>
      </c>
      <c r="AE70" s="186">
        <f>SUM(D$62:D70)</f>
        <v>21114.001444750778</v>
      </c>
      <c r="AF70" s="186">
        <f>SUM(E$62:E70)</f>
        <v>22296.884304601404</v>
      </c>
      <c r="AG70" s="186">
        <f>SUM(L$62:L70)</f>
        <v>124487.88183388568</v>
      </c>
      <c r="AH70" s="186">
        <f>SUM(M$62:M70)</f>
        <v>-124487.88183388568</v>
      </c>
      <c r="AI70" s="186">
        <f>SUM(N$62:N70)</f>
        <v>-12519.710455534565</v>
      </c>
      <c r="AJ70" s="186">
        <f>SUM(O$62:O70)</f>
        <v>12519.710455534565</v>
      </c>
      <c r="AK70" s="186">
        <f>SUM(P$62:P70)</f>
        <v>79268.949510116479</v>
      </c>
      <c r="AL70" s="186">
        <f>SUM(Q$62:Q70)</f>
        <v>-19884.523423324117</v>
      </c>
      <c r="AM70" s="186">
        <f>SUM(R$62:R70)</f>
        <v>-18663.786575187674</v>
      </c>
      <c r="AN70" s="186">
        <f>SUM(S$62:S70)</f>
        <v>-87101.116096864716</v>
      </c>
      <c r="AO70" s="186">
        <f>SUM(T$62:T70)</f>
        <v>87101.116096864716</v>
      </c>
      <c r="AP70" s="186">
        <f>SUM(U$62:U70)</f>
        <v>-69035.359138042157</v>
      </c>
      <c r="AQ70" s="186">
        <f>SUM(V$62:V70)</f>
        <v>9219.5876178604267</v>
      </c>
      <c r="AR70" s="186">
        <f>SUM(W$62:W70)</f>
        <v>2811.1938676664358</v>
      </c>
      <c r="AS70" s="186">
        <f>SUM(X$62:X70)</f>
        <v>73547.204194778373</v>
      </c>
      <c r="AT70" s="186">
        <f>SUM(Y$62:Y70)</f>
        <v>79395.07652169693</v>
      </c>
      <c r="AU70" s="186">
        <f>SUM(Z$62:Z70)</f>
        <v>31923.014668136588</v>
      </c>
      <c r="AV70" s="186">
        <f>SUM(AA$62:AA70)</f>
        <v>111149.67476725313</v>
      </c>
      <c r="AW70">
        <f t="shared" si="40"/>
        <v>20160811</v>
      </c>
      <c r="AX70" s="186">
        <f>SUM(C$41:C70)</f>
        <v>106957.9531791381</v>
      </c>
      <c r="AY70" s="186">
        <f>SUM(D$41:D70)</f>
        <v>49685.581934657399</v>
      </c>
      <c r="AZ70" s="186">
        <f>SUM(E$41:E70)</f>
        <v>-90335.92694161406</v>
      </c>
      <c r="BA70" s="186">
        <f>SUM(L$41:L70)</f>
        <v>116684.17979968549</v>
      </c>
      <c r="BB70" s="186">
        <f>SUM(M$41:M70)</f>
        <v>-116684.17979968549</v>
      </c>
      <c r="BC70" s="186">
        <f>SUM(N$41:N70)</f>
        <v>-46710.628126247953</v>
      </c>
      <c r="BD70" s="186">
        <f>SUM(O$41:O70)</f>
        <v>46710.628126247953</v>
      </c>
      <c r="BE70" s="186">
        <f>SUM(P$41:P70)</f>
        <v>128133.84870727999</v>
      </c>
      <c r="BF70" s="186">
        <f>SUM(Q$41:Q70)</f>
        <v>-40338.061149079702</v>
      </c>
      <c r="BG70" s="186">
        <f>SUM(R$41:R70)</f>
        <v>-49378.210014649478</v>
      </c>
      <c r="BH70" s="186">
        <f>SUM(S$41:S70)</f>
        <v>-16135.191482574246</v>
      </c>
      <c r="BI70" s="186">
        <f>SUM(T$41:T70)</f>
        <v>16135.191482574246</v>
      </c>
      <c r="BJ70" s="186">
        <f>SUM(U$41:U70)</f>
        <v>69813.306971257087</v>
      </c>
      <c r="BK70" s="186">
        <f>SUM(V$41:V70)</f>
        <v>-8028.8553465909035</v>
      </c>
      <c r="BL70" s="186">
        <f>SUM(W$41:W70)</f>
        <v>84301.889101799316</v>
      </c>
      <c r="BM70" s="186">
        <f>SUM(X$41:X70)</f>
        <v>21232.311582316823</v>
      </c>
      <c r="BN70" s="186">
        <f>SUM(Y$41:Y70)</f>
        <v>91893.61479674367</v>
      </c>
      <c r="BO70" s="186">
        <f>SUM(Z$41:Z70)</f>
        <v>-47041.670353493042</v>
      </c>
      <c r="BP70" s="186">
        <f>SUM(AA$41:AA70)</f>
        <v>124828.9859937295</v>
      </c>
    </row>
    <row r="71" spans="1:68" ht="15.75" thickBot="1" x14ac:dyDescent="0.3">
      <c r="A71" s="186">
        <f t="shared" ca="1" si="33"/>
        <v>-3067.229050180953</v>
      </c>
      <c r="B71" s="186">
        <f ca="1">OFFSET(INDIRECT(CELL("address",OFFSET($P70,0,MATCH(MIN($P70:AB70),$P70:AB70,0)-1))),1,0)</f>
        <v>-3067.229050180953</v>
      </c>
      <c r="C71" s="357">
        <f>N71</f>
        <v>-3551.0376537920247</v>
      </c>
      <c r="D71" s="350">
        <f>AA71</f>
        <v>1091.2799834234288</v>
      </c>
      <c r="E71" s="327">
        <f>Z71</f>
        <v>-3067.229050180953</v>
      </c>
      <c r="F71" s="193">
        <f t="shared" si="37"/>
        <v>0.33333333333333331</v>
      </c>
      <c r="G71">
        <f>'0812'!$A$1</f>
        <v>20160812</v>
      </c>
      <c r="H71" s="254">
        <f>'0812'!$F$10</f>
        <v>0.50704225352112675</v>
      </c>
      <c r="I71" s="140">
        <f>'0812'!$Y$11</f>
        <v>2505.8825765419137</v>
      </c>
      <c r="J71" s="140">
        <f>'0812'!$H$10</f>
        <v>970.1178830994337</v>
      </c>
      <c r="K71" s="186">
        <f>'0812'!$Z$13</f>
        <v>68878.369700059789</v>
      </c>
      <c r="L71" s="366">
        <f>'0812'!$AA$13</f>
        <v>14309.661476888434</v>
      </c>
      <c r="M71" s="367">
        <f>'0812'!$AB$13</f>
        <v>-14309.661476888434</v>
      </c>
      <c r="N71" s="303">
        <f>'0812'!$AC$13</f>
        <v>-3551.0376537920247</v>
      </c>
      <c r="O71" s="367">
        <f>'0812'!$AD$13</f>
        <v>3551.0376537920247</v>
      </c>
      <c r="P71" s="253">
        <f>'0812'!$AE$13</f>
        <v>-1044.2537178677533</v>
      </c>
      <c r="Q71" s="275">
        <f>'0812'!$AF$13</f>
        <v>-8356.0854438671431</v>
      </c>
      <c r="R71" s="361">
        <f>'0812'!$AG$13</f>
        <v>111.87143497307784</v>
      </c>
      <c r="S71" s="303">
        <f>'0812'!$AH$13</f>
        <v>12306.867378509203</v>
      </c>
      <c r="T71" s="303">
        <f>'0812'!$AI$13</f>
        <v>-12306.867378509203</v>
      </c>
      <c r="U71" s="359">
        <f>'0812'!$AJ$13</f>
        <v>6323.6872812750144</v>
      </c>
      <c r="V71" s="275">
        <f>'0812'!$AK$13</f>
        <v>-8188.3255027789173</v>
      </c>
      <c r="W71" s="253">
        <f>'0812'!$AL$13</f>
        <v>-3498.1118197458209</v>
      </c>
      <c r="X71" s="186">
        <f>'0812'!$AM$13</f>
        <v>-10100.61912870205</v>
      </c>
      <c r="Y71" s="253">
        <f>'0812'!$AN$13</f>
        <v>-11375.243994703314</v>
      </c>
      <c r="Z71" s="253">
        <f>'0812'!$AO$13</f>
        <v>-3067.229050180953</v>
      </c>
      <c r="AA71" s="253">
        <f>'0812'!$AP$13</f>
        <v>1091.2799834234288</v>
      </c>
      <c r="AC71">
        <f t="shared" si="39"/>
        <v>20160812</v>
      </c>
      <c r="AD71" s="186">
        <f>SUM(C$62:C71)</f>
        <v>82513.862382983862</v>
      </c>
      <c r="AE71" s="186">
        <f>SUM(D$62:D71)</f>
        <v>22205.281428174207</v>
      </c>
      <c r="AF71" s="186">
        <f>SUM(E$62:E71)</f>
        <v>19229.655254420453</v>
      </c>
      <c r="AG71" s="186">
        <f>SUM(L$62:L71)</f>
        <v>138797.54331077411</v>
      </c>
      <c r="AH71" s="186">
        <f>SUM(M$62:M71)</f>
        <v>-138797.54331077411</v>
      </c>
      <c r="AI71" s="186">
        <f>SUM(N$62:N71)</f>
        <v>-16070.748109326589</v>
      </c>
      <c r="AJ71" s="186">
        <f>SUM(O$62:O71)</f>
        <v>16070.748109326589</v>
      </c>
      <c r="AK71" s="186">
        <f>SUM(P$62:P71)</f>
        <v>78224.69579224872</v>
      </c>
      <c r="AL71" s="186">
        <f>SUM(Q$62:Q71)</f>
        <v>-28240.608867191258</v>
      </c>
      <c r="AM71" s="186">
        <f>SUM(R$62:R71)</f>
        <v>-18551.915140214598</v>
      </c>
      <c r="AN71" s="186">
        <f>SUM(S$62:S71)</f>
        <v>-74794.24871835552</v>
      </c>
      <c r="AO71" s="186">
        <f>SUM(T$62:T71)</f>
        <v>74794.24871835552</v>
      </c>
      <c r="AP71" s="186">
        <f>SUM(U$62:U71)</f>
        <v>-62711.671856767141</v>
      </c>
      <c r="AQ71" s="186">
        <f>SUM(V$62:V71)</f>
        <v>1031.2621150815094</v>
      </c>
      <c r="AR71" s="186">
        <f>SUM(W$62:W71)</f>
        <v>-686.91795207938503</v>
      </c>
      <c r="AS71" s="186">
        <f>SUM(X$62:X71)</f>
        <v>63446.585066076324</v>
      </c>
      <c r="AT71" s="186">
        <f>SUM(Y$62:Y71)</f>
        <v>68019.832526993618</v>
      </c>
      <c r="AU71" s="186">
        <f>SUM(Z$62:Z71)</f>
        <v>28855.785617955633</v>
      </c>
      <c r="AV71" s="186">
        <f>SUM(AA$62:AA71)</f>
        <v>112240.95475067657</v>
      </c>
      <c r="AW71">
        <f t="shared" si="40"/>
        <v>20160812</v>
      </c>
      <c r="AX71" s="186">
        <f>SUM(C$41:C71)</f>
        <v>103406.91552534608</v>
      </c>
      <c r="AY71" s="186">
        <f>SUM(D$41:D71)</f>
        <v>50776.861918080831</v>
      </c>
      <c r="AZ71" s="186">
        <f>SUM(E$41:E71)</f>
        <v>-93403.155991795007</v>
      </c>
      <c r="BA71" s="186">
        <f>SUM(L$41:L71)</f>
        <v>130993.84127657392</v>
      </c>
      <c r="BB71" s="186">
        <f>SUM(M$41:M71)</f>
        <v>-130993.84127657392</v>
      </c>
      <c r="BC71" s="186">
        <f>SUM(N$41:N71)</f>
        <v>-50261.665780039977</v>
      </c>
      <c r="BD71" s="186">
        <f>SUM(O$41:O71)</f>
        <v>50261.665780039977</v>
      </c>
      <c r="BE71" s="186">
        <f>SUM(P$41:P71)</f>
        <v>127089.59498941223</v>
      </c>
      <c r="BF71" s="186">
        <f>SUM(Q$41:Q71)</f>
        <v>-48694.146592946847</v>
      </c>
      <c r="BG71" s="186">
        <f>SUM(R$41:R71)</f>
        <v>-49266.338579676398</v>
      </c>
      <c r="BH71" s="186">
        <f>SUM(S$41:S71)</f>
        <v>-3828.3241040650428</v>
      </c>
      <c r="BI71" s="186">
        <f>SUM(T$41:T71)</f>
        <v>3828.3241040650428</v>
      </c>
      <c r="BJ71" s="186">
        <f>SUM(U$41:U71)</f>
        <v>76136.994252532095</v>
      </c>
      <c r="BK71" s="186">
        <f>SUM(V$41:V71)</f>
        <v>-16217.180849369821</v>
      </c>
      <c r="BL71" s="186">
        <f>SUM(W$41:W71)</f>
        <v>80803.777282053488</v>
      </c>
      <c r="BM71" s="186">
        <f>SUM(X$41:X71)</f>
        <v>11131.692453614773</v>
      </c>
      <c r="BN71" s="186">
        <f>SUM(Y$41:Y71)</f>
        <v>80518.370802040357</v>
      </c>
      <c r="BO71" s="186">
        <f>SUM(Z$41:Z71)</f>
        <v>-50108.899403673997</v>
      </c>
      <c r="BP71" s="186">
        <f>SUM(AA$41:AA71)</f>
        <v>125920.26597715293</v>
      </c>
    </row>
    <row r="72" spans="1:68" ht="15.75" thickBot="1" x14ac:dyDescent="0.3">
      <c r="A72" s="186">
        <f t="shared" ca="1" si="33"/>
        <v>0</v>
      </c>
      <c r="B72" s="186">
        <f ca="1">OFFSET(INDIRECT(CELL("address",OFFSET($P71,0,MATCH(MIN($P71:AB71),$P71:AB71,0)-1))),1,0)</f>
        <v>0</v>
      </c>
      <c r="C72" s="316">
        <f>S72</f>
        <v>0</v>
      </c>
      <c r="D72" s="350">
        <f>AA72</f>
        <v>0</v>
      </c>
      <c r="E72" s="326">
        <f>Y72</f>
        <v>0</v>
      </c>
      <c r="F72" s="193">
        <f t="shared" si="37"/>
        <v>0</v>
      </c>
      <c r="G72">
        <f>'0815'!$A$1</f>
        <v>20160815</v>
      </c>
      <c r="H72" s="254">
        <f>'0815'!$F$10</f>
        <v>0</v>
      </c>
      <c r="I72" s="140">
        <f>'0815'!$Y$11</f>
        <v>2505.8825765419137</v>
      </c>
      <c r="J72" s="140">
        <f>'0815'!$H$10</f>
        <v>0</v>
      </c>
      <c r="K72" s="186">
        <f>'0815'!$Z$13</f>
        <v>0</v>
      </c>
      <c r="L72" s="366">
        <f>'0815'!$AA$13</f>
        <v>0</v>
      </c>
      <c r="M72" s="367">
        <f>'0815'!$AB$13</f>
        <v>0</v>
      </c>
      <c r="N72" s="303">
        <f>'0815'!$AC$13</f>
        <v>0</v>
      </c>
      <c r="O72" s="367">
        <f>'0815'!$AD$13</f>
        <v>0</v>
      </c>
      <c r="P72" s="253">
        <f>'0815'!$AE$13</f>
        <v>0</v>
      </c>
      <c r="Q72" s="253">
        <f>'0815'!$AF$13</f>
        <v>0</v>
      </c>
      <c r="R72" s="359">
        <f>'0815'!$AG$13</f>
        <v>0</v>
      </c>
      <c r="S72" s="303">
        <f>'0815'!$AH$13</f>
        <v>0</v>
      </c>
      <c r="T72" s="303">
        <f>'0815'!$AI$13</f>
        <v>0</v>
      </c>
      <c r="U72" s="359">
        <f>'0815'!$AJ$13</f>
        <v>0</v>
      </c>
      <c r="V72" s="253">
        <f>'0815'!$AK$13</f>
        <v>0</v>
      </c>
      <c r="W72" s="253">
        <f>'0815'!$AL$13</f>
        <v>0</v>
      </c>
      <c r="X72" s="186">
        <f>'0815'!$AM$13</f>
        <v>0</v>
      </c>
      <c r="Y72" s="253">
        <f>'0815'!$AN$13</f>
        <v>0</v>
      </c>
      <c r="Z72" s="253">
        <f>'0815'!$AO$13</f>
        <v>0</v>
      </c>
      <c r="AA72" s="253">
        <f>'0815'!$AP$13</f>
        <v>0</v>
      </c>
      <c r="AC72">
        <f t="shared" ref="AC72" si="41">G72</f>
        <v>20160815</v>
      </c>
      <c r="AD72" s="186">
        <f>SUM(C$62:C72)</f>
        <v>82513.862382983862</v>
      </c>
      <c r="AE72" s="186">
        <f>SUM(D$62:D72)</f>
        <v>22205.281428174207</v>
      </c>
      <c r="AF72" s="186">
        <f>SUM(E$62:E72)</f>
        <v>19229.655254420453</v>
      </c>
      <c r="AG72" s="186">
        <f>SUM(L$62:L72)</f>
        <v>138797.54331077411</v>
      </c>
      <c r="AH72" s="186">
        <f>SUM(M$62:M72)</f>
        <v>-138797.54331077411</v>
      </c>
      <c r="AI72" s="186">
        <f>SUM(N$62:N72)</f>
        <v>-16070.748109326589</v>
      </c>
      <c r="AJ72" s="186">
        <f>SUM(O$62:O72)</f>
        <v>16070.748109326589</v>
      </c>
      <c r="AK72" s="186">
        <f>SUM(P$62:P72)</f>
        <v>78224.69579224872</v>
      </c>
      <c r="AL72" s="186">
        <f>SUM(Q$62:Q72)</f>
        <v>-28240.608867191258</v>
      </c>
      <c r="AM72" s="186">
        <f>SUM(R$62:R72)</f>
        <v>-18551.915140214598</v>
      </c>
      <c r="AN72" s="186">
        <f>SUM(S$62:S72)</f>
        <v>-74794.24871835552</v>
      </c>
      <c r="AO72" s="186">
        <f>SUM(T$62:T72)</f>
        <v>74794.24871835552</v>
      </c>
      <c r="AP72" s="186">
        <f>SUM(U$62:U72)</f>
        <v>-62711.671856767141</v>
      </c>
      <c r="AQ72" s="186">
        <f>SUM(V$62:V72)</f>
        <v>1031.2621150815094</v>
      </c>
      <c r="AR72" s="186">
        <f>SUM(W$62:W72)</f>
        <v>-686.91795207938503</v>
      </c>
      <c r="AS72" s="186">
        <f>SUM(X$62:X72)</f>
        <v>63446.585066076324</v>
      </c>
      <c r="AT72" s="186">
        <f>SUM(Y$62:Y72)</f>
        <v>68019.832526993618</v>
      </c>
      <c r="AU72" s="186">
        <f>SUM(Z$62:Z72)</f>
        <v>28855.785617955633</v>
      </c>
      <c r="AV72" s="186">
        <f>SUM(AA$62:AA72)</f>
        <v>112240.95475067657</v>
      </c>
      <c r="AW72">
        <f t="shared" ref="AW72" si="42">G72</f>
        <v>20160815</v>
      </c>
      <c r="AX72" s="186">
        <f>SUM(C$41:C72)</f>
        <v>103406.91552534608</v>
      </c>
      <c r="AY72" s="186">
        <f>SUM(D$41:D72)</f>
        <v>50776.861918080831</v>
      </c>
      <c r="AZ72" s="186">
        <f>SUM(E$41:E72)</f>
        <v>-93403.155991795007</v>
      </c>
      <c r="BA72" s="186">
        <f>SUM(L$41:L72)</f>
        <v>130993.84127657392</v>
      </c>
      <c r="BB72" s="186">
        <f>SUM(M$41:M72)</f>
        <v>-130993.84127657392</v>
      </c>
      <c r="BC72" s="186">
        <f>SUM(N$41:N72)</f>
        <v>-50261.665780039977</v>
      </c>
      <c r="BD72" s="186">
        <f>SUM(O$41:O72)</f>
        <v>50261.665780039977</v>
      </c>
      <c r="BE72" s="186">
        <f>SUM(P$41:P72)</f>
        <v>127089.59498941223</v>
      </c>
      <c r="BF72" s="186">
        <f>SUM(Q$41:Q72)</f>
        <v>-48694.146592946847</v>
      </c>
      <c r="BG72" s="186">
        <f>SUM(R$41:R72)</f>
        <v>-49266.338579676398</v>
      </c>
      <c r="BH72" s="186">
        <f>SUM(S$41:S72)</f>
        <v>-3828.3241040650428</v>
      </c>
      <c r="BI72" s="186">
        <f>SUM(T$41:T72)</f>
        <v>3828.3241040650428</v>
      </c>
      <c r="BJ72" s="186">
        <f>SUM(U$41:U72)</f>
        <v>76136.994252532095</v>
      </c>
      <c r="BK72" s="186">
        <f>SUM(V$41:V72)</f>
        <v>-16217.180849369821</v>
      </c>
      <c r="BL72" s="186">
        <f>SUM(W$41:W72)</f>
        <v>80803.777282053488</v>
      </c>
      <c r="BM72" s="186">
        <f>SUM(X$41:X72)</f>
        <v>11131.692453614773</v>
      </c>
      <c r="BN72" s="186">
        <f>SUM(Y$41:Y72)</f>
        <v>80518.370802040357</v>
      </c>
      <c r="BO72" s="186">
        <f>SUM(Z$41:Z72)</f>
        <v>-50108.899403673997</v>
      </c>
      <c r="BP72" s="186">
        <f>SUM(AA$41:AA72)</f>
        <v>125920.26597715293</v>
      </c>
    </row>
    <row r="73" spans="1:68" ht="15.75" thickBot="1" x14ac:dyDescent="0.3">
      <c r="A73" s="186">
        <f t="shared" ca="1" si="33"/>
        <v>0</v>
      </c>
      <c r="B73" s="186">
        <f ca="1">OFFSET(INDIRECT(CELL("address",OFFSET($P72,0,MATCH(MIN($P72:AB72),$P72:AB72,0)-1))),1,0)</f>
        <v>0</v>
      </c>
      <c r="C73" s="382"/>
      <c r="D73" s="350">
        <f>AA73</f>
        <v>0</v>
      </c>
      <c r="E73" s="369"/>
      <c r="F73" s="193">
        <f t="shared" si="37"/>
        <v>0</v>
      </c>
      <c r="G73">
        <f>'0816'!$A$1</f>
        <v>20160816</v>
      </c>
      <c r="H73" s="254">
        <f>'0816'!$F$10</f>
        <v>0</v>
      </c>
      <c r="I73" s="140">
        <f>'0816'!$Y$11</f>
        <v>2505.8825765419137</v>
      </c>
      <c r="J73" s="140">
        <f>'0816'!$H$10</f>
        <v>0</v>
      </c>
      <c r="K73" s="186">
        <f>'0816'!$Z$13</f>
        <v>0</v>
      </c>
      <c r="L73" s="366">
        <f>'0816'!$AA$13</f>
        <v>0</v>
      </c>
      <c r="M73" s="367">
        <f>'0816'!$AB$13</f>
        <v>0</v>
      </c>
      <c r="N73" s="303">
        <f>'0816'!$AC$13</f>
        <v>0</v>
      </c>
      <c r="O73" s="367">
        <f>'0816'!$AD$13</f>
        <v>0</v>
      </c>
      <c r="P73" s="253">
        <f>'0816'!$AE$13</f>
        <v>0</v>
      </c>
      <c r="Q73" s="253">
        <f>'0816'!$AF$13</f>
        <v>0</v>
      </c>
      <c r="R73" s="359">
        <f>'0816'!$AG$13</f>
        <v>0</v>
      </c>
      <c r="S73" s="303">
        <f>'0816'!$AH$13</f>
        <v>0</v>
      </c>
      <c r="T73" s="303">
        <f>'0816'!$AI$13</f>
        <v>0</v>
      </c>
      <c r="U73" s="359">
        <f>'0816'!$AJ$13</f>
        <v>0</v>
      </c>
      <c r="V73" s="253">
        <f>'0816'!$AK$13</f>
        <v>0</v>
      </c>
      <c r="W73" s="253">
        <f>'0816'!$AL$13</f>
        <v>0</v>
      </c>
      <c r="X73" s="186">
        <f>'0816'!$AM$13</f>
        <v>0</v>
      </c>
      <c r="Y73" s="253">
        <f>'0816'!$AN$13</f>
        <v>0</v>
      </c>
      <c r="Z73" s="253">
        <f>'0816'!$AO$13</f>
        <v>0</v>
      </c>
      <c r="AA73" s="253">
        <f>'0816'!$AP$13</f>
        <v>0</v>
      </c>
      <c r="AC73">
        <f t="shared" ref="AC73" si="43">G73</f>
        <v>20160816</v>
      </c>
      <c r="AD73" s="186">
        <f>SUM(C$62:C73)</f>
        <v>82513.862382983862</v>
      </c>
      <c r="AE73" s="186">
        <f>SUM(D$62:D73)</f>
        <v>22205.281428174207</v>
      </c>
      <c r="AF73" s="186">
        <f>SUM(E$62:E73)</f>
        <v>19229.655254420453</v>
      </c>
      <c r="AG73" s="186">
        <f>SUM(L$62:L73)</f>
        <v>138797.54331077411</v>
      </c>
      <c r="AH73" s="186">
        <f>SUM(M$62:M73)</f>
        <v>-138797.54331077411</v>
      </c>
      <c r="AI73" s="186">
        <f>SUM(N$62:N73)</f>
        <v>-16070.748109326589</v>
      </c>
      <c r="AJ73" s="186">
        <f>SUM(O$62:O73)</f>
        <v>16070.748109326589</v>
      </c>
      <c r="AK73" s="186">
        <f>SUM(P$62:P73)</f>
        <v>78224.69579224872</v>
      </c>
      <c r="AL73" s="186">
        <f>SUM(Q$62:Q73)</f>
        <v>-28240.608867191258</v>
      </c>
      <c r="AM73" s="186">
        <f>SUM(R$62:R73)</f>
        <v>-18551.915140214598</v>
      </c>
      <c r="AN73" s="186">
        <f>SUM(S$62:S73)</f>
        <v>-74794.24871835552</v>
      </c>
      <c r="AO73" s="186">
        <f>SUM(T$62:T73)</f>
        <v>74794.24871835552</v>
      </c>
      <c r="AP73" s="186">
        <f>SUM(U$62:U73)</f>
        <v>-62711.671856767141</v>
      </c>
      <c r="AQ73" s="186">
        <f>SUM(V$62:V73)</f>
        <v>1031.2621150815094</v>
      </c>
      <c r="AR73" s="186">
        <f>SUM(W$62:W73)</f>
        <v>-686.91795207938503</v>
      </c>
      <c r="AS73" s="186">
        <f>SUM(X$62:X73)</f>
        <v>63446.585066076324</v>
      </c>
      <c r="AT73" s="186">
        <f>SUM(Y$62:Y73)</f>
        <v>68019.832526993618</v>
      </c>
      <c r="AU73" s="186">
        <f>SUM(Z$62:Z73)</f>
        <v>28855.785617955633</v>
      </c>
      <c r="AV73" s="186">
        <f>SUM(AA$62:AA73)</f>
        <v>112240.95475067657</v>
      </c>
      <c r="AW73">
        <f t="shared" ref="AW73" si="44">G73</f>
        <v>20160816</v>
      </c>
      <c r="AX73" s="186">
        <f>SUM(C$41:C73)</f>
        <v>103406.91552534608</v>
      </c>
      <c r="AY73" s="186">
        <f>SUM(D$41:D73)</f>
        <v>50776.861918080831</v>
      </c>
      <c r="AZ73" s="186">
        <f>SUM(E$41:E73)</f>
        <v>-93403.155991795007</v>
      </c>
      <c r="BA73" s="186">
        <f>SUM(L$41:L73)</f>
        <v>130993.84127657392</v>
      </c>
      <c r="BB73" s="186">
        <f>SUM(M$41:M73)</f>
        <v>-130993.84127657392</v>
      </c>
      <c r="BC73" s="186">
        <f>SUM(N$41:N73)</f>
        <v>-50261.665780039977</v>
      </c>
      <c r="BD73" s="186">
        <f>SUM(O$41:O73)</f>
        <v>50261.665780039977</v>
      </c>
      <c r="BE73" s="186">
        <f>SUM(P$41:P73)</f>
        <v>127089.59498941223</v>
      </c>
      <c r="BF73" s="186">
        <f>SUM(Q$41:Q73)</f>
        <v>-48694.146592946847</v>
      </c>
      <c r="BG73" s="186">
        <f>SUM(R$41:R73)</f>
        <v>-49266.338579676398</v>
      </c>
      <c r="BH73" s="186">
        <f>SUM(S$41:S73)</f>
        <v>-3828.3241040650428</v>
      </c>
      <c r="BI73" s="186">
        <f>SUM(T$41:T73)</f>
        <v>3828.3241040650428</v>
      </c>
      <c r="BJ73" s="186">
        <f>SUM(U$41:U73)</f>
        <v>76136.994252532095</v>
      </c>
      <c r="BK73" s="186">
        <f>SUM(V$41:V73)</f>
        <v>-16217.180849369821</v>
      </c>
      <c r="BL73" s="186">
        <f>SUM(W$41:W73)</f>
        <v>80803.777282053488</v>
      </c>
      <c r="BM73" s="186">
        <f>SUM(X$41:X73)</f>
        <v>11131.692453614773</v>
      </c>
      <c r="BN73" s="186">
        <f>SUM(Y$41:Y73)</f>
        <v>80518.370802040357</v>
      </c>
      <c r="BO73" s="186">
        <f>SUM(Z$41:Z73)</f>
        <v>-50108.899403673997</v>
      </c>
      <c r="BP73" s="186">
        <f>SUM(AA$41:AA73)</f>
        <v>125920.26597715293</v>
      </c>
    </row>
    <row r="74" spans="1:68" x14ac:dyDescent="0.25">
      <c r="K74" s="253"/>
      <c r="S74" s="253"/>
      <c r="T74" s="253"/>
      <c r="U74" s="253"/>
    </row>
    <row r="75" spans="1:68" x14ac:dyDescent="0.25">
      <c r="K75" s="253"/>
      <c r="S75" s="253"/>
      <c r="T75" s="253"/>
      <c r="U75" s="253"/>
    </row>
    <row r="76" spans="1:68" x14ac:dyDescent="0.25">
      <c r="K76" s="253"/>
      <c r="S76" s="253"/>
      <c r="T76" s="253"/>
      <c r="U76" s="253"/>
    </row>
    <row r="77" spans="1:68" x14ac:dyDescent="0.25">
      <c r="K77" s="253"/>
      <c r="S77" s="253"/>
      <c r="T77" s="253"/>
      <c r="U77" s="253"/>
    </row>
    <row r="78" spans="1:68" x14ac:dyDescent="0.25">
      <c r="K78" s="253"/>
      <c r="S78" s="253"/>
      <c r="T78" s="253"/>
      <c r="U78" s="253"/>
    </row>
    <row r="79" spans="1:68" x14ac:dyDescent="0.25">
      <c r="K79" s="253"/>
      <c r="S79" s="253"/>
      <c r="T79" s="253"/>
      <c r="U79" s="253"/>
    </row>
    <row r="80" spans="1:68"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V38:AA38"/>
    <mergeCell ref="L38:O38"/>
    <mergeCell ref="P38:R38"/>
    <mergeCell ref="S38:U38"/>
    <mergeCell ref="O24:R24"/>
    <mergeCell ref="O25:R25"/>
    <mergeCell ref="J25:N25"/>
    <mergeCell ref="J26:N26"/>
    <mergeCell ref="S25:V25"/>
    <mergeCell ref="F23:I23"/>
    <mergeCell ref="F22:I22"/>
    <mergeCell ref="W22:Z22"/>
    <mergeCell ref="S23:V23"/>
    <mergeCell ref="S24:V24"/>
    <mergeCell ref="O22:R22"/>
    <mergeCell ref="S22:V22"/>
    <mergeCell ref="J22:N22"/>
    <mergeCell ref="J23:N23"/>
    <mergeCell ref="J24:N24"/>
    <mergeCell ref="O23:R23"/>
    <mergeCell ref="F24:I24"/>
  </mergeCells>
  <conditionalFormatting sqref="H62">
    <cfRule type="colorScale" priority="205">
      <colorScale>
        <cfvo type="min"/>
        <cfvo type="percentile" val="50"/>
        <cfvo type="max"/>
        <color rgb="FFF8696B"/>
        <color rgb="FFFFEB84"/>
        <color rgb="FF63BE7B"/>
      </colorScale>
    </cfRule>
  </conditionalFormatting>
  <conditionalFormatting sqref="J62">
    <cfRule type="colorScale" priority="204">
      <colorScale>
        <cfvo type="min"/>
        <cfvo type="percentile" val="50"/>
        <cfvo type="max"/>
        <color rgb="FF63BE7B"/>
        <color rgb="FFFFEB84"/>
        <color rgb="FFF8696B"/>
      </colorScale>
    </cfRule>
  </conditionalFormatting>
  <conditionalFormatting sqref="H63">
    <cfRule type="colorScale" priority="201">
      <colorScale>
        <cfvo type="min"/>
        <cfvo type="percentile" val="50"/>
        <cfvo type="max"/>
        <color rgb="FFF8696B"/>
        <color rgb="FFFFEB84"/>
        <color rgb="FF63BE7B"/>
      </colorScale>
    </cfRule>
  </conditionalFormatting>
  <conditionalFormatting sqref="J63">
    <cfRule type="colorScale" priority="200">
      <colorScale>
        <cfvo type="min"/>
        <cfvo type="percentile" val="50"/>
        <cfvo type="max"/>
        <color rgb="FF63BE7B"/>
        <color rgb="FFFFEB84"/>
        <color rgb="FFF8696B"/>
      </colorScale>
    </cfRule>
  </conditionalFormatting>
  <conditionalFormatting sqref="H64">
    <cfRule type="colorScale" priority="199">
      <colorScale>
        <cfvo type="min"/>
        <cfvo type="percentile" val="50"/>
        <cfvo type="max"/>
        <color rgb="FFF8696B"/>
        <color rgb="FFFFEB84"/>
        <color rgb="FF63BE7B"/>
      </colorScale>
    </cfRule>
  </conditionalFormatting>
  <conditionalFormatting sqref="J64">
    <cfRule type="colorScale" priority="198">
      <colorScale>
        <cfvo type="min"/>
        <cfvo type="percentile" val="50"/>
        <cfvo type="max"/>
        <color rgb="FF63BE7B"/>
        <color rgb="FFFFEB84"/>
        <color rgb="FFF8696B"/>
      </colorScale>
    </cfRule>
  </conditionalFormatting>
  <conditionalFormatting sqref="H65:I65">
    <cfRule type="colorScale" priority="197">
      <colorScale>
        <cfvo type="min"/>
        <cfvo type="percentile" val="50"/>
        <cfvo type="max"/>
        <color rgb="FFF8696B"/>
        <color rgb="FFFFEB84"/>
        <color rgb="FF63BE7B"/>
      </colorScale>
    </cfRule>
  </conditionalFormatting>
  <conditionalFormatting sqref="J65">
    <cfRule type="colorScale" priority="196">
      <colorScale>
        <cfvo type="min"/>
        <cfvo type="percentile" val="50"/>
        <cfvo type="max"/>
        <color rgb="FF63BE7B"/>
        <color rgb="FFFFEB84"/>
        <color rgb="FFF8696B"/>
      </colorScale>
    </cfRule>
  </conditionalFormatting>
  <conditionalFormatting sqref="H66:I66">
    <cfRule type="colorScale" priority="195">
      <colorScale>
        <cfvo type="min"/>
        <cfvo type="percentile" val="50"/>
        <cfvo type="max"/>
        <color rgb="FFF8696B"/>
        <color rgb="FFFFEB84"/>
        <color rgb="FF63BE7B"/>
      </colorScale>
    </cfRule>
  </conditionalFormatting>
  <conditionalFormatting sqref="J66">
    <cfRule type="colorScale" priority="194">
      <colorScale>
        <cfvo type="min"/>
        <cfvo type="percentile" val="50"/>
        <cfvo type="max"/>
        <color rgb="FF63BE7B"/>
        <color rgb="FFFFEB84"/>
        <color rgb="FFF8696B"/>
      </colorScale>
    </cfRule>
  </conditionalFormatting>
  <conditionalFormatting sqref="H29:AB29">
    <cfRule type="colorScale" priority="476">
      <colorScale>
        <cfvo type="min"/>
        <cfvo type="percentile" val="50"/>
        <cfvo type="max"/>
        <color rgb="FFF8696B"/>
        <color rgb="FFFFEB84"/>
        <color rgb="FF63BE7B"/>
      </colorScale>
    </cfRule>
  </conditionalFormatting>
  <conditionalFormatting sqref="H67">
    <cfRule type="colorScale" priority="193">
      <colorScale>
        <cfvo type="min"/>
        <cfvo type="percentile" val="50"/>
        <cfvo type="max"/>
        <color rgb="FFF8696B"/>
        <color rgb="FFFFEB84"/>
        <color rgb="FF63BE7B"/>
      </colorScale>
    </cfRule>
  </conditionalFormatting>
  <conditionalFormatting sqref="J67">
    <cfRule type="colorScale" priority="192">
      <colorScale>
        <cfvo type="min"/>
        <cfvo type="percentile" val="50"/>
        <cfvo type="max"/>
        <color rgb="FF63BE7B"/>
        <color rgb="FFFFEB84"/>
        <color rgb="FFF8696B"/>
      </colorScale>
    </cfRule>
  </conditionalFormatting>
  <conditionalFormatting sqref="H68">
    <cfRule type="colorScale" priority="191">
      <colorScale>
        <cfvo type="min"/>
        <cfvo type="percentile" val="50"/>
        <cfvo type="max"/>
        <color rgb="FFF8696B"/>
        <color rgb="FFFFEB84"/>
        <color rgb="FF63BE7B"/>
      </colorScale>
    </cfRule>
  </conditionalFormatting>
  <conditionalFormatting sqref="J68">
    <cfRule type="colorScale" priority="190">
      <colorScale>
        <cfvo type="min"/>
        <cfvo type="percentile" val="50"/>
        <cfvo type="max"/>
        <color rgb="FF63BE7B"/>
        <color rgb="FFFFEB84"/>
        <color rgb="FFF8696B"/>
      </colorScale>
    </cfRule>
  </conditionalFormatting>
  <conditionalFormatting sqref="I64">
    <cfRule type="colorScale" priority="189">
      <colorScale>
        <cfvo type="min"/>
        <cfvo type="percentile" val="50"/>
        <cfvo type="max"/>
        <color rgb="FFF8696B"/>
        <color rgb="FFFFEB84"/>
        <color rgb="FF63BE7B"/>
      </colorScale>
    </cfRule>
  </conditionalFormatting>
  <conditionalFormatting sqref="I63">
    <cfRule type="colorScale" priority="188">
      <colorScale>
        <cfvo type="min"/>
        <cfvo type="percentile" val="50"/>
        <cfvo type="max"/>
        <color rgb="FFF8696B"/>
        <color rgb="FFFFEB84"/>
        <color rgb="FF63BE7B"/>
      </colorScale>
    </cfRule>
  </conditionalFormatting>
  <conditionalFormatting sqref="I62">
    <cfRule type="colorScale" priority="187">
      <colorScale>
        <cfvo type="min"/>
        <cfvo type="percentile" val="50"/>
        <cfvo type="max"/>
        <color rgb="FFF8696B"/>
        <color rgb="FFFFEB84"/>
        <color rgb="FF63BE7B"/>
      </colorScale>
    </cfRule>
  </conditionalFormatting>
  <conditionalFormatting sqref="I67">
    <cfRule type="colorScale" priority="186">
      <colorScale>
        <cfvo type="min"/>
        <cfvo type="percentile" val="50"/>
        <cfvo type="max"/>
        <color rgb="FFF8696B"/>
        <color rgb="FFFFEB84"/>
        <color rgb="FF63BE7B"/>
      </colorScale>
    </cfRule>
  </conditionalFormatting>
  <conditionalFormatting sqref="I68">
    <cfRule type="colorScale" priority="185">
      <colorScale>
        <cfvo type="min"/>
        <cfvo type="percentile" val="50"/>
        <cfvo type="max"/>
        <color rgb="FFF8696B"/>
        <color rgb="FFFFEB84"/>
        <color rgb="FF63BE7B"/>
      </colorScale>
    </cfRule>
  </conditionalFormatting>
  <conditionalFormatting sqref="H62:H68">
    <cfRule type="colorScale" priority="184">
      <colorScale>
        <cfvo type="min"/>
        <cfvo type="percentile" val="50"/>
        <cfvo type="max"/>
        <color rgb="FFF8696B"/>
        <color rgb="FFFFEB84"/>
        <color rgb="FF63BE7B"/>
      </colorScale>
    </cfRule>
  </conditionalFormatting>
  <conditionalFormatting sqref="J62:J68">
    <cfRule type="colorScale" priority="183">
      <colorScale>
        <cfvo type="min"/>
        <cfvo type="percentile" val="50"/>
        <cfvo type="max"/>
        <color rgb="FF63BE7B"/>
        <color rgb="FFFFEB84"/>
        <color rgb="FFF8696B"/>
      </colorScale>
    </cfRule>
  </conditionalFormatting>
  <conditionalFormatting sqref="I62:I68">
    <cfRule type="colorScale" priority="182">
      <colorScale>
        <cfvo type="min"/>
        <cfvo type="percentile" val="50"/>
        <cfvo type="max"/>
        <color rgb="FFF8696B"/>
        <color rgb="FFFFEB84"/>
        <color rgb="FF63BE7B"/>
      </colorScale>
    </cfRule>
  </conditionalFormatting>
  <conditionalFormatting sqref="H61">
    <cfRule type="colorScale" priority="181">
      <colorScale>
        <cfvo type="min"/>
        <cfvo type="percentile" val="50"/>
        <cfvo type="max"/>
        <color rgb="FFF8696B"/>
        <color rgb="FFFFEB84"/>
        <color rgb="FF63BE7B"/>
      </colorScale>
    </cfRule>
  </conditionalFormatting>
  <conditionalFormatting sqref="J61">
    <cfRule type="colorScale" priority="180">
      <colorScale>
        <cfvo type="min"/>
        <cfvo type="percentile" val="50"/>
        <cfvo type="max"/>
        <color rgb="FF63BE7B"/>
        <color rgb="FFFFEB84"/>
        <color rgb="FFF8696B"/>
      </colorScale>
    </cfRule>
  </conditionalFormatting>
  <conditionalFormatting sqref="I61">
    <cfRule type="colorScale" priority="179">
      <colorScale>
        <cfvo type="min"/>
        <cfvo type="percentile" val="50"/>
        <cfvo type="max"/>
        <color rgb="FFF8696B"/>
        <color rgb="FFFFEB84"/>
        <color rgb="FF63BE7B"/>
      </colorScale>
    </cfRule>
  </conditionalFormatting>
  <conditionalFormatting sqref="H61">
    <cfRule type="colorScale" priority="178">
      <colorScale>
        <cfvo type="min"/>
        <cfvo type="percentile" val="50"/>
        <cfvo type="max"/>
        <color rgb="FFF8696B"/>
        <color rgb="FFFFEB84"/>
        <color rgb="FF63BE7B"/>
      </colorScale>
    </cfRule>
  </conditionalFormatting>
  <conditionalFormatting sqref="J61">
    <cfRule type="colorScale" priority="177">
      <colorScale>
        <cfvo type="min"/>
        <cfvo type="percentile" val="50"/>
        <cfvo type="max"/>
        <color rgb="FF63BE7B"/>
        <color rgb="FFFFEB84"/>
        <color rgb="FFF8696B"/>
      </colorScale>
    </cfRule>
  </conditionalFormatting>
  <conditionalFormatting sqref="I61">
    <cfRule type="colorScale" priority="176">
      <colorScale>
        <cfvo type="min"/>
        <cfvo type="percentile" val="50"/>
        <cfvo type="max"/>
        <color rgb="FFF8696B"/>
        <color rgb="FFFFEB84"/>
        <color rgb="FF63BE7B"/>
      </colorScale>
    </cfRule>
  </conditionalFormatting>
  <conditionalFormatting sqref="H60">
    <cfRule type="colorScale" priority="175">
      <colorScale>
        <cfvo type="min"/>
        <cfvo type="percentile" val="50"/>
        <cfvo type="max"/>
        <color rgb="FFF8696B"/>
        <color rgb="FFFFEB84"/>
        <color rgb="FF63BE7B"/>
      </colorScale>
    </cfRule>
  </conditionalFormatting>
  <conditionalFormatting sqref="J60">
    <cfRule type="colorScale" priority="174">
      <colorScale>
        <cfvo type="min"/>
        <cfvo type="percentile" val="50"/>
        <cfvo type="max"/>
        <color rgb="FF63BE7B"/>
        <color rgb="FFFFEB84"/>
        <color rgb="FFF8696B"/>
      </colorScale>
    </cfRule>
  </conditionalFormatting>
  <conditionalFormatting sqref="I60">
    <cfRule type="colorScale" priority="173">
      <colorScale>
        <cfvo type="min"/>
        <cfvo type="percentile" val="50"/>
        <cfvo type="max"/>
        <color rgb="FFF8696B"/>
        <color rgb="FFFFEB84"/>
        <color rgb="FF63BE7B"/>
      </colorScale>
    </cfRule>
  </conditionalFormatting>
  <conditionalFormatting sqref="H60">
    <cfRule type="colorScale" priority="172">
      <colorScale>
        <cfvo type="min"/>
        <cfvo type="percentile" val="50"/>
        <cfvo type="max"/>
        <color rgb="FFF8696B"/>
        <color rgb="FFFFEB84"/>
        <color rgb="FF63BE7B"/>
      </colorScale>
    </cfRule>
  </conditionalFormatting>
  <conditionalFormatting sqref="J60">
    <cfRule type="colorScale" priority="171">
      <colorScale>
        <cfvo type="min"/>
        <cfvo type="percentile" val="50"/>
        <cfvo type="max"/>
        <color rgb="FF63BE7B"/>
        <color rgb="FFFFEB84"/>
        <color rgb="FFF8696B"/>
      </colorScale>
    </cfRule>
  </conditionalFormatting>
  <conditionalFormatting sqref="I60">
    <cfRule type="colorScale" priority="170">
      <colorScale>
        <cfvo type="min"/>
        <cfvo type="percentile" val="50"/>
        <cfvo type="max"/>
        <color rgb="FFF8696B"/>
        <color rgb="FFFFEB84"/>
        <color rgb="FF63BE7B"/>
      </colorScale>
    </cfRule>
  </conditionalFormatting>
  <conditionalFormatting sqref="H59">
    <cfRule type="colorScale" priority="163">
      <colorScale>
        <cfvo type="min"/>
        <cfvo type="percentile" val="50"/>
        <cfvo type="max"/>
        <color rgb="FFF8696B"/>
        <color rgb="FFFFEB84"/>
        <color rgb="FF63BE7B"/>
      </colorScale>
    </cfRule>
  </conditionalFormatting>
  <conditionalFormatting sqref="J59">
    <cfRule type="colorScale" priority="162">
      <colorScale>
        <cfvo type="min"/>
        <cfvo type="percentile" val="50"/>
        <cfvo type="max"/>
        <color rgb="FF63BE7B"/>
        <color rgb="FFFFEB84"/>
        <color rgb="FFF8696B"/>
      </colorScale>
    </cfRule>
  </conditionalFormatting>
  <conditionalFormatting sqref="I59">
    <cfRule type="colorScale" priority="161">
      <colorScale>
        <cfvo type="min"/>
        <cfvo type="percentile" val="50"/>
        <cfvo type="max"/>
        <color rgb="FFF8696B"/>
        <color rgb="FFFFEB84"/>
        <color rgb="FF63BE7B"/>
      </colorScale>
    </cfRule>
  </conditionalFormatting>
  <conditionalFormatting sqref="H59">
    <cfRule type="colorScale" priority="160">
      <colorScale>
        <cfvo type="min"/>
        <cfvo type="percentile" val="50"/>
        <cfvo type="max"/>
        <color rgb="FFF8696B"/>
        <color rgb="FFFFEB84"/>
        <color rgb="FF63BE7B"/>
      </colorScale>
    </cfRule>
  </conditionalFormatting>
  <conditionalFormatting sqref="J59">
    <cfRule type="colorScale" priority="159">
      <colorScale>
        <cfvo type="min"/>
        <cfvo type="percentile" val="50"/>
        <cfvo type="max"/>
        <color rgb="FF63BE7B"/>
        <color rgb="FFFFEB84"/>
        <color rgb="FFF8696B"/>
      </colorScale>
    </cfRule>
  </conditionalFormatting>
  <conditionalFormatting sqref="I59">
    <cfRule type="colorScale" priority="158">
      <colorScale>
        <cfvo type="min"/>
        <cfvo type="percentile" val="50"/>
        <cfvo type="max"/>
        <color rgb="FFF8696B"/>
        <color rgb="FFFFEB84"/>
        <color rgb="FF63BE7B"/>
      </colorScale>
    </cfRule>
  </conditionalFormatting>
  <conditionalFormatting sqref="H58">
    <cfRule type="colorScale" priority="157">
      <colorScale>
        <cfvo type="min"/>
        <cfvo type="percentile" val="50"/>
        <cfvo type="max"/>
        <color rgb="FFF8696B"/>
        <color rgb="FFFFEB84"/>
        <color rgb="FF63BE7B"/>
      </colorScale>
    </cfRule>
  </conditionalFormatting>
  <conditionalFormatting sqref="J58">
    <cfRule type="colorScale" priority="156">
      <colorScale>
        <cfvo type="min"/>
        <cfvo type="percentile" val="50"/>
        <cfvo type="max"/>
        <color rgb="FF63BE7B"/>
        <color rgb="FFFFEB84"/>
        <color rgb="FFF8696B"/>
      </colorScale>
    </cfRule>
  </conditionalFormatting>
  <conditionalFormatting sqref="I58">
    <cfRule type="colorScale" priority="155">
      <colorScale>
        <cfvo type="min"/>
        <cfvo type="percentile" val="50"/>
        <cfvo type="max"/>
        <color rgb="FFF8696B"/>
        <color rgb="FFFFEB84"/>
        <color rgb="FF63BE7B"/>
      </colorScale>
    </cfRule>
  </conditionalFormatting>
  <conditionalFormatting sqref="H58">
    <cfRule type="colorScale" priority="154">
      <colorScale>
        <cfvo type="min"/>
        <cfvo type="percentile" val="50"/>
        <cfvo type="max"/>
        <color rgb="FFF8696B"/>
        <color rgb="FFFFEB84"/>
        <color rgb="FF63BE7B"/>
      </colorScale>
    </cfRule>
  </conditionalFormatting>
  <conditionalFormatting sqref="J58">
    <cfRule type="colorScale" priority="153">
      <colorScale>
        <cfvo type="min"/>
        <cfvo type="percentile" val="50"/>
        <cfvo type="max"/>
        <color rgb="FF63BE7B"/>
        <color rgb="FFFFEB84"/>
        <color rgb="FFF8696B"/>
      </colorScale>
    </cfRule>
  </conditionalFormatting>
  <conditionalFormatting sqref="I58">
    <cfRule type="colorScale" priority="152">
      <colorScale>
        <cfvo type="min"/>
        <cfvo type="percentile" val="50"/>
        <cfvo type="max"/>
        <color rgb="FFF8696B"/>
        <color rgb="FFFFEB84"/>
        <color rgb="FF63BE7B"/>
      </colorScale>
    </cfRule>
  </conditionalFormatting>
  <conditionalFormatting sqref="H57">
    <cfRule type="colorScale" priority="151">
      <colorScale>
        <cfvo type="min"/>
        <cfvo type="percentile" val="50"/>
        <cfvo type="max"/>
        <color rgb="FFF8696B"/>
        <color rgb="FFFFEB84"/>
        <color rgb="FF63BE7B"/>
      </colorScale>
    </cfRule>
  </conditionalFormatting>
  <conditionalFormatting sqref="J57">
    <cfRule type="colorScale" priority="150">
      <colorScale>
        <cfvo type="min"/>
        <cfvo type="percentile" val="50"/>
        <cfvo type="max"/>
        <color rgb="FF63BE7B"/>
        <color rgb="FFFFEB84"/>
        <color rgb="FFF8696B"/>
      </colorScale>
    </cfRule>
  </conditionalFormatting>
  <conditionalFormatting sqref="I57">
    <cfRule type="colorScale" priority="149">
      <colorScale>
        <cfvo type="min"/>
        <cfvo type="percentile" val="50"/>
        <cfvo type="max"/>
        <color rgb="FFF8696B"/>
        <color rgb="FFFFEB84"/>
        <color rgb="FF63BE7B"/>
      </colorScale>
    </cfRule>
  </conditionalFormatting>
  <conditionalFormatting sqref="H57">
    <cfRule type="colorScale" priority="148">
      <colorScale>
        <cfvo type="min"/>
        <cfvo type="percentile" val="50"/>
        <cfvo type="max"/>
        <color rgb="FFF8696B"/>
        <color rgb="FFFFEB84"/>
        <color rgb="FF63BE7B"/>
      </colorScale>
    </cfRule>
  </conditionalFormatting>
  <conditionalFormatting sqref="J57">
    <cfRule type="colorScale" priority="147">
      <colorScale>
        <cfvo type="min"/>
        <cfvo type="percentile" val="50"/>
        <cfvo type="max"/>
        <color rgb="FF63BE7B"/>
        <color rgb="FFFFEB84"/>
        <color rgb="FFF8696B"/>
      </colorScale>
    </cfRule>
  </conditionalFormatting>
  <conditionalFormatting sqref="I57">
    <cfRule type="colorScale" priority="146">
      <colorScale>
        <cfvo type="min"/>
        <cfvo type="percentile" val="50"/>
        <cfvo type="max"/>
        <color rgb="FFF8696B"/>
        <color rgb="FFFFEB84"/>
        <color rgb="FF63BE7B"/>
      </colorScale>
    </cfRule>
  </conditionalFormatting>
  <conditionalFormatting sqref="H56">
    <cfRule type="colorScale" priority="145">
      <colorScale>
        <cfvo type="min"/>
        <cfvo type="percentile" val="50"/>
        <cfvo type="max"/>
        <color rgb="FFF8696B"/>
        <color rgb="FFFFEB84"/>
        <color rgb="FF63BE7B"/>
      </colorScale>
    </cfRule>
  </conditionalFormatting>
  <conditionalFormatting sqref="J56">
    <cfRule type="colorScale" priority="144">
      <colorScale>
        <cfvo type="min"/>
        <cfvo type="percentile" val="50"/>
        <cfvo type="max"/>
        <color rgb="FF63BE7B"/>
        <color rgb="FFFFEB84"/>
        <color rgb="FFF8696B"/>
      </colorScale>
    </cfRule>
  </conditionalFormatting>
  <conditionalFormatting sqref="I56">
    <cfRule type="colorScale" priority="143">
      <colorScale>
        <cfvo type="min"/>
        <cfvo type="percentile" val="50"/>
        <cfvo type="max"/>
        <color rgb="FFF8696B"/>
        <color rgb="FFFFEB84"/>
        <color rgb="FF63BE7B"/>
      </colorScale>
    </cfRule>
  </conditionalFormatting>
  <conditionalFormatting sqref="H56">
    <cfRule type="colorScale" priority="142">
      <colorScale>
        <cfvo type="min"/>
        <cfvo type="percentile" val="50"/>
        <cfvo type="max"/>
        <color rgb="FFF8696B"/>
        <color rgb="FFFFEB84"/>
        <color rgb="FF63BE7B"/>
      </colorScale>
    </cfRule>
  </conditionalFormatting>
  <conditionalFormatting sqref="J56">
    <cfRule type="colorScale" priority="141">
      <colorScale>
        <cfvo type="min"/>
        <cfvo type="percentile" val="50"/>
        <cfvo type="max"/>
        <color rgb="FF63BE7B"/>
        <color rgb="FFFFEB84"/>
        <color rgb="FFF8696B"/>
      </colorScale>
    </cfRule>
  </conditionalFormatting>
  <conditionalFormatting sqref="I56">
    <cfRule type="colorScale" priority="140">
      <colorScale>
        <cfvo type="min"/>
        <cfvo type="percentile" val="50"/>
        <cfvo type="max"/>
        <color rgb="FFF8696B"/>
        <color rgb="FFFFEB84"/>
        <color rgb="FF63BE7B"/>
      </colorScale>
    </cfRule>
  </conditionalFormatting>
  <conditionalFormatting sqref="H55">
    <cfRule type="colorScale" priority="139">
      <colorScale>
        <cfvo type="min"/>
        <cfvo type="percentile" val="50"/>
        <cfvo type="max"/>
        <color rgb="FFF8696B"/>
        <color rgb="FFFFEB84"/>
        <color rgb="FF63BE7B"/>
      </colorScale>
    </cfRule>
  </conditionalFormatting>
  <conditionalFormatting sqref="J55">
    <cfRule type="colorScale" priority="138">
      <colorScale>
        <cfvo type="min"/>
        <cfvo type="percentile" val="50"/>
        <cfvo type="max"/>
        <color rgb="FF63BE7B"/>
        <color rgb="FFFFEB84"/>
        <color rgb="FFF8696B"/>
      </colorScale>
    </cfRule>
  </conditionalFormatting>
  <conditionalFormatting sqref="I55">
    <cfRule type="colorScale" priority="137">
      <colorScale>
        <cfvo type="min"/>
        <cfvo type="percentile" val="50"/>
        <cfvo type="max"/>
        <color rgb="FFF8696B"/>
        <color rgb="FFFFEB84"/>
        <color rgb="FF63BE7B"/>
      </colorScale>
    </cfRule>
  </conditionalFormatting>
  <conditionalFormatting sqref="H55">
    <cfRule type="colorScale" priority="136">
      <colorScale>
        <cfvo type="min"/>
        <cfvo type="percentile" val="50"/>
        <cfvo type="max"/>
        <color rgb="FFF8696B"/>
        <color rgb="FFFFEB84"/>
        <color rgb="FF63BE7B"/>
      </colorScale>
    </cfRule>
  </conditionalFormatting>
  <conditionalFormatting sqref="J55">
    <cfRule type="colorScale" priority="135">
      <colorScale>
        <cfvo type="min"/>
        <cfvo type="percentile" val="50"/>
        <cfvo type="max"/>
        <color rgb="FF63BE7B"/>
        <color rgb="FFFFEB84"/>
        <color rgb="FFF8696B"/>
      </colorScale>
    </cfRule>
  </conditionalFormatting>
  <conditionalFormatting sqref="I55">
    <cfRule type="colorScale" priority="134">
      <colorScale>
        <cfvo type="min"/>
        <cfvo type="percentile" val="50"/>
        <cfvo type="max"/>
        <color rgb="FFF8696B"/>
        <color rgb="FFFFEB84"/>
        <color rgb="FF63BE7B"/>
      </colorScale>
    </cfRule>
  </conditionalFormatting>
  <conditionalFormatting sqref="H54">
    <cfRule type="colorScale" priority="133">
      <colorScale>
        <cfvo type="min"/>
        <cfvo type="percentile" val="50"/>
        <cfvo type="max"/>
        <color rgb="FFF8696B"/>
        <color rgb="FFFFEB84"/>
        <color rgb="FF63BE7B"/>
      </colorScale>
    </cfRule>
  </conditionalFormatting>
  <conditionalFormatting sqref="J54">
    <cfRule type="colorScale" priority="132">
      <colorScale>
        <cfvo type="min"/>
        <cfvo type="percentile" val="50"/>
        <cfvo type="max"/>
        <color rgb="FF63BE7B"/>
        <color rgb="FFFFEB84"/>
        <color rgb="FFF8696B"/>
      </colorScale>
    </cfRule>
  </conditionalFormatting>
  <conditionalFormatting sqref="I54">
    <cfRule type="colorScale" priority="131">
      <colorScale>
        <cfvo type="min"/>
        <cfvo type="percentile" val="50"/>
        <cfvo type="max"/>
        <color rgb="FFF8696B"/>
        <color rgb="FFFFEB84"/>
        <color rgb="FF63BE7B"/>
      </colorScale>
    </cfRule>
  </conditionalFormatting>
  <conditionalFormatting sqref="H54">
    <cfRule type="colorScale" priority="130">
      <colorScale>
        <cfvo type="min"/>
        <cfvo type="percentile" val="50"/>
        <cfvo type="max"/>
        <color rgb="FFF8696B"/>
        <color rgb="FFFFEB84"/>
        <color rgb="FF63BE7B"/>
      </colorScale>
    </cfRule>
  </conditionalFormatting>
  <conditionalFormatting sqref="J54">
    <cfRule type="colorScale" priority="129">
      <colorScale>
        <cfvo type="min"/>
        <cfvo type="percentile" val="50"/>
        <cfvo type="max"/>
        <color rgb="FF63BE7B"/>
        <color rgb="FFFFEB84"/>
        <color rgb="FFF8696B"/>
      </colorScale>
    </cfRule>
  </conditionalFormatting>
  <conditionalFormatting sqref="I54">
    <cfRule type="colorScale" priority="128">
      <colorScale>
        <cfvo type="min"/>
        <cfvo type="percentile" val="50"/>
        <cfvo type="max"/>
        <color rgb="FFF8696B"/>
        <color rgb="FFFFEB84"/>
        <color rgb="FF63BE7B"/>
      </colorScale>
    </cfRule>
  </conditionalFormatting>
  <conditionalFormatting sqref="H53">
    <cfRule type="colorScale" priority="127">
      <colorScale>
        <cfvo type="min"/>
        <cfvo type="percentile" val="50"/>
        <cfvo type="max"/>
        <color rgb="FFF8696B"/>
        <color rgb="FFFFEB84"/>
        <color rgb="FF63BE7B"/>
      </colorScale>
    </cfRule>
  </conditionalFormatting>
  <conditionalFormatting sqref="J53">
    <cfRule type="colorScale" priority="126">
      <colorScale>
        <cfvo type="min"/>
        <cfvo type="percentile" val="50"/>
        <cfvo type="max"/>
        <color rgb="FF63BE7B"/>
        <color rgb="FFFFEB84"/>
        <color rgb="FFF8696B"/>
      </colorScale>
    </cfRule>
  </conditionalFormatting>
  <conditionalFormatting sqref="I53">
    <cfRule type="colorScale" priority="125">
      <colorScale>
        <cfvo type="min"/>
        <cfvo type="percentile" val="50"/>
        <cfvo type="max"/>
        <color rgb="FFF8696B"/>
        <color rgb="FFFFEB84"/>
        <color rgb="FF63BE7B"/>
      </colorScale>
    </cfRule>
  </conditionalFormatting>
  <conditionalFormatting sqref="H53">
    <cfRule type="colorScale" priority="124">
      <colorScale>
        <cfvo type="min"/>
        <cfvo type="percentile" val="50"/>
        <cfvo type="max"/>
        <color rgb="FFF8696B"/>
        <color rgb="FFFFEB84"/>
        <color rgb="FF63BE7B"/>
      </colorScale>
    </cfRule>
  </conditionalFormatting>
  <conditionalFormatting sqref="J53">
    <cfRule type="colorScale" priority="123">
      <colorScale>
        <cfvo type="min"/>
        <cfvo type="percentile" val="50"/>
        <cfvo type="max"/>
        <color rgb="FF63BE7B"/>
        <color rgb="FFFFEB84"/>
        <color rgb="FFF8696B"/>
      </colorScale>
    </cfRule>
  </conditionalFormatting>
  <conditionalFormatting sqref="I53">
    <cfRule type="colorScale" priority="122">
      <colorScale>
        <cfvo type="min"/>
        <cfvo type="percentile" val="50"/>
        <cfvo type="max"/>
        <color rgb="FFF8696B"/>
        <color rgb="FFFFEB84"/>
        <color rgb="FF63BE7B"/>
      </colorScale>
    </cfRule>
  </conditionalFormatting>
  <conditionalFormatting sqref="H52">
    <cfRule type="colorScale" priority="121">
      <colorScale>
        <cfvo type="min"/>
        <cfvo type="percentile" val="50"/>
        <cfvo type="max"/>
        <color rgb="FFF8696B"/>
        <color rgb="FFFFEB84"/>
        <color rgb="FF63BE7B"/>
      </colorScale>
    </cfRule>
  </conditionalFormatting>
  <conditionalFormatting sqref="J52">
    <cfRule type="colorScale" priority="120">
      <colorScale>
        <cfvo type="min"/>
        <cfvo type="percentile" val="50"/>
        <cfvo type="max"/>
        <color rgb="FF63BE7B"/>
        <color rgb="FFFFEB84"/>
        <color rgb="FFF8696B"/>
      </colorScale>
    </cfRule>
  </conditionalFormatting>
  <conditionalFormatting sqref="I52">
    <cfRule type="colorScale" priority="119">
      <colorScale>
        <cfvo type="min"/>
        <cfvo type="percentile" val="50"/>
        <cfvo type="max"/>
        <color rgb="FFF8696B"/>
        <color rgb="FFFFEB84"/>
        <color rgb="FF63BE7B"/>
      </colorScale>
    </cfRule>
  </conditionalFormatting>
  <conditionalFormatting sqref="H52">
    <cfRule type="colorScale" priority="118">
      <colorScale>
        <cfvo type="min"/>
        <cfvo type="percentile" val="50"/>
        <cfvo type="max"/>
        <color rgb="FFF8696B"/>
        <color rgb="FFFFEB84"/>
        <color rgb="FF63BE7B"/>
      </colorScale>
    </cfRule>
  </conditionalFormatting>
  <conditionalFormatting sqref="J52">
    <cfRule type="colorScale" priority="117">
      <colorScale>
        <cfvo type="min"/>
        <cfvo type="percentile" val="50"/>
        <cfvo type="max"/>
        <color rgb="FF63BE7B"/>
        <color rgb="FFFFEB84"/>
        <color rgb="FFF8696B"/>
      </colorScale>
    </cfRule>
  </conditionalFormatting>
  <conditionalFormatting sqref="I52">
    <cfRule type="colorScale" priority="116">
      <colorScale>
        <cfvo type="min"/>
        <cfvo type="percentile" val="50"/>
        <cfvo type="max"/>
        <color rgb="FFF8696B"/>
        <color rgb="FFFFEB84"/>
        <color rgb="FF63BE7B"/>
      </colorScale>
    </cfRule>
  </conditionalFormatting>
  <conditionalFormatting sqref="H51">
    <cfRule type="colorScale" priority="115">
      <colorScale>
        <cfvo type="min"/>
        <cfvo type="percentile" val="50"/>
        <cfvo type="max"/>
        <color rgb="FFF8696B"/>
        <color rgb="FFFFEB84"/>
        <color rgb="FF63BE7B"/>
      </colorScale>
    </cfRule>
  </conditionalFormatting>
  <conditionalFormatting sqref="J51">
    <cfRule type="colorScale" priority="114">
      <colorScale>
        <cfvo type="min"/>
        <cfvo type="percentile" val="50"/>
        <cfvo type="max"/>
        <color rgb="FF63BE7B"/>
        <color rgb="FFFFEB84"/>
        <color rgb="FFF8696B"/>
      </colorScale>
    </cfRule>
  </conditionalFormatting>
  <conditionalFormatting sqref="I51">
    <cfRule type="colorScale" priority="113">
      <colorScale>
        <cfvo type="min"/>
        <cfvo type="percentile" val="50"/>
        <cfvo type="max"/>
        <color rgb="FFF8696B"/>
        <color rgb="FFFFEB84"/>
        <color rgb="FF63BE7B"/>
      </colorScale>
    </cfRule>
  </conditionalFormatting>
  <conditionalFormatting sqref="H51">
    <cfRule type="colorScale" priority="112">
      <colorScale>
        <cfvo type="min"/>
        <cfvo type="percentile" val="50"/>
        <cfvo type="max"/>
        <color rgb="FFF8696B"/>
        <color rgb="FFFFEB84"/>
        <color rgb="FF63BE7B"/>
      </colorScale>
    </cfRule>
  </conditionalFormatting>
  <conditionalFormatting sqref="J51">
    <cfRule type="colorScale" priority="111">
      <colorScale>
        <cfvo type="min"/>
        <cfvo type="percentile" val="50"/>
        <cfvo type="max"/>
        <color rgb="FF63BE7B"/>
        <color rgb="FFFFEB84"/>
        <color rgb="FFF8696B"/>
      </colorScale>
    </cfRule>
  </conditionalFormatting>
  <conditionalFormatting sqref="I51">
    <cfRule type="colorScale" priority="110">
      <colorScale>
        <cfvo type="min"/>
        <cfvo type="percentile" val="50"/>
        <cfvo type="max"/>
        <color rgb="FFF8696B"/>
        <color rgb="FFFFEB84"/>
        <color rgb="FF63BE7B"/>
      </colorScale>
    </cfRule>
  </conditionalFormatting>
  <conditionalFormatting sqref="H50">
    <cfRule type="colorScale" priority="109">
      <colorScale>
        <cfvo type="min"/>
        <cfvo type="percentile" val="50"/>
        <cfvo type="max"/>
        <color rgb="FFF8696B"/>
        <color rgb="FFFFEB84"/>
        <color rgb="FF63BE7B"/>
      </colorScale>
    </cfRule>
  </conditionalFormatting>
  <conditionalFormatting sqref="J50">
    <cfRule type="colorScale" priority="108">
      <colorScale>
        <cfvo type="min"/>
        <cfvo type="percentile" val="50"/>
        <cfvo type="max"/>
        <color rgb="FF63BE7B"/>
        <color rgb="FFFFEB84"/>
        <color rgb="FFF8696B"/>
      </colorScale>
    </cfRule>
  </conditionalFormatting>
  <conditionalFormatting sqref="I50">
    <cfRule type="colorScale" priority="107">
      <colorScale>
        <cfvo type="min"/>
        <cfvo type="percentile" val="50"/>
        <cfvo type="max"/>
        <color rgb="FFF8696B"/>
        <color rgb="FFFFEB84"/>
        <color rgb="FF63BE7B"/>
      </colorScale>
    </cfRule>
  </conditionalFormatting>
  <conditionalFormatting sqref="H50">
    <cfRule type="colorScale" priority="106">
      <colorScale>
        <cfvo type="min"/>
        <cfvo type="percentile" val="50"/>
        <cfvo type="max"/>
        <color rgb="FFF8696B"/>
        <color rgb="FFFFEB84"/>
        <color rgb="FF63BE7B"/>
      </colorScale>
    </cfRule>
  </conditionalFormatting>
  <conditionalFormatting sqref="J50">
    <cfRule type="colorScale" priority="105">
      <colorScale>
        <cfvo type="min"/>
        <cfvo type="percentile" val="50"/>
        <cfvo type="max"/>
        <color rgb="FF63BE7B"/>
        <color rgb="FFFFEB84"/>
        <color rgb="FFF8696B"/>
      </colorScale>
    </cfRule>
  </conditionalFormatting>
  <conditionalFormatting sqref="I50">
    <cfRule type="colorScale" priority="104">
      <colorScale>
        <cfvo type="min"/>
        <cfvo type="percentile" val="50"/>
        <cfvo type="max"/>
        <color rgb="FFF8696B"/>
        <color rgb="FFFFEB84"/>
        <color rgb="FF63BE7B"/>
      </colorScale>
    </cfRule>
  </conditionalFormatting>
  <conditionalFormatting sqref="H49">
    <cfRule type="colorScale" priority="103">
      <colorScale>
        <cfvo type="min"/>
        <cfvo type="percentile" val="50"/>
        <cfvo type="max"/>
        <color rgb="FFF8696B"/>
        <color rgb="FFFFEB84"/>
        <color rgb="FF63BE7B"/>
      </colorScale>
    </cfRule>
  </conditionalFormatting>
  <conditionalFormatting sqref="J49">
    <cfRule type="colorScale" priority="102">
      <colorScale>
        <cfvo type="min"/>
        <cfvo type="percentile" val="50"/>
        <cfvo type="max"/>
        <color rgb="FF63BE7B"/>
        <color rgb="FFFFEB84"/>
        <color rgb="FFF8696B"/>
      </colorScale>
    </cfRule>
  </conditionalFormatting>
  <conditionalFormatting sqref="I49">
    <cfRule type="colorScale" priority="101">
      <colorScale>
        <cfvo type="min"/>
        <cfvo type="percentile" val="50"/>
        <cfvo type="max"/>
        <color rgb="FFF8696B"/>
        <color rgb="FFFFEB84"/>
        <color rgb="FF63BE7B"/>
      </colorScale>
    </cfRule>
  </conditionalFormatting>
  <conditionalFormatting sqref="H49">
    <cfRule type="colorScale" priority="100">
      <colorScale>
        <cfvo type="min"/>
        <cfvo type="percentile" val="50"/>
        <cfvo type="max"/>
        <color rgb="FFF8696B"/>
        <color rgb="FFFFEB84"/>
        <color rgb="FF63BE7B"/>
      </colorScale>
    </cfRule>
  </conditionalFormatting>
  <conditionalFormatting sqref="J49">
    <cfRule type="colorScale" priority="99">
      <colorScale>
        <cfvo type="min"/>
        <cfvo type="percentile" val="50"/>
        <cfvo type="max"/>
        <color rgb="FF63BE7B"/>
        <color rgb="FFFFEB84"/>
        <color rgb="FFF8696B"/>
      </colorScale>
    </cfRule>
  </conditionalFormatting>
  <conditionalFormatting sqref="I49">
    <cfRule type="colorScale" priority="98">
      <colorScale>
        <cfvo type="min"/>
        <cfvo type="percentile" val="50"/>
        <cfvo type="max"/>
        <color rgb="FFF8696B"/>
        <color rgb="FFFFEB84"/>
        <color rgb="FF63BE7B"/>
      </colorScale>
    </cfRule>
  </conditionalFormatting>
  <conditionalFormatting sqref="H48">
    <cfRule type="colorScale" priority="97">
      <colorScale>
        <cfvo type="min"/>
        <cfvo type="percentile" val="50"/>
        <cfvo type="max"/>
        <color rgb="FFF8696B"/>
        <color rgb="FFFFEB84"/>
        <color rgb="FF63BE7B"/>
      </colorScale>
    </cfRule>
  </conditionalFormatting>
  <conditionalFormatting sqref="J48">
    <cfRule type="colorScale" priority="96">
      <colorScale>
        <cfvo type="min"/>
        <cfvo type="percentile" val="50"/>
        <cfvo type="max"/>
        <color rgb="FF63BE7B"/>
        <color rgb="FFFFEB84"/>
        <color rgb="FFF8696B"/>
      </colorScale>
    </cfRule>
  </conditionalFormatting>
  <conditionalFormatting sqref="I48">
    <cfRule type="colorScale" priority="95">
      <colorScale>
        <cfvo type="min"/>
        <cfvo type="percentile" val="50"/>
        <cfvo type="max"/>
        <color rgb="FFF8696B"/>
        <color rgb="FFFFEB84"/>
        <color rgb="FF63BE7B"/>
      </colorScale>
    </cfRule>
  </conditionalFormatting>
  <conditionalFormatting sqref="H48">
    <cfRule type="colorScale" priority="94">
      <colorScale>
        <cfvo type="min"/>
        <cfvo type="percentile" val="50"/>
        <cfvo type="max"/>
        <color rgb="FFF8696B"/>
        <color rgb="FFFFEB84"/>
        <color rgb="FF63BE7B"/>
      </colorScale>
    </cfRule>
  </conditionalFormatting>
  <conditionalFormatting sqref="J48">
    <cfRule type="colorScale" priority="93">
      <colorScale>
        <cfvo type="min"/>
        <cfvo type="percentile" val="50"/>
        <cfvo type="max"/>
        <color rgb="FF63BE7B"/>
        <color rgb="FFFFEB84"/>
        <color rgb="FFF8696B"/>
      </colorScale>
    </cfRule>
  </conditionalFormatting>
  <conditionalFormatting sqref="I48">
    <cfRule type="colorScale" priority="92">
      <colorScale>
        <cfvo type="min"/>
        <cfvo type="percentile" val="50"/>
        <cfvo type="max"/>
        <color rgb="FFF8696B"/>
        <color rgb="FFFFEB84"/>
        <color rgb="FF63BE7B"/>
      </colorScale>
    </cfRule>
  </conditionalFormatting>
  <conditionalFormatting sqref="H47">
    <cfRule type="colorScale" priority="91">
      <colorScale>
        <cfvo type="min"/>
        <cfvo type="percentile" val="50"/>
        <cfvo type="max"/>
        <color rgb="FFF8696B"/>
        <color rgb="FFFFEB84"/>
        <color rgb="FF63BE7B"/>
      </colorScale>
    </cfRule>
  </conditionalFormatting>
  <conditionalFormatting sqref="J47">
    <cfRule type="colorScale" priority="90">
      <colorScale>
        <cfvo type="min"/>
        <cfvo type="percentile" val="50"/>
        <cfvo type="max"/>
        <color rgb="FF63BE7B"/>
        <color rgb="FFFFEB84"/>
        <color rgb="FFF8696B"/>
      </colorScale>
    </cfRule>
  </conditionalFormatting>
  <conditionalFormatting sqref="I47">
    <cfRule type="colorScale" priority="89">
      <colorScale>
        <cfvo type="min"/>
        <cfvo type="percentile" val="50"/>
        <cfvo type="max"/>
        <color rgb="FFF8696B"/>
        <color rgb="FFFFEB84"/>
        <color rgb="FF63BE7B"/>
      </colorScale>
    </cfRule>
  </conditionalFormatting>
  <conditionalFormatting sqref="H47">
    <cfRule type="colorScale" priority="88">
      <colorScale>
        <cfvo type="min"/>
        <cfvo type="percentile" val="50"/>
        <cfvo type="max"/>
        <color rgb="FFF8696B"/>
        <color rgb="FFFFEB84"/>
        <color rgb="FF63BE7B"/>
      </colorScale>
    </cfRule>
  </conditionalFormatting>
  <conditionalFormatting sqref="J47">
    <cfRule type="colorScale" priority="87">
      <colorScale>
        <cfvo type="min"/>
        <cfvo type="percentile" val="50"/>
        <cfvo type="max"/>
        <color rgb="FF63BE7B"/>
        <color rgb="FFFFEB84"/>
        <color rgb="FFF8696B"/>
      </colorScale>
    </cfRule>
  </conditionalFormatting>
  <conditionalFormatting sqref="I47">
    <cfRule type="colorScale" priority="86">
      <colorScale>
        <cfvo type="min"/>
        <cfvo type="percentile" val="50"/>
        <cfvo type="max"/>
        <color rgb="FFF8696B"/>
        <color rgb="FFFFEB84"/>
        <color rgb="FF63BE7B"/>
      </colorScale>
    </cfRule>
  </conditionalFormatting>
  <conditionalFormatting sqref="H46">
    <cfRule type="colorScale" priority="85">
      <colorScale>
        <cfvo type="min"/>
        <cfvo type="percentile" val="50"/>
        <cfvo type="max"/>
        <color rgb="FFF8696B"/>
        <color rgb="FFFFEB84"/>
        <color rgb="FF63BE7B"/>
      </colorScale>
    </cfRule>
  </conditionalFormatting>
  <conditionalFormatting sqref="J46">
    <cfRule type="colorScale" priority="84">
      <colorScale>
        <cfvo type="min"/>
        <cfvo type="percentile" val="50"/>
        <cfvo type="max"/>
        <color rgb="FF63BE7B"/>
        <color rgb="FFFFEB84"/>
        <color rgb="FFF8696B"/>
      </colorScale>
    </cfRule>
  </conditionalFormatting>
  <conditionalFormatting sqref="I46">
    <cfRule type="colorScale" priority="83">
      <colorScale>
        <cfvo type="min"/>
        <cfvo type="percentile" val="50"/>
        <cfvo type="max"/>
        <color rgb="FFF8696B"/>
        <color rgb="FFFFEB84"/>
        <color rgb="FF63BE7B"/>
      </colorScale>
    </cfRule>
  </conditionalFormatting>
  <conditionalFormatting sqref="H46">
    <cfRule type="colorScale" priority="82">
      <colorScale>
        <cfvo type="min"/>
        <cfvo type="percentile" val="50"/>
        <cfvo type="max"/>
        <color rgb="FFF8696B"/>
        <color rgb="FFFFEB84"/>
        <color rgb="FF63BE7B"/>
      </colorScale>
    </cfRule>
  </conditionalFormatting>
  <conditionalFormatting sqref="J46">
    <cfRule type="colorScale" priority="81">
      <colorScale>
        <cfvo type="min"/>
        <cfvo type="percentile" val="50"/>
        <cfvo type="max"/>
        <color rgb="FF63BE7B"/>
        <color rgb="FFFFEB84"/>
        <color rgb="FFF8696B"/>
      </colorScale>
    </cfRule>
  </conditionalFormatting>
  <conditionalFormatting sqref="I46">
    <cfRule type="colorScale" priority="80">
      <colorScale>
        <cfvo type="min"/>
        <cfvo type="percentile" val="50"/>
        <cfvo type="max"/>
        <color rgb="FFF8696B"/>
        <color rgb="FFFFEB84"/>
        <color rgb="FF63BE7B"/>
      </colorScale>
    </cfRule>
  </conditionalFormatting>
  <conditionalFormatting sqref="H45">
    <cfRule type="colorScale" priority="79">
      <colorScale>
        <cfvo type="min"/>
        <cfvo type="percentile" val="50"/>
        <cfvo type="max"/>
        <color rgb="FFF8696B"/>
        <color rgb="FFFFEB84"/>
        <color rgb="FF63BE7B"/>
      </colorScale>
    </cfRule>
  </conditionalFormatting>
  <conditionalFormatting sqref="J45">
    <cfRule type="colorScale" priority="78">
      <colorScale>
        <cfvo type="min"/>
        <cfvo type="percentile" val="50"/>
        <cfvo type="max"/>
        <color rgb="FF63BE7B"/>
        <color rgb="FFFFEB84"/>
        <color rgb="FFF8696B"/>
      </colorScale>
    </cfRule>
  </conditionalFormatting>
  <conditionalFormatting sqref="I45">
    <cfRule type="colorScale" priority="77">
      <colorScale>
        <cfvo type="min"/>
        <cfvo type="percentile" val="50"/>
        <cfvo type="max"/>
        <color rgb="FFF8696B"/>
        <color rgb="FFFFEB84"/>
        <color rgb="FF63BE7B"/>
      </colorScale>
    </cfRule>
  </conditionalFormatting>
  <conditionalFormatting sqref="H45">
    <cfRule type="colorScale" priority="76">
      <colorScale>
        <cfvo type="min"/>
        <cfvo type="percentile" val="50"/>
        <cfvo type="max"/>
        <color rgb="FFF8696B"/>
        <color rgb="FFFFEB84"/>
        <color rgb="FF63BE7B"/>
      </colorScale>
    </cfRule>
  </conditionalFormatting>
  <conditionalFormatting sqref="J45">
    <cfRule type="colorScale" priority="75">
      <colorScale>
        <cfvo type="min"/>
        <cfvo type="percentile" val="50"/>
        <cfvo type="max"/>
        <color rgb="FF63BE7B"/>
        <color rgb="FFFFEB84"/>
        <color rgb="FFF8696B"/>
      </colorScale>
    </cfRule>
  </conditionalFormatting>
  <conditionalFormatting sqref="I45">
    <cfRule type="colorScale" priority="74">
      <colorScale>
        <cfvo type="min"/>
        <cfvo type="percentile" val="50"/>
        <cfvo type="max"/>
        <color rgb="FFF8696B"/>
        <color rgb="FFFFEB84"/>
        <color rgb="FF63BE7B"/>
      </colorScale>
    </cfRule>
  </conditionalFormatting>
  <conditionalFormatting sqref="H44">
    <cfRule type="colorScale" priority="73">
      <colorScale>
        <cfvo type="min"/>
        <cfvo type="percentile" val="50"/>
        <cfvo type="max"/>
        <color rgb="FFF8696B"/>
        <color rgb="FFFFEB84"/>
        <color rgb="FF63BE7B"/>
      </colorScale>
    </cfRule>
  </conditionalFormatting>
  <conditionalFormatting sqref="J44">
    <cfRule type="colorScale" priority="72">
      <colorScale>
        <cfvo type="min"/>
        <cfvo type="percentile" val="50"/>
        <cfvo type="max"/>
        <color rgb="FF63BE7B"/>
        <color rgb="FFFFEB84"/>
        <color rgb="FFF8696B"/>
      </colorScale>
    </cfRule>
  </conditionalFormatting>
  <conditionalFormatting sqref="I44">
    <cfRule type="colorScale" priority="71">
      <colorScale>
        <cfvo type="min"/>
        <cfvo type="percentile" val="50"/>
        <cfvo type="max"/>
        <color rgb="FFF8696B"/>
        <color rgb="FFFFEB84"/>
        <color rgb="FF63BE7B"/>
      </colorScale>
    </cfRule>
  </conditionalFormatting>
  <conditionalFormatting sqref="H44">
    <cfRule type="colorScale" priority="70">
      <colorScale>
        <cfvo type="min"/>
        <cfvo type="percentile" val="50"/>
        <cfvo type="max"/>
        <color rgb="FFF8696B"/>
        <color rgb="FFFFEB84"/>
        <color rgb="FF63BE7B"/>
      </colorScale>
    </cfRule>
  </conditionalFormatting>
  <conditionalFormatting sqref="J44">
    <cfRule type="colorScale" priority="69">
      <colorScale>
        <cfvo type="min"/>
        <cfvo type="percentile" val="50"/>
        <cfvo type="max"/>
        <color rgb="FF63BE7B"/>
        <color rgb="FFFFEB84"/>
        <color rgb="FFF8696B"/>
      </colorScale>
    </cfRule>
  </conditionalFormatting>
  <conditionalFormatting sqref="I44">
    <cfRule type="colorScale" priority="68">
      <colorScale>
        <cfvo type="min"/>
        <cfvo type="percentile" val="50"/>
        <cfvo type="max"/>
        <color rgb="FFF8696B"/>
        <color rgb="FFFFEB84"/>
        <color rgb="FF63BE7B"/>
      </colorScale>
    </cfRule>
  </conditionalFormatting>
  <conditionalFormatting sqref="H43">
    <cfRule type="colorScale" priority="67">
      <colorScale>
        <cfvo type="min"/>
        <cfvo type="percentile" val="50"/>
        <cfvo type="max"/>
        <color rgb="FFF8696B"/>
        <color rgb="FFFFEB84"/>
        <color rgb="FF63BE7B"/>
      </colorScale>
    </cfRule>
  </conditionalFormatting>
  <conditionalFormatting sqref="J43">
    <cfRule type="colorScale" priority="66">
      <colorScale>
        <cfvo type="min"/>
        <cfvo type="percentile" val="50"/>
        <cfvo type="max"/>
        <color rgb="FF63BE7B"/>
        <color rgb="FFFFEB84"/>
        <color rgb="FFF8696B"/>
      </colorScale>
    </cfRule>
  </conditionalFormatting>
  <conditionalFormatting sqref="I43">
    <cfRule type="colorScale" priority="65">
      <colorScale>
        <cfvo type="min"/>
        <cfvo type="percentile" val="50"/>
        <cfvo type="max"/>
        <color rgb="FFF8696B"/>
        <color rgb="FFFFEB84"/>
        <color rgb="FF63BE7B"/>
      </colorScale>
    </cfRule>
  </conditionalFormatting>
  <conditionalFormatting sqref="H43">
    <cfRule type="colorScale" priority="64">
      <colorScale>
        <cfvo type="min"/>
        <cfvo type="percentile" val="50"/>
        <cfvo type="max"/>
        <color rgb="FFF8696B"/>
        <color rgb="FFFFEB84"/>
        <color rgb="FF63BE7B"/>
      </colorScale>
    </cfRule>
  </conditionalFormatting>
  <conditionalFormatting sqref="J43">
    <cfRule type="colorScale" priority="63">
      <colorScale>
        <cfvo type="min"/>
        <cfvo type="percentile" val="50"/>
        <cfvo type="max"/>
        <color rgb="FF63BE7B"/>
        <color rgb="FFFFEB84"/>
        <color rgb="FFF8696B"/>
      </colorScale>
    </cfRule>
  </conditionalFormatting>
  <conditionalFormatting sqref="I43">
    <cfRule type="colorScale" priority="62">
      <colorScale>
        <cfvo type="min"/>
        <cfvo type="percentile" val="50"/>
        <cfvo type="max"/>
        <color rgb="FFF8696B"/>
        <color rgb="FFFFEB84"/>
        <color rgb="FF63BE7B"/>
      </colorScale>
    </cfRule>
  </conditionalFormatting>
  <conditionalFormatting sqref="H42">
    <cfRule type="colorScale" priority="61">
      <colorScale>
        <cfvo type="min"/>
        <cfvo type="percentile" val="50"/>
        <cfvo type="max"/>
        <color rgb="FFF8696B"/>
        <color rgb="FFFFEB84"/>
        <color rgb="FF63BE7B"/>
      </colorScale>
    </cfRule>
  </conditionalFormatting>
  <conditionalFormatting sqref="J42">
    <cfRule type="colorScale" priority="60">
      <colorScale>
        <cfvo type="min"/>
        <cfvo type="percentile" val="50"/>
        <cfvo type="max"/>
        <color rgb="FF63BE7B"/>
        <color rgb="FFFFEB84"/>
        <color rgb="FFF8696B"/>
      </colorScale>
    </cfRule>
  </conditionalFormatting>
  <conditionalFormatting sqref="I42">
    <cfRule type="colorScale" priority="59">
      <colorScale>
        <cfvo type="min"/>
        <cfvo type="percentile" val="50"/>
        <cfvo type="max"/>
        <color rgb="FFF8696B"/>
        <color rgb="FFFFEB84"/>
        <color rgb="FF63BE7B"/>
      </colorScale>
    </cfRule>
  </conditionalFormatting>
  <conditionalFormatting sqref="H42">
    <cfRule type="colorScale" priority="58">
      <colorScale>
        <cfvo type="min"/>
        <cfvo type="percentile" val="50"/>
        <cfvo type="max"/>
        <color rgb="FFF8696B"/>
        <color rgb="FFFFEB84"/>
        <color rgb="FF63BE7B"/>
      </colorScale>
    </cfRule>
  </conditionalFormatting>
  <conditionalFormatting sqref="J42">
    <cfRule type="colorScale" priority="57">
      <colorScale>
        <cfvo type="min"/>
        <cfvo type="percentile" val="50"/>
        <cfvo type="max"/>
        <color rgb="FF63BE7B"/>
        <color rgb="FFFFEB84"/>
        <color rgb="FFF8696B"/>
      </colorScale>
    </cfRule>
  </conditionalFormatting>
  <conditionalFormatting sqref="I42">
    <cfRule type="colorScale" priority="56">
      <colorScale>
        <cfvo type="min"/>
        <cfvo type="percentile" val="50"/>
        <cfvo type="max"/>
        <color rgb="FFF8696B"/>
        <color rgb="FFFFEB84"/>
        <color rgb="FF63BE7B"/>
      </colorScale>
    </cfRule>
  </conditionalFormatting>
  <conditionalFormatting sqref="H41">
    <cfRule type="colorScale" priority="55">
      <colorScale>
        <cfvo type="min"/>
        <cfvo type="percentile" val="50"/>
        <cfvo type="max"/>
        <color rgb="FFF8696B"/>
        <color rgb="FFFFEB84"/>
        <color rgb="FF63BE7B"/>
      </colorScale>
    </cfRule>
  </conditionalFormatting>
  <conditionalFormatting sqref="J41">
    <cfRule type="colorScale" priority="54">
      <colorScale>
        <cfvo type="min"/>
        <cfvo type="percentile" val="50"/>
        <cfvo type="max"/>
        <color rgb="FF63BE7B"/>
        <color rgb="FFFFEB84"/>
        <color rgb="FFF8696B"/>
      </colorScale>
    </cfRule>
  </conditionalFormatting>
  <conditionalFormatting sqref="I41">
    <cfRule type="colorScale" priority="53">
      <colorScale>
        <cfvo type="min"/>
        <cfvo type="percentile" val="50"/>
        <cfvo type="max"/>
        <color rgb="FFF8696B"/>
        <color rgb="FFFFEB84"/>
        <color rgb="FF63BE7B"/>
      </colorScale>
    </cfRule>
  </conditionalFormatting>
  <conditionalFormatting sqref="H41">
    <cfRule type="colorScale" priority="52">
      <colorScale>
        <cfvo type="min"/>
        <cfvo type="percentile" val="50"/>
        <cfvo type="max"/>
        <color rgb="FFF8696B"/>
        <color rgb="FFFFEB84"/>
        <color rgb="FF63BE7B"/>
      </colorScale>
    </cfRule>
  </conditionalFormatting>
  <conditionalFormatting sqref="J41">
    <cfRule type="colorScale" priority="51">
      <colorScale>
        <cfvo type="min"/>
        <cfvo type="percentile" val="50"/>
        <cfvo type="max"/>
        <color rgb="FF63BE7B"/>
        <color rgb="FFFFEB84"/>
        <color rgb="FFF8696B"/>
      </colorScale>
    </cfRule>
  </conditionalFormatting>
  <conditionalFormatting sqref="I41">
    <cfRule type="colorScale" priority="50">
      <colorScale>
        <cfvo type="min"/>
        <cfvo type="percentile" val="50"/>
        <cfvo type="max"/>
        <color rgb="FFF8696B"/>
        <color rgb="FFFFEB84"/>
        <color rgb="FF63BE7B"/>
      </colorScale>
    </cfRule>
  </conditionalFormatting>
  <conditionalFormatting sqref="K33:AA33">
    <cfRule type="colorScale" priority="49">
      <colorScale>
        <cfvo type="min"/>
        <cfvo type="percentile" val="50"/>
        <cfvo type="max"/>
        <color rgb="FFF8696B"/>
        <color rgb="FFFFEB84"/>
        <color rgb="FF63BE7B"/>
      </colorScale>
    </cfRule>
  </conditionalFormatting>
  <conditionalFormatting sqref="J33">
    <cfRule type="colorScale" priority="48">
      <colorScale>
        <cfvo type="min"/>
        <cfvo type="percentile" val="50"/>
        <cfvo type="max"/>
        <color rgb="FFF8696B"/>
        <color rgb="FFFFEB84"/>
        <color rgb="FF63BE7B"/>
      </colorScale>
    </cfRule>
  </conditionalFormatting>
  <conditionalFormatting sqref="A33:E33">
    <cfRule type="colorScale" priority="47">
      <colorScale>
        <cfvo type="min"/>
        <cfvo type="percentile" val="50"/>
        <cfvo type="max"/>
        <color rgb="FFF8696B"/>
        <color rgb="FFFFEB84"/>
        <color rgb="FF63BE7B"/>
      </colorScale>
    </cfRule>
  </conditionalFormatting>
  <conditionalFormatting sqref="A29:E29">
    <cfRule type="colorScale" priority="46">
      <colorScale>
        <cfvo type="min"/>
        <cfvo type="percentile" val="50"/>
        <cfvo type="max"/>
        <color rgb="FFF8696B"/>
        <color rgb="FFFFEB84"/>
        <color rgb="FF63BE7B"/>
      </colorScale>
    </cfRule>
  </conditionalFormatting>
  <conditionalFormatting sqref="H69">
    <cfRule type="colorScale" priority="45">
      <colorScale>
        <cfvo type="min"/>
        <cfvo type="percentile" val="50"/>
        <cfvo type="max"/>
        <color rgb="FFF8696B"/>
        <color rgb="FFFFEB84"/>
        <color rgb="FF63BE7B"/>
      </colorScale>
    </cfRule>
  </conditionalFormatting>
  <conditionalFormatting sqref="J69">
    <cfRule type="colorScale" priority="44">
      <colorScale>
        <cfvo type="min"/>
        <cfvo type="percentile" val="50"/>
        <cfvo type="max"/>
        <color rgb="FF63BE7B"/>
        <color rgb="FFFFEB84"/>
        <color rgb="FFF8696B"/>
      </colorScale>
    </cfRule>
  </conditionalFormatting>
  <conditionalFormatting sqref="I69">
    <cfRule type="colorScale" priority="43">
      <colorScale>
        <cfvo type="min"/>
        <cfvo type="percentile" val="50"/>
        <cfvo type="max"/>
        <color rgb="FFF8696B"/>
        <color rgb="FFFFEB84"/>
        <color rgb="FF63BE7B"/>
      </colorScale>
    </cfRule>
  </conditionalFormatting>
  <conditionalFormatting sqref="H69">
    <cfRule type="colorScale" priority="42">
      <colorScale>
        <cfvo type="min"/>
        <cfvo type="percentile" val="50"/>
        <cfvo type="max"/>
        <color rgb="FFF8696B"/>
        <color rgb="FFFFEB84"/>
        <color rgb="FF63BE7B"/>
      </colorScale>
    </cfRule>
  </conditionalFormatting>
  <conditionalFormatting sqref="J69">
    <cfRule type="colorScale" priority="41">
      <colorScale>
        <cfvo type="min"/>
        <cfvo type="percentile" val="50"/>
        <cfvo type="max"/>
        <color rgb="FF63BE7B"/>
        <color rgb="FFFFEB84"/>
        <color rgb="FFF8696B"/>
      </colorScale>
    </cfRule>
  </conditionalFormatting>
  <conditionalFormatting sqref="I69">
    <cfRule type="colorScale" priority="40">
      <colorScale>
        <cfvo type="min"/>
        <cfvo type="percentile" val="50"/>
        <cfvo type="max"/>
        <color rgb="FFF8696B"/>
        <color rgb="FFFFEB84"/>
        <color rgb="FF63BE7B"/>
      </colorScale>
    </cfRule>
  </conditionalFormatting>
  <conditionalFormatting sqref="I41:I69">
    <cfRule type="colorScale" priority="39">
      <colorScale>
        <cfvo type="min"/>
        <cfvo type="percentile" val="50"/>
        <cfvo type="max"/>
        <color rgb="FF63BE7B"/>
        <color rgb="FFFFEB84"/>
        <color rgb="FFF8696B"/>
      </colorScale>
    </cfRule>
  </conditionalFormatting>
  <conditionalFormatting sqref="F41:F70">
    <cfRule type="colorScale" priority="38">
      <colorScale>
        <cfvo type="min"/>
        <cfvo type="percentile" val="50"/>
        <cfvo type="max"/>
        <color rgb="FFF8696B"/>
        <color rgb="FFFFEB84"/>
        <color rgb="FF63BE7B"/>
      </colorScale>
    </cfRule>
  </conditionalFormatting>
  <conditionalFormatting sqref="H70">
    <cfRule type="colorScale" priority="37">
      <colorScale>
        <cfvo type="min"/>
        <cfvo type="percentile" val="50"/>
        <cfvo type="max"/>
        <color rgb="FFF8696B"/>
        <color rgb="FFFFEB84"/>
        <color rgb="FF63BE7B"/>
      </colorScale>
    </cfRule>
  </conditionalFormatting>
  <conditionalFormatting sqref="J70">
    <cfRule type="colorScale" priority="36">
      <colorScale>
        <cfvo type="min"/>
        <cfvo type="percentile" val="50"/>
        <cfvo type="max"/>
        <color rgb="FF63BE7B"/>
        <color rgb="FFFFEB84"/>
        <color rgb="FFF8696B"/>
      </colorScale>
    </cfRule>
  </conditionalFormatting>
  <conditionalFormatting sqref="I70">
    <cfRule type="colorScale" priority="35">
      <colorScale>
        <cfvo type="min"/>
        <cfvo type="percentile" val="50"/>
        <cfvo type="max"/>
        <color rgb="FFF8696B"/>
        <color rgb="FFFFEB84"/>
        <color rgb="FF63BE7B"/>
      </colorScale>
    </cfRule>
  </conditionalFormatting>
  <conditionalFormatting sqref="H70">
    <cfRule type="colorScale" priority="34">
      <colorScale>
        <cfvo type="min"/>
        <cfvo type="percentile" val="50"/>
        <cfvo type="max"/>
        <color rgb="FFF8696B"/>
        <color rgb="FFFFEB84"/>
        <color rgb="FF63BE7B"/>
      </colorScale>
    </cfRule>
  </conditionalFormatting>
  <conditionalFormatting sqref="J70">
    <cfRule type="colorScale" priority="33">
      <colorScale>
        <cfvo type="min"/>
        <cfvo type="percentile" val="50"/>
        <cfvo type="max"/>
        <color rgb="FF63BE7B"/>
        <color rgb="FFFFEB84"/>
        <color rgb="FFF8696B"/>
      </colorScale>
    </cfRule>
  </conditionalFormatting>
  <conditionalFormatting sqref="I70">
    <cfRule type="colorScale" priority="32">
      <colorScale>
        <cfvo type="min"/>
        <cfvo type="percentile" val="50"/>
        <cfvo type="max"/>
        <color rgb="FFF8696B"/>
        <color rgb="FFFFEB84"/>
        <color rgb="FF63BE7B"/>
      </colorScale>
    </cfRule>
  </conditionalFormatting>
  <conditionalFormatting sqref="I70">
    <cfRule type="colorScale" priority="31">
      <colorScale>
        <cfvo type="min"/>
        <cfvo type="percentile" val="50"/>
        <cfvo type="max"/>
        <color rgb="FF63BE7B"/>
        <color rgb="FFFFEB84"/>
        <color rgb="FFF8696B"/>
      </colorScale>
    </cfRule>
  </conditionalFormatting>
  <conditionalFormatting sqref="J41:J68">
    <cfRule type="colorScale" priority="30">
      <colorScale>
        <cfvo type="min"/>
        <cfvo type="percentile" val="50"/>
        <cfvo type="max"/>
        <color rgb="FF63BE7B"/>
        <color rgb="FFFFEB84"/>
        <color rgb="FFF8696B"/>
      </colorScale>
    </cfRule>
  </conditionalFormatting>
  <conditionalFormatting sqref="I62:I70">
    <cfRule type="colorScale" priority="29">
      <colorScale>
        <cfvo type="min"/>
        <cfvo type="percentile" val="50"/>
        <cfvo type="max"/>
        <color rgb="FF63BE7B"/>
        <color rgb="FFFFEB84"/>
        <color rgb="FFF8696B"/>
      </colorScale>
    </cfRule>
  </conditionalFormatting>
  <conditionalFormatting sqref="H41:H68">
    <cfRule type="colorScale" priority="28">
      <colorScale>
        <cfvo type="min"/>
        <cfvo type="percentile" val="50"/>
        <cfvo type="max"/>
        <color rgb="FF63BE7B"/>
        <color rgb="FFFFEB84"/>
        <color rgb="FFF8696B"/>
      </colorScale>
    </cfRule>
  </conditionalFormatting>
  <conditionalFormatting sqref="F71">
    <cfRule type="colorScale" priority="27">
      <colorScale>
        <cfvo type="min"/>
        <cfvo type="percentile" val="50"/>
        <cfvo type="max"/>
        <color rgb="FFF8696B"/>
        <color rgb="FFFFEB84"/>
        <color rgb="FF63BE7B"/>
      </colorScale>
    </cfRule>
  </conditionalFormatting>
  <conditionalFormatting sqref="H71">
    <cfRule type="colorScale" priority="26">
      <colorScale>
        <cfvo type="min"/>
        <cfvo type="percentile" val="50"/>
        <cfvo type="max"/>
        <color rgb="FFF8696B"/>
        <color rgb="FFFFEB84"/>
        <color rgb="FF63BE7B"/>
      </colorScale>
    </cfRule>
  </conditionalFormatting>
  <conditionalFormatting sqref="J71">
    <cfRule type="colorScale" priority="25">
      <colorScale>
        <cfvo type="min"/>
        <cfvo type="percentile" val="50"/>
        <cfvo type="max"/>
        <color rgb="FF63BE7B"/>
        <color rgb="FFFFEB84"/>
        <color rgb="FFF8696B"/>
      </colorScale>
    </cfRule>
  </conditionalFormatting>
  <conditionalFormatting sqref="I71">
    <cfRule type="colorScale" priority="24">
      <colorScale>
        <cfvo type="min"/>
        <cfvo type="percentile" val="50"/>
        <cfvo type="max"/>
        <color rgb="FFF8696B"/>
        <color rgb="FFFFEB84"/>
        <color rgb="FF63BE7B"/>
      </colorScale>
    </cfRule>
  </conditionalFormatting>
  <conditionalFormatting sqref="H71">
    <cfRule type="colorScale" priority="23">
      <colorScale>
        <cfvo type="min"/>
        <cfvo type="percentile" val="50"/>
        <cfvo type="max"/>
        <color rgb="FFF8696B"/>
        <color rgb="FFFFEB84"/>
        <color rgb="FF63BE7B"/>
      </colorScale>
    </cfRule>
  </conditionalFormatting>
  <conditionalFormatting sqref="J71">
    <cfRule type="colorScale" priority="22">
      <colorScale>
        <cfvo type="min"/>
        <cfvo type="percentile" val="50"/>
        <cfvo type="max"/>
        <color rgb="FF63BE7B"/>
        <color rgb="FFFFEB84"/>
        <color rgb="FFF8696B"/>
      </colorScale>
    </cfRule>
  </conditionalFormatting>
  <conditionalFormatting sqref="I71">
    <cfRule type="colorScale" priority="21">
      <colorScale>
        <cfvo type="min"/>
        <cfvo type="percentile" val="50"/>
        <cfvo type="max"/>
        <color rgb="FFF8696B"/>
        <color rgb="FFFFEB84"/>
        <color rgb="FF63BE7B"/>
      </colorScale>
    </cfRule>
  </conditionalFormatting>
  <conditionalFormatting sqref="I71">
    <cfRule type="colorScale" priority="20">
      <colorScale>
        <cfvo type="min"/>
        <cfvo type="percentile" val="50"/>
        <cfvo type="max"/>
        <color rgb="FF63BE7B"/>
        <color rgb="FFFFEB84"/>
        <color rgb="FFF8696B"/>
      </colorScale>
    </cfRule>
  </conditionalFormatting>
  <conditionalFormatting sqref="I71">
    <cfRule type="colorScale" priority="19">
      <colorScale>
        <cfvo type="min"/>
        <cfvo type="percentile" val="50"/>
        <cfvo type="max"/>
        <color rgb="FF63BE7B"/>
        <color rgb="FFFFEB84"/>
        <color rgb="FFF8696B"/>
      </colorScale>
    </cfRule>
  </conditionalFormatting>
  <conditionalFormatting sqref="F72">
    <cfRule type="colorScale" priority="18">
      <colorScale>
        <cfvo type="min"/>
        <cfvo type="percentile" val="50"/>
        <cfvo type="max"/>
        <color rgb="FFF8696B"/>
        <color rgb="FFFFEB84"/>
        <color rgb="FF63BE7B"/>
      </colorScale>
    </cfRule>
  </conditionalFormatting>
  <conditionalFormatting sqref="H72">
    <cfRule type="colorScale" priority="17">
      <colorScale>
        <cfvo type="min"/>
        <cfvo type="percentile" val="50"/>
        <cfvo type="max"/>
        <color rgb="FFF8696B"/>
        <color rgb="FFFFEB84"/>
        <color rgb="FF63BE7B"/>
      </colorScale>
    </cfRule>
  </conditionalFormatting>
  <conditionalFormatting sqref="J72">
    <cfRule type="colorScale" priority="16">
      <colorScale>
        <cfvo type="min"/>
        <cfvo type="percentile" val="50"/>
        <cfvo type="max"/>
        <color rgb="FF63BE7B"/>
        <color rgb="FFFFEB84"/>
        <color rgb="FFF8696B"/>
      </colorScale>
    </cfRule>
  </conditionalFormatting>
  <conditionalFormatting sqref="I72">
    <cfRule type="colorScale" priority="15">
      <colorScale>
        <cfvo type="min"/>
        <cfvo type="percentile" val="50"/>
        <cfvo type="max"/>
        <color rgb="FFF8696B"/>
        <color rgb="FFFFEB84"/>
        <color rgb="FF63BE7B"/>
      </colorScale>
    </cfRule>
  </conditionalFormatting>
  <conditionalFormatting sqref="H72">
    <cfRule type="colorScale" priority="14">
      <colorScale>
        <cfvo type="min"/>
        <cfvo type="percentile" val="50"/>
        <cfvo type="max"/>
        <color rgb="FFF8696B"/>
        <color rgb="FFFFEB84"/>
        <color rgb="FF63BE7B"/>
      </colorScale>
    </cfRule>
  </conditionalFormatting>
  <conditionalFormatting sqref="J72">
    <cfRule type="colorScale" priority="13">
      <colorScale>
        <cfvo type="min"/>
        <cfvo type="percentile" val="50"/>
        <cfvo type="max"/>
        <color rgb="FF63BE7B"/>
        <color rgb="FFFFEB84"/>
        <color rgb="FFF8696B"/>
      </colorScale>
    </cfRule>
  </conditionalFormatting>
  <conditionalFormatting sqref="I72">
    <cfRule type="colorScale" priority="12">
      <colorScale>
        <cfvo type="min"/>
        <cfvo type="percentile" val="50"/>
        <cfvo type="max"/>
        <color rgb="FFF8696B"/>
        <color rgb="FFFFEB84"/>
        <color rgb="FF63BE7B"/>
      </colorScale>
    </cfRule>
  </conditionalFormatting>
  <conditionalFormatting sqref="I72">
    <cfRule type="colorScale" priority="11">
      <colorScale>
        <cfvo type="min"/>
        <cfvo type="percentile" val="50"/>
        <cfvo type="max"/>
        <color rgb="FF63BE7B"/>
        <color rgb="FFFFEB84"/>
        <color rgb="FFF8696B"/>
      </colorScale>
    </cfRule>
  </conditionalFormatting>
  <conditionalFormatting sqref="I72">
    <cfRule type="colorScale" priority="10">
      <colorScale>
        <cfvo type="min"/>
        <cfvo type="percentile" val="50"/>
        <cfvo type="max"/>
        <color rgb="FF63BE7B"/>
        <color rgb="FFFFEB84"/>
        <color rgb="FFF8696B"/>
      </colorScale>
    </cfRule>
  </conditionalFormatting>
  <conditionalFormatting sqref="F73">
    <cfRule type="colorScale" priority="9">
      <colorScale>
        <cfvo type="min"/>
        <cfvo type="percentile" val="50"/>
        <cfvo type="max"/>
        <color rgb="FFF8696B"/>
        <color rgb="FFFFEB84"/>
        <color rgb="FF63BE7B"/>
      </colorScale>
    </cfRule>
  </conditionalFormatting>
  <conditionalFormatting sqref="H73">
    <cfRule type="colorScale" priority="8">
      <colorScale>
        <cfvo type="min"/>
        <cfvo type="percentile" val="50"/>
        <cfvo type="max"/>
        <color rgb="FFF8696B"/>
        <color rgb="FFFFEB84"/>
        <color rgb="FF63BE7B"/>
      </colorScale>
    </cfRule>
  </conditionalFormatting>
  <conditionalFormatting sqref="J73">
    <cfRule type="colorScale" priority="7">
      <colorScale>
        <cfvo type="min"/>
        <cfvo type="percentile" val="50"/>
        <cfvo type="max"/>
        <color rgb="FF63BE7B"/>
        <color rgb="FFFFEB84"/>
        <color rgb="FFF8696B"/>
      </colorScale>
    </cfRule>
  </conditionalFormatting>
  <conditionalFormatting sqref="I73">
    <cfRule type="colorScale" priority="6">
      <colorScale>
        <cfvo type="min"/>
        <cfvo type="percentile" val="50"/>
        <cfvo type="max"/>
        <color rgb="FFF8696B"/>
        <color rgb="FFFFEB84"/>
        <color rgb="FF63BE7B"/>
      </colorScale>
    </cfRule>
  </conditionalFormatting>
  <conditionalFormatting sqref="H73">
    <cfRule type="colorScale" priority="5">
      <colorScale>
        <cfvo type="min"/>
        <cfvo type="percentile" val="50"/>
        <cfvo type="max"/>
        <color rgb="FFF8696B"/>
        <color rgb="FFFFEB84"/>
        <color rgb="FF63BE7B"/>
      </colorScale>
    </cfRule>
  </conditionalFormatting>
  <conditionalFormatting sqref="J73">
    <cfRule type="colorScale" priority="4">
      <colorScale>
        <cfvo type="min"/>
        <cfvo type="percentile" val="50"/>
        <cfvo type="max"/>
        <color rgb="FF63BE7B"/>
        <color rgb="FFFFEB84"/>
        <color rgb="FFF8696B"/>
      </colorScale>
    </cfRule>
  </conditionalFormatting>
  <conditionalFormatting sqref="I73">
    <cfRule type="colorScale" priority="3">
      <colorScale>
        <cfvo type="min"/>
        <cfvo type="percentile" val="50"/>
        <cfvo type="max"/>
        <color rgb="FFF8696B"/>
        <color rgb="FFFFEB84"/>
        <color rgb="FF63BE7B"/>
      </colorScale>
    </cfRule>
  </conditionalFormatting>
  <conditionalFormatting sqref="I73">
    <cfRule type="colorScale" priority="2">
      <colorScale>
        <cfvo type="min"/>
        <cfvo type="percentile" val="50"/>
        <cfvo type="max"/>
        <color rgb="FF63BE7B"/>
        <color rgb="FFFFEB84"/>
        <color rgb="FFF8696B"/>
      </colorScale>
    </cfRule>
  </conditionalFormatting>
  <conditionalFormatting sqref="I7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80"/>
  <sheetViews>
    <sheetView workbookViewId="0">
      <pane xSplit="13" ySplit="1" topLeftCell="N2" activePane="bottomRight" state="frozen"/>
      <selection pane="topRight" activeCell="N1" sqref="N1"/>
      <selection pane="bottomLeft" activeCell="A2" sqref="A2"/>
      <selection pane="bottomRight" activeCell="Q62" sqref="Q62"/>
    </sheetView>
  </sheetViews>
  <sheetFormatPr defaultRowHeight="15" outlineLevelCol="1" x14ac:dyDescent="0.25"/>
  <cols>
    <col min="1" max="1" width="9.140625" style="4"/>
    <col min="2" max="2" width="58.28515625" customWidth="1" outlineLevel="1"/>
    <col min="3" max="3" width="14" customWidth="1" outlineLevel="1"/>
    <col min="4" max="4" width="9.140625" customWidth="1" outlineLevel="1"/>
    <col min="5" max="5" width="15.85546875" customWidth="1" outlineLevel="1"/>
    <col min="6" max="6" width="18.7109375" customWidth="1" outlineLevel="1"/>
    <col min="7" max="8" width="9.140625" customWidth="1" outlineLevel="1"/>
    <col min="9" max="9" width="12.7109375" customWidth="1" outlineLevel="1"/>
    <col min="10" max="12" width="9.140625" customWidth="1" outlineLevel="1"/>
    <col min="13" max="13" width="9.140625" style="132" customWidth="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 min="35" max="35" width="10.5703125" bestFit="1" customWidth="1"/>
  </cols>
  <sheetData>
    <row r="1" spans="1:35"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42594</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c r="AI1" t="s">
        <v>1313</v>
      </c>
    </row>
    <row r="2" spans="1:35"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1.409</v>
      </c>
      <c r="O2" s="152">
        <f t="shared" ref="O2:O11" si="0">N2*I2/H2</f>
        <v>40861</v>
      </c>
      <c r="P2" s="191">
        <f>VLOOKUP($A2,[3]futuresATR!$A$2:$F$80,4)</f>
        <v>2.6727253999999999E-2</v>
      </c>
      <c r="Q2" s="151">
        <f t="shared" ref="Q2:Q11" si="1">P2*I2/H2</f>
        <v>775.09036600000002</v>
      </c>
      <c r="R2" s="143">
        <f>MAX(CEILING($R$1/Q2,1),1)</f>
        <v>3</v>
      </c>
      <c r="S2" s="138">
        <f t="shared" ref="S2:S33" si="2">R2*O2</f>
        <v>122583</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3">Z2-AC2</f>
        <v>0</v>
      </c>
      <c r="AG2" s="143">
        <f t="shared" ref="AG2:AG33" si="4">AF2*I2*Y2/H2</f>
        <v>0</v>
      </c>
      <c r="AH2" s="140">
        <f t="shared" ref="AH2:AH65" si="5">ABS(AG2)-ABS(AD2)</f>
        <v>0</v>
      </c>
      <c r="AI2" s="110">
        <f>VLOOKUP(M2,CurrInfo!$A$43:$O$173,15)</f>
        <v>3625</v>
      </c>
    </row>
    <row r="3" spans="1:35"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0.7641</v>
      </c>
      <c r="O3" s="152">
        <f t="shared" si="0"/>
        <v>76410</v>
      </c>
      <c r="P3" s="191">
        <f>VLOOKUP($A3,[3]futuresATR!$A$2:$F$80,4)</f>
        <v>7.6449999999999999E-3</v>
      </c>
      <c r="Q3" s="151">
        <f t="shared" si="1"/>
        <v>764.5</v>
      </c>
      <c r="R3" s="143">
        <f>MAX(CEILING($R$1/Q3,1),1)</f>
        <v>3</v>
      </c>
      <c r="S3" s="138">
        <f>R3*O3</f>
        <v>229230</v>
      </c>
      <c r="T3" s="110">
        <f>IF(R3&gt;$T$1,$T$1,R3)</f>
        <v>3</v>
      </c>
      <c r="U3" s="110">
        <f t="shared" ref="U3:U66" si="6">T3*2*7</f>
        <v>42</v>
      </c>
      <c r="V3" s="159">
        <f t="shared" ref="V3:V66" si="7">IF(ROUND(T3*Q3/$R$1,0)&lt;1,0,T3)</f>
        <v>3</v>
      </c>
      <c r="W3" s="159">
        <f>V3*Q3</f>
        <v>2293.5</v>
      </c>
      <c r="X3" t="s">
        <v>898</v>
      </c>
      <c r="Y3">
        <v>4</v>
      </c>
      <c r="Z3">
        <v>0.71609999999999996</v>
      </c>
      <c r="AA3" s="109">
        <v>0</v>
      </c>
      <c r="AB3" s="133">
        <v>8.0000000000000004E-4</v>
      </c>
      <c r="AC3">
        <v>0.72060000000000002</v>
      </c>
      <c r="AD3" s="108">
        <v>-1789</v>
      </c>
      <c r="AE3" s="108">
        <v>0</v>
      </c>
      <c r="AF3" s="165">
        <f t="shared" si="3"/>
        <v>-4.5000000000000595E-3</v>
      </c>
      <c r="AG3" s="143">
        <f t="shared" si="4"/>
        <v>-1800.0000000000239</v>
      </c>
      <c r="AH3" s="140">
        <f t="shared" si="5"/>
        <v>11.000000000023874</v>
      </c>
      <c r="AI3" s="110">
        <f>VLOOKUP(M3,CurrInfo!$A$43:$O$173,15)</f>
        <v>2656</v>
      </c>
    </row>
    <row r="4" spans="1:35" x14ac:dyDescent="0.25">
      <c r="A4" s="4" t="s">
        <v>292</v>
      </c>
      <c r="B4" s="112" t="s">
        <v>293</v>
      </c>
      <c r="C4" s="154" t="s">
        <v>292</v>
      </c>
      <c r="D4" s="112" t="s">
        <v>780</v>
      </c>
      <c r="E4" s="112" t="s">
        <v>781</v>
      </c>
      <c r="F4" s="112">
        <v>200</v>
      </c>
      <c r="G4" s="112" t="s">
        <v>469</v>
      </c>
      <c r="H4">
        <f>VLOOKUP(G4,CurrInfo!$E$1:$F$10,2)</f>
        <v>0.8957362952346829</v>
      </c>
      <c r="I4" s="112">
        <v>200</v>
      </c>
      <c r="J4" s="112">
        <v>0.01</v>
      </c>
      <c r="K4" s="112" t="s">
        <v>294</v>
      </c>
      <c r="L4" s="112" t="s">
        <v>780</v>
      </c>
      <c r="M4" s="145" t="s">
        <v>292</v>
      </c>
      <c r="N4" s="190">
        <f>VLOOKUP($A4,[3]futuresATR!$A$2:$F$80,3)</f>
        <v>453.75</v>
      </c>
      <c r="O4" s="152">
        <f t="shared" si="0"/>
        <v>101313.3</v>
      </c>
      <c r="P4" s="191">
        <f>VLOOKUP($A4,[3]futuresATR!$A$2:$F$80,4)</f>
        <v>5.1749999999999998</v>
      </c>
      <c r="Q4" s="151">
        <f t="shared" si="1"/>
        <v>1155.4739999999999</v>
      </c>
      <c r="R4" s="143">
        <f t="shared" ref="R4:R66" si="8">MAX(CEILING($R$1/Q4,1),1)</f>
        <v>2</v>
      </c>
      <c r="S4" s="138">
        <f>R4*O4</f>
        <v>202626.6</v>
      </c>
      <c r="T4" s="110">
        <f t="shared" ref="T4:T66" si="9">IF(R4&gt;$T$1,$T$1,R4)</f>
        <v>2</v>
      </c>
      <c r="U4" s="110">
        <f t="shared" si="6"/>
        <v>28</v>
      </c>
      <c r="V4" s="159">
        <f t="shared" si="7"/>
        <v>2</v>
      </c>
      <c r="W4" s="159">
        <f t="shared" ref="W4:W66" si="10">V4*Q4</f>
        <v>2310.9479999999999</v>
      </c>
      <c r="X4" s="112" t="s">
        <v>898</v>
      </c>
      <c r="Y4" s="112">
        <v>4</v>
      </c>
      <c r="Z4" s="112">
        <v>445.6</v>
      </c>
      <c r="AA4" s="166">
        <v>0</v>
      </c>
      <c r="AB4" s="112" t="s">
        <v>902</v>
      </c>
      <c r="AC4" s="112">
        <v>449.35</v>
      </c>
      <c r="AD4" s="161">
        <v>-3344</v>
      </c>
      <c r="AE4" s="161">
        <v>0</v>
      </c>
      <c r="AF4" s="165">
        <f t="shared" si="3"/>
        <v>-3.75</v>
      </c>
      <c r="AG4" s="143">
        <f t="shared" si="4"/>
        <v>-3349.2</v>
      </c>
      <c r="AH4" s="140">
        <f t="shared" si="5"/>
        <v>5.1999999999998181</v>
      </c>
      <c r="AI4" s="110">
        <f>VLOOKUP(M4,CurrInfo!$A$43:$O$173,15)</f>
        <v>10851.407999999999</v>
      </c>
    </row>
    <row r="5" spans="1:35"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32.450000000000003</v>
      </c>
      <c r="O5" s="152">
        <f t="shared" si="0"/>
        <v>19470</v>
      </c>
      <c r="P5" s="191">
        <f>VLOOKUP($A5,[3]futuresATR!$A$2:$F$80,4)</f>
        <v>0.67149999999999999</v>
      </c>
      <c r="Q5" s="151">
        <f t="shared" si="1"/>
        <v>402.9</v>
      </c>
      <c r="R5" s="143">
        <f t="shared" si="8"/>
        <v>5</v>
      </c>
      <c r="S5" s="138">
        <f t="shared" si="2"/>
        <v>97350</v>
      </c>
      <c r="T5" s="110">
        <f t="shared" si="9"/>
        <v>5</v>
      </c>
      <c r="U5" s="110">
        <f t="shared" si="6"/>
        <v>70</v>
      </c>
      <c r="V5" s="159">
        <f t="shared" si="7"/>
        <v>5</v>
      </c>
      <c r="W5" s="159">
        <f t="shared" si="10"/>
        <v>2014.5</v>
      </c>
      <c r="X5" t="s">
        <v>899</v>
      </c>
      <c r="Y5">
        <v>11</v>
      </c>
      <c r="Z5">
        <v>31.38</v>
      </c>
      <c r="AA5" s="109">
        <v>-0.01</v>
      </c>
      <c r="AB5" t="s">
        <v>900</v>
      </c>
      <c r="AC5">
        <v>31.37</v>
      </c>
      <c r="AD5" s="108">
        <v>-65</v>
      </c>
      <c r="AE5" s="108">
        <v>0</v>
      </c>
      <c r="AF5" s="165">
        <f t="shared" si="3"/>
        <v>9.9999999999980105E-3</v>
      </c>
      <c r="AG5" s="143">
        <f t="shared" si="4"/>
        <v>65.999999999986869</v>
      </c>
      <c r="AH5" s="140">
        <f t="shared" si="5"/>
        <v>0.99999999998686917</v>
      </c>
      <c r="AI5" s="110">
        <f>VLOOKUP(M5,CurrInfo!$A$43:$O$173,15)</f>
        <v>937</v>
      </c>
    </row>
    <row r="6" spans="1:35"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1.2924</v>
      </c>
      <c r="O6" s="152">
        <f t="shared" si="0"/>
        <v>80775</v>
      </c>
      <c r="P6" s="191">
        <f>VLOOKUP($A6,[3]futuresATR!$A$2:$F$80,4)</f>
        <v>1.3270000000000001E-2</v>
      </c>
      <c r="Q6" s="151">
        <f t="shared" si="1"/>
        <v>829.375</v>
      </c>
      <c r="R6" s="143">
        <f t="shared" si="8"/>
        <v>3</v>
      </c>
      <c r="S6" s="138">
        <f t="shared" si="2"/>
        <v>242325</v>
      </c>
      <c r="T6" s="110">
        <f t="shared" si="9"/>
        <v>3</v>
      </c>
      <c r="U6" s="110">
        <f t="shared" si="6"/>
        <v>42</v>
      </c>
      <c r="V6" s="159">
        <f t="shared" si="7"/>
        <v>3</v>
      </c>
      <c r="W6" s="159">
        <f t="shared" si="10"/>
        <v>2488.125</v>
      </c>
      <c r="X6" t="s">
        <v>899</v>
      </c>
      <c r="Y6">
        <v>3</v>
      </c>
      <c r="Z6">
        <v>1.4574</v>
      </c>
      <c r="AA6" s="109">
        <v>0</v>
      </c>
      <c r="AB6" t="s">
        <v>901</v>
      </c>
      <c r="AC6">
        <v>1.4706999999999999</v>
      </c>
      <c r="AD6" s="108">
        <v>2494</v>
      </c>
      <c r="AE6" s="108">
        <v>0</v>
      </c>
      <c r="AF6" s="165">
        <f t="shared" si="3"/>
        <v>-1.3299999999999867E-2</v>
      </c>
      <c r="AG6" s="143">
        <f t="shared" si="4"/>
        <v>-2493.749999999975</v>
      </c>
      <c r="AH6" s="140">
        <f t="shared" si="5"/>
        <v>-0.2500000000250111</v>
      </c>
      <c r="AI6" s="110">
        <f>VLOOKUP(M6,CurrInfo!$A$43:$O$173,15)</f>
        <v>2963</v>
      </c>
    </row>
    <row r="7" spans="1:35"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333</v>
      </c>
      <c r="O7" s="152">
        <f t="shared" si="0"/>
        <v>16650</v>
      </c>
      <c r="P7" s="191">
        <f>VLOOKUP($A7,[3]futuresATR!$A$2:$F$80,4)</f>
        <v>7.2750000000000004</v>
      </c>
      <c r="Q7" s="151">
        <f t="shared" si="1"/>
        <v>363.75</v>
      </c>
      <c r="R7" s="143">
        <f t="shared" si="8"/>
        <v>6</v>
      </c>
      <c r="S7" s="138">
        <f t="shared" si="2"/>
        <v>99900</v>
      </c>
      <c r="T7" s="110">
        <f t="shared" si="9"/>
        <v>6</v>
      </c>
      <c r="U7" s="110">
        <f t="shared" si="6"/>
        <v>84</v>
      </c>
      <c r="V7" s="159">
        <f t="shared" si="7"/>
        <v>6</v>
      </c>
      <c r="W7" s="159">
        <f t="shared" si="10"/>
        <v>2182.5</v>
      </c>
      <c r="X7" t="s">
        <v>899</v>
      </c>
      <c r="Y7">
        <v>4</v>
      </c>
      <c r="Z7">
        <v>396</v>
      </c>
      <c r="AA7" s="109">
        <v>0.25</v>
      </c>
      <c r="AB7" s="133">
        <v>5.9999999999999995E-4</v>
      </c>
      <c r="AC7" s="134">
        <v>405.25</v>
      </c>
      <c r="AD7" s="108">
        <v>1850</v>
      </c>
      <c r="AE7" s="108">
        <v>0</v>
      </c>
      <c r="AF7" s="165">
        <f t="shared" si="3"/>
        <v>-9.25</v>
      </c>
      <c r="AG7" s="143">
        <f t="shared" si="4"/>
        <v>-1850</v>
      </c>
      <c r="AH7" s="140">
        <f t="shared" si="5"/>
        <v>0</v>
      </c>
      <c r="AI7" s="110">
        <f>VLOOKUP(M7,CurrInfo!$A$43:$O$173,15)</f>
        <v>2250</v>
      </c>
    </row>
    <row r="8" spans="1:35"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2981</v>
      </c>
      <c r="O8" s="152">
        <f t="shared" si="0"/>
        <v>29810</v>
      </c>
      <c r="P8" s="191">
        <f>VLOOKUP($A8,[3]futuresATR!$A$2:$F$80,4)</f>
        <v>63.734642032499998</v>
      </c>
      <c r="Q8" s="151">
        <f t="shared" si="1"/>
        <v>637.34642032499994</v>
      </c>
      <c r="R8" s="143">
        <f t="shared" si="8"/>
        <v>4</v>
      </c>
      <c r="S8" s="138">
        <f t="shared" si="2"/>
        <v>119240</v>
      </c>
      <c r="T8" s="110">
        <f t="shared" si="9"/>
        <v>4</v>
      </c>
      <c r="U8" s="110">
        <f t="shared" si="6"/>
        <v>56</v>
      </c>
      <c r="V8" s="159">
        <f t="shared" si="7"/>
        <v>4</v>
      </c>
      <c r="W8" s="159">
        <f t="shared" si="10"/>
        <v>2549.3856812999998</v>
      </c>
      <c r="X8" t="s">
        <v>898</v>
      </c>
      <c r="Y8">
        <v>3</v>
      </c>
      <c r="Z8">
        <v>2998</v>
      </c>
      <c r="AA8" s="109">
        <v>0</v>
      </c>
      <c r="AB8" t="s">
        <v>902</v>
      </c>
      <c r="AC8">
        <v>2920</v>
      </c>
      <c r="AD8" s="108">
        <v>2330</v>
      </c>
      <c r="AE8" s="108">
        <v>0</v>
      </c>
      <c r="AF8" s="165">
        <f t="shared" si="3"/>
        <v>78</v>
      </c>
      <c r="AG8" s="143">
        <f t="shared" si="4"/>
        <v>2340</v>
      </c>
      <c r="AH8" s="140">
        <f t="shared" si="5"/>
        <v>10</v>
      </c>
      <c r="AI8" s="110">
        <f>VLOOKUP(M8,CurrInfo!$A$43:$O$173,15)</f>
        <v>3000</v>
      </c>
    </row>
    <row r="9" spans="1:35"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0.77215</v>
      </c>
      <c r="O9" s="152">
        <f t="shared" si="0"/>
        <v>77215</v>
      </c>
      <c r="P9" s="191">
        <f>VLOOKUP($A9,[3]futuresATR!$A$2:$F$80,4)</f>
        <v>6.2125000000000001E-3</v>
      </c>
      <c r="Q9" s="151">
        <f t="shared" si="1"/>
        <v>621.25</v>
      </c>
      <c r="R9" s="143">
        <f t="shared" si="8"/>
        <v>4</v>
      </c>
      <c r="S9" s="138">
        <f t="shared" si="2"/>
        <v>308860</v>
      </c>
      <c r="T9" s="110">
        <f t="shared" si="9"/>
        <v>4</v>
      </c>
      <c r="U9" s="110">
        <f t="shared" si="6"/>
        <v>56</v>
      </c>
      <c r="V9" s="159">
        <f t="shared" si="7"/>
        <v>4</v>
      </c>
      <c r="W9" s="159">
        <f t="shared" si="10"/>
        <v>2485</v>
      </c>
      <c r="X9" t="s">
        <v>898</v>
      </c>
      <c r="Y9">
        <v>4</v>
      </c>
      <c r="Z9">
        <v>0.7601</v>
      </c>
      <c r="AA9" s="109">
        <v>0</v>
      </c>
      <c r="AB9" s="133">
        <v>2.7000000000000001E-3</v>
      </c>
      <c r="AC9">
        <v>0.77029999999999998</v>
      </c>
      <c r="AD9" s="108">
        <v>-4079</v>
      </c>
      <c r="AE9" s="108">
        <v>0</v>
      </c>
      <c r="AF9" s="165">
        <f t="shared" si="3"/>
        <v>-1.0199999999999987E-2</v>
      </c>
      <c r="AG9" s="143">
        <f t="shared" si="4"/>
        <v>-4079.9999999999945</v>
      </c>
      <c r="AH9" s="140">
        <f t="shared" si="5"/>
        <v>0.99999999999454303</v>
      </c>
      <c r="AI9" s="110">
        <f>VLOOKUP(M9,CurrInfo!$A$43:$O$173,15)</f>
        <v>2607</v>
      </c>
    </row>
    <row r="10" spans="1:35" ht="15.75" thickBot="1" x14ac:dyDescent="0.3">
      <c r="A10" s="4" t="s">
        <v>307</v>
      </c>
      <c r="B10" s="112" t="s">
        <v>308</v>
      </c>
      <c r="C10" s="154" t="s">
        <v>307</v>
      </c>
      <c r="D10" s="112" t="s">
        <v>264</v>
      </c>
      <c r="E10" s="112" t="s">
        <v>778</v>
      </c>
      <c r="F10" s="112">
        <v>100000</v>
      </c>
      <c r="G10" s="112" t="s">
        <v>487</v>
      </c>
      <c r="H10">
        <f>VLOOKUP(G10,CurrInfo!$E$1:$F$10,2)</f>
        <v>1.2961</v>
      </c>
      <c r="I10" s="144">
        <v>1000</v>
      </c>
      <c r="J10" s="112">
        <v>0.01</v>
      </c>
      <c r="K10" s="112" t="s">
        <v>1122</v>
      </c>
      <c r="L10" s="112" t="s">
        <v>307</v>
      </c>
      <c r="M10" s="145" t="s">
        <v>484</v>
      </c>
      <c r="N10" s="190">
        <f>VLOOKUP($A10,[3]futuresATR!$A$2:$F$80,3)</f>
        <v>148.52000000000001</v>
      </c>
      <c r="O10" s="152">
        <f t="shared" si="0"/>
        <v>114589.92361700485</v>
      </c>
      <c r="P10" s="191">
        <f>VLOOKUP($A10,[3]futuresATR!$A$2:$F$80,4)</f>
        <v>0.64400000000000002</v>
      </c>
      <c r="Q10" s="151">
        <f t="shared" si="1"/>
        <v>496.87524110793919</v>
      </c>
      <c r="R10" s="143">
        <f t="shared" si="8"/>
        <v>5</v>
      </c>
      <c r="S10" s="138">
        <f t="shared" si="2"/>
        <v>572949.6180850243</v>
      </c>
      <c r="T10" s="110">
        <f t="shared" si="9"/>
        <v>5</v>
      </c>
      <c r="U10" s="110">
        <f t="shared" si="6"/>
        <v>70</v>
      </c>
      <c r="V10" s="181">
        <v>0</v>
      </c>
      <c r="W10" s="159">
        <f t="shared" si="10"/>
        <v>0</v>
      </c>
      <c r="X10" s="112"/>
      <c r="Y10" s="112"/>
      <c r="Z10" s="112"/>
      <c r="AA10" s="112"/>
      <c r="AB10" s="112"/>
      <c r="AC10" s="112"/>
      <c r="AD10" s="112"/>
      <c r="AE10" s="112"/>
      <c r="AF10" s="165">
        <f t="shared" si="3"/>
        <v>0</v>
      </c>
      <c r="AG10" s="143">
        <f t="shared" si="4"/>
        <v>0</v>
      </c>
      <c r="AH10" s="140">
        <f t="shared" si="5"/>
        <v>0</v>
      </c>
      <c r="AI10" s="110">
        <f>VLOOKUP(M10,CurrInfo!$A$43:$O$173,15)</f>
        <v>1157.3181081706657</v>
      </c>
    </row>
    <row r="11" spans="1:35"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45.18</v>
      </c>
      <c r="O11" s="152">
        <f t="shared" si="0"/>
        <v>45180</v>
      </c>
      <c r="P11" s="191">
        <f>VLOOKUP($A11,[3]futuresATR!$A$2:$F$80,4)</f>
        <v>1.467817264</v>
      </c>
      <c r="Q11" s="151">
        <f t="shared" si="1"/>
        <v>1467.817264</v>
      </c>
      <c r="R11" s="143">
        <f t="shared" si="8"/>
        <v>2</v>
      </c>
      <c r="S11" s="138">
        <f t="shared" si="2"/>
        <v>90360</v>
      </c>
      <c r="T11" s="110">
        <f t="shared" si="9"/>
        <v>2</v>
      </c>
      <c r="U11" s="110">
        <f t="shared" si="6"/>
        <v>28</v>
      </c>
      <c r="V11" s="159">
        <f t="shared" si="7"/>
        <v>2</v>
      </c>
      <c r="W11" s="159">
        <f t="shared" si="10"/>
        <v>2935.634528</v>
      </c>
      <c r="X11" t="s">
        <v>899</v>
      </c>
      <c r="Y11">
        <v>2</v>
      </c>
      <c r="Z11">
        <v>48.06</v>
      </c>
      <c r="AA11" s="109">
        <v>0.19</v>
      </c>
      <c r="AB11" s="133">
        <v>3.8E-3</v>
      </c>
      <c r="AC11">
        <v>49.88</v>
      </c>
      <c r="AD11" s="108">
        <v>3640</v>
      </c>
      <c r="AE11" s="108">
        <v>0</v>
      </c>
      <c r="AF11" s="165">
        <f t="shared" si="3"/>
        <v>-1.8200000000000003</v>
      </c>
      <c r="AG11" s="143">
        <f t="shared" si="4"/>
        <v>-3640.0000000000005</v>
      </c>
      <c r="AH11" s="140">
        <f t="shared" si="5"/>
        <v>0</v>
      </c>
      <c r="AI11" s="110">
        <f>VLOOKUP(M11,CurrInfo!$A$43:$O$173,15)</f>
        <v>4590</v>
      </c>
    </row>
    <row r="12" spans="1:35"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70.650000000000006</v>
      </c>
      <c r="O12" s="168">
        <f>N12*I12/H12*100</f>
        <v>35325</v>
      </c>
      <c r="P12" s="191">
        <f>VLOOKUP($A12,[3]futuresATR!$A$2:$F$80,4)</f>
        <v>1.78</v>
      </c>
      <c r="Q12" s="156">
        <f>P12*I12/H12*100</f>
        <v>890</v>
      </c>
      <c r="R12" s="143">
        <f t="shared" si="8"/>
        <v>3</v>
      </c>
      <c r="S12" s="138">
        <f t="shared" si="2"/>
        <v>105975</v>
      </c>
      <c r="T12" s="110">
        <f t="shared" si="9"/>
        <v>3</v>
      </c>
      <c r="U12" s="110">
        <f t="shared" si="6"/>
        <v>42</v>
      </c>
      <c r="V12" s="159">
        <f t="shared" si="7"/>
        <v>3</v>
      </c>
      <c r="W12" s="159">
        <f t="shared" si="10"/>
        <v>2670</v>
      </c>
      <c r="X12" t="s">
        <v>899</v>
      </c>
      <c r="Y12">
        <v>7</v>
      </c>
      <c r="Z12">
        <v>6146</v>
      </c>
      <c r="AA12" s="108">
        <v>25</v>
      </c>
      <c r="AB12" s="133">
        <v>4.0000000000000001E-3</v>
      </c>
      <c r="AC12">
        <v>6309</v>
      </c>
      <c r="AD12" s="108">
        <v>5695</v>
      </c>
      <c r="AE12" s="108">
        <v>0</v>
      </c>
      <c r="AF12" s="165">
        <f t="shared" si="3"/>
        <v>-163</v>
      </c>
      <c r="AG12" s="143">
        <f t="shared" si="4"/>
        <v>-5705</v>
      </c>
      <c r="AH12" s="140">
        <f t="shared" si="5"/>
        <v>10</v>
      </c>
      <c r="AI12" s="110">
        <f>VLOOKUP(M12,CurrInfo!$A$43:$O$173,15)</f>
        <v>1501</v>
      </c>
    </row>
    <row r="13" spans="1:35"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1.11775</v>
      </c>
      <c r="O13" s="152">
        <f t="shared" ref="O13:O33" si="11">N13*I13/H13</f>
        <v>139718.75</v>
      </c>
      <c r="P13" s="191">
        <f>VLOOKUP($A13,[3]futuresATR!$A$2:$F$80,4)</f>
        <v>6.9525000000000003E-3</v>
      </c>
      <c r="Q13" s="151">
        <f t="shared" ref="Q13:Q33" si="12">P13*I13/H13</f>
        <v>869.0625</v>
      </c>
      <c r="R13" s="143">
        <f t="shared" si="8"/>
        <v>3</v>
      </c>
      <c r="S13" s="138">
        <f t="shared" si="2"/>
        <v>419156.25</v>
      </c>
      <c r="T13" s="110">
        <f t="shared" si="9"/>
        <v>3</v>
      </c>
      <c r="U13" s="110">
        <f t="shared" si="6"/>
        <v>42</v>
      </c>
      <c r="V13" s="159">
        <f t="shared" si="7"/>
        <v>3</v>
      </c>
      <c r="W13" s="159">
        <f t="shared" si="10"/>
        <v>2607.1875</v>
      </c>
      <c r="X13" t="s">
        <v>898</v>
      </c>
      <c r="Y13">
        <v>1</v>
      </c>
      <c r="Z13">
        <v>1.1213500000000001</v>
      </c>
      <c r="AA13" s="109">
        <v>0</v>
      </c>
      <c r="AB13" s="133">
        <v>2.0999999999999999E-3</v>
      </c>
      <c r="AC13">
        <v>1.11835</v>
      </c>
      <c r="AD13" s="108">
        <v>375</v>
      </c>
      <c r="AE13" s="108">
        <v>0</v>
      </c>
      <c r="AF13" s="165">
        <f t="shared" si="3"/>
        <v>3.0000000000001137E-3</v>
      </c>
      <c r="AG13" s="143">
        <f t="shared" si="4"/>
        <v>375.00000000001421</v>
      </c>
      <c r="AH13" s="140">
        <f t="shared" si="5"/>
        <v>1.4210854715202004E-11</v>
      </c>
      <c r="AI13" s="110">
        <f>VLOOKUP(M13,CurrInfo!$A$43:$O$173,15)</f>
        <v>7264</v>
      </c>
    </row>
    <row r="14" spans="1:35"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95.682000000000002</v>
      </c>
      <c r="O14" s="152">
        <f t="shared" si="11"/>
        <v>95682</v>
      </c>
      <c r="P14" s="191">
        <f>VLOOKUP($A14,[3]futuresATR!$A$2:$F$80,4)</f>
        <v>0.60385</v>
      </c>
      <c r="Q14" s="151">
        <f t="shared" si="12"/>
        <v>603.85</v>
      </c>
      <c r="R14" s="143">
        <f t="shared" si="8"/>
        <v>4</v>
      </c>
      <c r="S14" s="138">
        <f t="shared" si="2"/>
        <v>382728</v>
      </c>
      <c r="T14" s="110">
        <f t="shared" si="9"/>
        <v>4</v>
      </c>
      <c r="U14" s="110">
        <f t="shared" si="6"/>
        <v>56</v>
      </c>
      <c r="V14" s="159">
        <f t="shared" si="7"/>
        <v>4</v>
      </c>
      <c r="W14" s="159">
        <f t="shared" si="10"/>
        <v>2415.4</v>
      </c>
      <c r="X14" t="s">
        <v>899</v>
      </c>
      <c r="Y14">
        <v>3</v>
      </c>
      <c r="Z14">
        <v>95.382000000000005</v>
      </c>
      <c r="AA14" s="109">
        <v>-0.21</v>
      </c>
      <c r="AB14" t="s">
        <v>903</v>
      </c>
      <c r="AC14">
        <v>95.18</v>
      </c>
      <c r="AD14" s="108">
        <v>-604</v>
      </c>
      <c r="AE14" s="108">
        <v>0</v>
      </c>
      <c r="AF14" s="165">
        <f t="shared" si="3"/>
        <v>0.20199999999999818</v>
      </c>
      <c r="AG14" s="143">
        <f t="shared" si="4"/>
        <v>605.99999999999454</v>
      </c>
      <c r="AH14" s="140">
        <f t="shared" si="5"/>
        <v>1.999999999994543</v>
      </c>
      <c r="AI14" s="110">
        <f>VLOOKUP(M14,CurrInfo!$A$43:$O$173,15)</f>
        <v>3701</v>
      </c>
    </row>
    <row r="15" spans="1:35" s="112" customFormat="1" x14ac:dyDescent="0.25">
      <c r="A15" s="4" t="s">
        <v>316</v>
      </c>
      <c r="B15" t="s">
        <v>317</v>
      </c>
      <c r="C15" s="154" t="s">
        <v>316</v>
      </c>
      <c r="D15" t="s">
        <v>526</v>
      </c>
      <c r="E15" t="s">
        <v>778</v>
      </c>
      <c r="F15" t="s">
        <v>798</v>
      </c>
      <c r="G15" t="s">
        <v>469</v>
      </c>
      <c r="H15">
        <f>VLOOKUP(G15,CurrInfo!$E$1:$F$10,2)</f>
        <v>0.8957362952346829</v>
      </c>
      <c r="I15" s="130">
        <v>1000</v>
      </c>
      <c r="J15">
        <v>0.01</v>
      </c>
      <c r="K15" t="s">
        <v>1122</v>
      </c>
      <c r="L15" t="s">
        <v>799</v>
      </c>
      <c r="M15" s="132" t="s">
        <v>562</v>
      </c>
      <c r="N15" s="190">
        <f>VLOOKUP($A15,[3]futuresATR!$A$2:$F$80,3)</f>
        <v>167.78</v>
      </c>
      <c r="O15" s="152">
        <f t="shared" si="11"/>
        <v>187309.592</v>
      </c>
      <c r="P15" s="191">
        <f>VLOOKUP($A15,[3]futuresATR!$A$2:$F$80,4)</f>
        <v>0.67249999999999999</v>
      </c>
      <c r="Q15" s="151">
        <f t="shared" si="12"/>
        <v>750.779</v>
      </c>
      <c r="R15" s="143">
        <f t="shared" si="8"/>
        <v>3</v>
      </c>
      <c r="S15" s="138">
        <f t="shared" si="2"/>
        <v>561928.77600000007</v>
      </c>
      <c r="T15" s="110">
        <f t="shared" si="9"/>
        <v>3</v>
      </c>
      <c r="U15" s="110">
        <f t="shared" si="6"/>
        <v>42</v>
      </c>
      <c r="V15" s="159">
        <f t="shared" si="7"/>
        <v>3</v>
      </c>
      <c r="W15" s="159">
        <f t="shared" si="10"/>
        <v>2252.337</v>
      </c>
      <c r="X15" t="s">
        <v>899</v>
      </c>
      <c r="Y15">
        <v>2</v>
      </c>
      <c r="Z15">
        <v>162.88999999999999</v>
      </c>
      <c r="AA15" s="136">
        <v>0.01</v>
      </c>
      <c r="AB15" s="133">
        <v>1E-4</v>
      </c>
      <c r="AC15">
        <v>162.9</v>
      </c>
      <c r="AD15" s="108">
        <v>22</v>
      </c>
      <c r="AE15" s="108">
        <v>0</v>
      </c>
      <c r="AF15" s="165">
        <f t="shared" si="3"/>
        <v>-1.0000000000019327E-2</v>
      </c>
      <c r="AG15" s="143">
        <f t="shared" si="4"/>
        <v>-22.328000000043154</v>
      </c>
      <c r="AH15" s="140">
        <f t="shared" si="5"/>
        <v>0.32800000004315422</v>
      </c>
      <c r="AI15" s="110">
        <f>VLOOKUP(M15,CurrInfo!$A$43:$O$173,15)</f>
        <v>4326.05</v>
      </c>
    </row>
    <row r="16" spans="1:35" ht="15.75" thickBot="1" x14ac:dyDescent="0.3">
      <c r="A16" s="4" t="s">
        <v>318</v>
      </c>
      <c r="B16" t="s">
        <v>319</v>
      </c>
      <c r="C16" s="154" t="s">
        <v>318</v>
      </c>
      <c r="D16" t="s">
        <v>526</v>
      </c>
      <c r="E16" t="s">
        <v>778</v>
      </c>
      <c r="F16" t="s">
        <v>798</v>
      </c>
      <c r="G16" t="s">
        <v>469</v>
      </c>
      <c r="H16">
        <f>VLOOKUP(G16,CurrInfo!$E$1:$F$10,2)</f>
        <v>0.8957362952346829</v>
      </c>
      <c r="I16" s="130">
        <v>1000</v>
      </c>
      <c r="J16">
        <v>0.01</v>
      </c>
      <c r="K16" t="s">
        <v>1122</v>
      </c>
      <c r="L16" t="s">
        <v>800</v>
      </c>
      <c r="M16" s="132" t="s">
        <v>560</v>
      </c>
      <c r="N16" s="190">
        <f>VLOOKUP($A16,[3]futuresATR!$A$2:$F$80,3)</f>
        <v>133.72</v>
      </c>
      <c r="O16" s="152">
        <f t="shared" si="11"/>
        <v>149285.008</v>
      </c>
      <c r="P16" s="191">
        <f>VLOOKUP($A16,[3]futuresATR!$A$2:$F$80,4)</f>
        <v>0.20699999999999999</v>
      </c>
      <c r="Q16" s="151">
        <f t="shared" si="12"/>
        <v>231.09479999999999</v>
      </c>
      <c r="R16" s="143">
        <f t="shared" si="8"/>
        <v>9</v>
      </c>
      <c r="S16" s="138">
        <f t="shared" si="2"/>
        <v>1343565.0719999999</v>
      </c>
      <c r="T16" s="110">
        <f t="shared" si="9"/>
        <v>9</v>
      </c>
      <c r="U16" s="110">
        <f t="shared" si="6"/>
        <v>126</v>
      </c>
      <c r="V16" s="159">
        <f t="shared" si="7"/>
        <v>9</v>
      </c>
      <c r="W16" s="159">
        <f t="shared" si="10"/>
        <v>2079.8532</v>
      </c>
      <c r="X16" t="s">
        <v>898</v>
      </c>
      <c r="Y16">
        <v>7</v>
      </c>
      <c r="Z16">
        <v>132.27000000000001</v>
      </c>
      <c r="AA16" s="136">
        <v>0.02</v>
      </c>
      <c r="AB16" s="133">
        <v>2.0000000000000001E-4</v>
      </c>
      <c r="AC16">
        <v>132.29</v>
      </c>
      <c r="AD16" s="108">
        <v>-156</v>
      </c>
      <c r="AE16" s="108">
        <v>0</v>
      </c>
      <c r="AF16" s="165">
        <f t="shared" si="3"/>
        <v>-1.999999999998181E-2</v>
      </c>
      <c r="AG16" s="143">
        <f t="shared" si="4"/>
        <v>-156.29599999985786</v>
      </c>
      <c r="AH16" s="140">
        <f t="shared" si="5"/>
        <v>0.2959999998578553</v>
      </c>
      <c r="AI16" s="110">
        <f>VLOOKUP(M16,CurrInfo!$A$43:$O$173,15)</f>
        <v>1479.23</v>
      </c>
    </row>
    <row r="17" spans="1:35" ht="15.75" thickBot="1" x14ac:dyDescent="0.3">
      <c r="A17" s="4" t="s">
        <v>320</v>
      </c>
      <c r="B17" t="s">
        <v>321</v>
      </c>
      <c r="C17" s="154" t="s">
        <v>320</v>
      </c>
      <c r="D17" t="s">
        <v>526</v>
      </c>
      <c r="E17" t="s">
        <v>778</v>
      </c>
      <c r="F17" t="s">
        <v>798</v>
      </c>
      <c r="G17" t="s">
        <v>469</v>
      </c>
      <c r="H17">
        <f>VLOOKUP(G17,CurrInfo!$E$1:$F$10,2)</f>
        <v>0.8957362952346829</v>
      </c>
      <c r="I17" s="130">
        <v>1000</v>
      </c>
      <c r="J17">
        <v>1E-3</v>
      </c>
      <c r="K17" t="s">
        <v>1122</v>
      </c>
      <c r="L17" t="s">
        <v>801</v>
      </c>
      <c r="M17" s="132" t="s">
        <v>564</v>
      </c>
      <c r="N17" s="190">
        <f>VLOOKUP($A17,[3]futuresATR!$A$2:$F$80,3)</f>
        <v>112.02</v>
      </c>
      <c r="O17" s="152">
        <f t="shared" si="11"/>
        <v>125059.128</v>
      </c>
      <c r="P17" s="191">
        <f>VLOOKUP($A17,[3]futuresATR!$A$2:$F$80,4)</f>
        <v>4.1250000000000002E-2</v>
      </c>
      <c r="Q17" s="151">
        <f t="shared" si="12"/>
        <v>46.051499999999997</v>
      </c>
      <c r="R17" s="143">
        <f t="shared" si="8"/>
        <v>44</v>
      </c>
      <c r="S17" s="138">
        <f t="shared" si="2"/>
        <v>5502601.6320000002</v>
      </c>
      <c r="T17" s="110">
        <f t="shared" si="9"/>
        <v>44</v>
      </c>
      <c r="U17" s="110">
        <f t="shared" si="6"/>
        <v>616</v>
      </c>
      <c r="V17" s="181">
        <v>0</v>
      </c>
      <c r="W17" s="159">
        <f t="shared" si="10"/>
        <v>0</v>
      </c>
      <c r="X17" t="s">
        <v>898</v>
      </c>
      <c r="Y17">
        <v>18</v>
      </c>
      <c r="Z17">
        <v>111.76</v>
      </c>
      <c r="AA17" s="136">
        <v>0.02</v>
      </c>
      <c r="AB17" s="133">
        <v>1E-4</v>
      </c>
      <c r="AC17">
        <v>111.78</v>
      </c>
      <c r="AD17" s="108">
        <v>-407</v>
      </c>
      <c r="AE17" s="108">
        <v>0</v>
      </c>
      <c r="AF17" s="165">
        <f t="shared" si="3"/>
        <v>-1.9999999999996021E-2</v>
      </c>
      <c r="AG17" s="143">
        <f t="shared" si="4"/>
        <v>-401.90399999992002</v>
      </c>
      <c r="AH17" s="140">
        <f t="shared" si="5"/>
        <v>-5.0960000000799823</v>
      </c>
      <c r="AI17" s="110">
        <f>VLOOKUP(M17,CurrInfo!$A$43:$O$173,15)</f>
        <v>543.68680000000006</v>
      </c>
    </row>
    <row r="18" spans="1:35"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99.114999999999995</v>
      </c>
      <c r="O18" s="152">
        <f t="shared" si="11"/>
        <v>247787.5</v>
      </c>
      <c r="P18" s="191">
        <f>VLOOKUP($A18,[3]futuresATR!$A$2:$F$80,4)</f>
        <v>3.6999999999999998E-2</v>
      </c>
      <c r="Q18" s="151">
        <f t="shared" si="12"/>
        <v>92.5</v>
      </c>
      <c r="R18" s="143">
        <f t="shared" si="8"/>
        <v>22</v>
      </c>
      <c r="S18" s="138">
        <f t="shared" si="2"/>
        <v>5451325</v>
      </c>
      <c r="T18" s="110">
        <f t="shared" si="9"/>
        <v>22</v>
      </c>
      <c r="U18" s="110">
        <f t="shared" si="6"/>
        <v>308</v>
      </c>
      <c r="V18" s="180">
        <v>0</v>
      </c>
      <c r="W18" s="159">
        <f t="shared" si="10"/>
        <v>0</v>
      </c>
      <c r="X18" t="s">
        <v>899</v>
      </c>
      <c r="Y18">
        <v>21</v>
      </c>
      <c r="Z18">
        <v>99.275000000000006</v>
      </c>
      <c r="AA18" s="109">
        <v>-0.01</v>
      </c>
      <c r="AB18" t="s">
        <v>905</v>
      </c>
      <c r="AC18">
        <v>99.28</v>
      </c>
      <c r="AD18" s="108">
        <v>263</v>
      </c>
      <c r="AE18" s="108">
        <v>0</v>
      </c>
      <c r="AF18" s="165">
        <f t="shared" si="3"/>
        <v>-4.9999999999954525E-3</v>
      </c>
      <c r="AG18" s="143">
        <f t="shared" si="4"/>
        <v>-262.49999999976126</v>
      </c>
      <c r="AH18" s="140">
        <f t="shared" si="5"/>
        <v>-0.50000000023874236</v>
      </c>
      <c r="AI18" s="110">
        <f>VLOOKUP(M18,CurrInfo!$A$43:$O$173,15)</f>
        <v>481</v>
      </c>
    </row>
    <row r="19" spans="1:35"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1555.6</v>
      </c>
      <c r="O19" s="152">
        <f t="shared" si="11"/>
        <v>155560</v>
      </c>
      <c r="P19" s="191">
        <f>VLOOKUP($A19,[3]futuresATR!$A$2:$F$80,4)</f>
        <v>12.68</v>
      </c>
      <c r="Q19" s="151">
        <f t="shared" si="12"/>
        <v>1268</v>
      </c>
      <c r="R19" s="143">
        <f t="shared" si="8"/>
        <v>2</v>
      </c>
      <c r="S19" s="138">
        <f t="shared" si="2"/>
        <v>311120</v>
      </c>
      <c r="T19" s="110">
        <f t="shared" si="9"/>
        <v>2</v>
      </c>
      <c r="U19" s="110">
        <f t="shared" si="6"/>
        <v>28</v>
      </c>
      <c r="V19" s="159">
        <f t="shared" si="7"/>
        <v>2</v>
      </c>
      <c r="W19" s="159">
        <f t="shared" si="10"/>
        <v>2536</v>
      </c>
      <c r="X19" t="s">
        <v>898</v>
      </c>
      <c r="Y19">
        <v>1</v>
      </c>
      <c r="Z19">
        <v>1445.2</v>
      </c>
      <c r="AA19" s="109">
        <v>-1.3</v>
      </c>
      <c r="AB19" t="s">
        <v>904</v>
      </c>
      <c r="AC19">
        <v>1478.1</v>
      </c>
      <c r="AD19" s="108">
        <v>-3289</v>
      </c>
      <c r="AE19" s="108">
        <v>0</v>
      </c>
      <c r="AF19" s="165">
        <f t="shared" si="3"/>
        <v>-32.899999999999864</v>
      </c>
      <c r="AG19" s="143">
        <f t="shared" si="4"/>
        <v>-3289.9999999999864</v>
      </c>
      <c r="AH19" s="140">
        <f t="shared" si="5"/>
        <v>0.99999999998635758</v>
      </c>
      <c r="AI19" s="110">
        <f>VLOOKUP(M19,CurrInfo!$A$43:$O$173,15)</f>
        <v>7125</v>
      </c>
    </row>
    <row r="20" spans="1:35"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2180.25</v>
      </c>
      <c r="O20" s="152">
        <f t="shared" si="11"/>
        <v>109012.5</v>
      </c>
      <c r="P20" s="191">
        <f>VLOOKUP($A20,[3]futuresATR!$A$2:$F$80,4)</f>
        <v>13.925000000000001</v>
      </c>
      <c r="Q20" s="151">
        <f t="shared" si="12"/>
        <v>696.25</v>
      </c>
      <c r="R20" s="143">
        <f t="shared" si="8"/>
        <v>3</v>
      </c>
      <c r="S20" s="138">
        <f t="shared" si="2"/>
        <v>327037.5</v>
      </c>
      <c r="T20" s="110">
        <f t="shared" si="9"/>
        <v>3</v>
      </c>
      <c r="U20" s="110">
        <f t="shared" si="6"/>
        <v>42</v>
      </c>
      <c r="V20" s="159">
        <f t="shared" si="7"/>
        <v>3</v>
      </c>
      <c r="W20" s="159">
        <f t="shared" si="10"/>
        <v>2088.75</v>
      </c>
      <c r="X20" t="s">
        <v>898</v>
      </c>
      <c r="Y20">
        <v>2</v>
      </c>
      <c r="Z20">
        <v>2086.25</v>
      </c>
      <c r="AA20" s="109">
        <v>-0.5</v>
      </c>
      <c r="AB20" t="s">
        <v>901</v>
      </c>
      <c r="AC20">
        <v>2085.75</v>
      </c>
      <c r="AD20" s="108">
        <v>50</v>
      </c>
      <c r="AE20" s="108">
        <v>0</v>
      </c>
      <c r="AF20" s="165">
        <f t="shared" si="3"/>
        <v>0.5</v>
      </c>
      <c r="AG20" s="143">
        <f t="shared" si="4"/>
        <v>50</v>
      </c>
      <c r="AH20" s="140">
        <f t="shared" si="5"/>
        <v>0</v>
      </c>
      <c r="AI20" s="110">
        <f>VLOOKUP(M20,CurrInfo!$A$43:$O$173,15)</f>
        <v>5250</v>
      </c>
    </row>
    <row r="21" spans="1:35"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144.25</v>
      </c>
      <c r="O21" s="152">
        <f t="shared" si="11"/>
        <v>72125</v>
      </c>
      <c r="P21" s="191">
        <f>VLOOKUP($A21,[3]futuresATR!$A$2:$F$80,4)</f>
        <v>2.9073486355</v>
      </c>
      <c r="Q21" s="151">
        <f t="shared" si="12"/>
        <v>1453.67431775</v>
      </c>
      <c r="R21" s="143">
        <f t="shared" si="8"/>
        <v>2</v>
      </c>
      <c r="S21" s="138">
        <f t="shared" si="2"/>
        <v>144250</v>
      </c>
      <c r="T21" s="110">
        <f t="shared" si="9"/>
        <v>2</v>
      </c>
      <c r="U21" s="110">
        <f t="shared" si="6"/>
        <v>28</v>
      </c>
      <c r="V21" s="159">
        <f t="shared" si="7"/>
        <v>2</v>
      </c>
      <c r="W21" s="159">
        <f t="shared" si="10"/>
        <v>2907.3486355</v>
      </c>
      <c r="X21" t="s">
        <v>898</v>
      </c>
      <c r="Y21">
        <v>2</v>
      </c>
      <c r="Z21">
        <v>142.44999999999999</v>
      </c>
      <c r="AA21" s="109">
        <v>0</v>
      </c>
      <c r="AB21" t="s">
        <v>902</v>
      </c>
      <c r="AC21">
        <v>142.69999999999999</v>
      </c>
      <c r="AD21" s="108">
        <v>-249</v>
      </c>
      <c r="AE21" s="108">
        <v>0</v>
      </c>
      <c r="AF21" s="165">
        <f t="shared" si="3"/>
        <v>-0.25</v>
      </c>
      <c r="AG21" s="143">
        <f t="shared" si="4"/>
        <v>-250</v>
      </c>
      <c r="AH21" s="140">
        <f t="shared" si="5"/>
        <v>1</v>
      </c>
      <c r="AI21" s="110">
        <f>VLOOKUP(M21,CurrInfo!$A$43:$O$173,15)</f>
        <v>4218</v>
      </c>
    </row>
    <row r="22" spans="1:35" x14ac:dyDescent="0.25">
      <c r="A22" s="4" t="s">
        <v>331</v>
      </c>
      <c r="B22" t="s">
        <v>332</v>
      </c>
      <c r="C22" s="154" t="s">
        <v>331</v>
      </c>
      <c r="D22" t="s">
        <v>809</v>
      </c>
      <c r="E22" t="s">
        <v>778</v>
      </c>
      <c r="F22" t="s">
        <v>810</v>
      </c>
      <c r="G22" t="s">
        <v>469</v>
      </c>
      <c r="H22">
        <f>VLOOKUP(G22,CurrInfo!$E$1:$F$10,2)</f>
        <v>0.8957362952346829</v>
      </c>
      <c r="I22">
        <v>10</v>
      </c>
      <c r="J22">
        <v>0.1</v>
      </c>
      <c r="K22" t="s">
        <v>294</v>
      </c>
      <c r="L22" t="s">
        <v>482</v>
      </c>
      <c r="M22" s="132" t="s">
        <v>481</v>
      </c>
      <c r="N22" s="190">
        <f>VLOOKUP($A22,[3]futuresATR!$A$2:$F$80,3)</f>
        <v>4500.5</v>
      </c>
      <c r="O22" s="152">
        <f t="shared" si="11"/>
        <v>50243.582000000002</v>
      </c>
      <c r="P22" s="191">
        <f>VLOOKUP($A22,[3]futuresATR!$A$2:$F$80,4)</f>
        <v>53.6</v>
      </c>
      <c r="Q22" s="151">
        <f t="shared" si="12"/>
        <v>598.3904</v>
      </c>
      <c r="R22" s="143">
        <f t="shared" si="8"/>
        <v>4</v>
      </c>
      <c r="S22" s="138">
        <f t="shared" si="2"/>
        <v>200974.32800000001</v>
      </c>
      <c r="T22" s="110">
        <f t="shared" si="9"/>
        <v>4</v>
      </c>
      <c r="U22" s="110">
        <f t="shared" si="6"/>
        <v>56</v>
      </c>
      <c r="V22" s="159">
        <f t="shared" si="7"/>
        <v>4</v>
      </c>
      <c r="W22" s="159">
        <f t="shared" si="10"/>
        <v>2393.5616</v>
      </c>
      <c r="X22" t="s">
        <v>898</v>
      </c>
      <c r="Y22">
        <v>16</v>
      </c>
      <c r="Z22">
        <v>4440.5</v>
      </c>
      <c r="AA22" s="136">
        <v>-2</v>
      </c>
      <c r="AB22" t="s">
        <v>908</v>
      </c>
      <c r="AC22">
        <v>4438.5</v>
      </c>
      <c r="AD22" s="108">
        <v>358</v>
      </c>
      <c r="AE22" s="108">
        <v>0</v>
      </c>
      <c r="AF22" s="165">
        <f t="shared" si="3"/>
        <v>2</v>
      </c>
      <c r="AG22" s="143">
        <f t="shared" si="4"/>
        <v>357.24799999999999</v>
      </c>
      <c r="AH22" s="140">
        <f t="shared" si="5"/>
        <v>-0.75200000000000955</v>
      </c>
      <c r="AI22" s="110">
        <f>VLOOKUP(M22,CurrInfo!$A$43:$O$173,15)</f>
        <v>611.78719999999998</v>
      </c>
    </row>
    <row r="23" spans="1:35" ht="15.75" thickBot="1" x14ac:dyDescent="0.3">
      <c r="A23" s="4" t="s">
        <v>333</v>
      </c>
      <c r="B23" s="178" t="s">
        <v>1103</v>
      </c>
      <c r="C23" s="154" t="s">
        <v>333</v>
      </c>
      <c r="D23" t="s">
        <v>526</v>
      </c>
      <c r="E23" t="s">
        <v>778</v>
      </c>
      <c r="F23" t="s">
        <v>1104</v>
      </c>
      <c r="G23" t="s">
        <v>469</v>
      </c>
      <c r="H23">
        <f>VLOOKUP(G23,CurrInfo!$E$1:$F$10,2)</f>
        <v>0.8957362952346829</v>
      </c>
      <c r="I23">
        <v>5</v>
      </c>
      <c r="J23">
        <v>0.1</v>
      </c>
      <c r="K23" t="s">
        <v>294</v>
      </c>
      <c r="L23" t="s">
        <v>812</v>
      </c>
      <c r="M23" s="132" t="s">
        <v>663</v>
      </c>
      <c r="N23" s="190">
        <f>VLOOKUP($A23,[3]futuresATR!$A$2:$F$80,3)</f>
        <v>10717</v>
      </c>
      <c r="O23" s="152">
        <f t="shared" si="11"/>
        <v>59822.294000000002</v>
      </c>
      <c r="P23" s="191">
        <f>VLOOKUP($A23,[3]futuresATR!$A$2:$F$80,4)</f>
        <v>131.85</v>
      </c>
      <c r="Q23" s="151">
        <f t="shared" si="12"/>
        <v>735.98670000000004</v>
      </c>
      <c r="R23" s="143">
        <f t="shared" si="8"/>
        <v>3</v>
      </c>
      <c r="S23" s="138">
        <f t="shared" si="2"/>
        <v>179466.88200000001</v>
      </c>
      <c r="T23" s="110">
        <f t="shared" si="9"/>
        <v>3</v>
      </c>
      <c r="U23" s="110">
        <f t="shared" si="6"/>
        <v>42</v>
      </c>
      <c r="V23" s="159">
        <f t="shared" si="7"/>
        <v>3</v>
      </c>
      <c r="W23" s="159">
        <f t="shared" si="10"/>
        <v>2207.9601000000002</v>
      </c>
      <c r="X23" t="s">
        <v>898</v>
      </c>
      <c r="Y23">
        <v>1</v>
      </c>
      <c r="Z23">
        <v>10177</v>
      </c>
      <c r="AA23" s="136">
        <v>0</v>
      </c>
      <c r="AB23" s="139" t="s">
        <v>902</v>
      </c>
      <c r="AC23">
        <v>10255</v>
      </c>
      <c r="AD23" s="108">
        <v>-2174</v>
      </c>
      <c r="AE23" s="108">
        <v>0</v>
      </c>
      <c r="AF23" s="165">
        <f t="shared" si="3"/>
        <v>-78</v>
      </c>
      <c r="AG23" s="143">
        <f t="shared" si="4"/>
        <v>-435.39600000000002</v>
      </c>
      <c r="AH23" s="140">
        <f t="shared" si="5"/>
        <v>-1738.604</v>
      </c>
      <c r="AI23" s="110">
        <f>VLOOKUP(M23,CurrInfo!$A$43:$O$173,15)</f>
        <v>5805.28</v>
      </c>
    </row>
    <row r="24" spans="1:35" s="1" customFormat="1" ht="15.75" thickBot="1" x14ac:dyDescent="0.3">
      <c r="A24" s="4" t="s">
        <v>335</v>
      </c>
      <c r="B24" s="112" t="s">
        <v>336</v>
      </c>
      <c r="C24" s="154" t="s">
        <v>335</v>
      </c>
      <c r="D24" s="112" t="s">
        <v>809</v>
      </c>
      <c r="E24" s="112" t="s">
        <v>778</v>
      </c>
      <c r="F24" s="112" t="s">
        <v>813</v>
      </c>
      <c r="G24" s="112" t="s">
        <v>469</v>
      </c>
      <c r="H24">
        <f>VLOOKUP(G24,CurrInfo!$E$1:$F$10,2)</f>
        <v>0.8957362952346829</v>
      </c>
      <c r="I24" s="144">
        <v>2500</v>
      </c>
      <c r="J24" s="112">
        <v>1E-3</v>
      </c>
      <c r="K24" s="112" t="s">
        <v>1122</v>
      </c>
      <c r="L24" s="112" t="s">
        <v>814</v>
      </c>
      <c r="M24" s="145" t="s">
        <v>568</v>
      </c>
      <c r="N24" s="190">
        <f>VLOOKUP($A24,[3]futuresATR!$A$2:$F$80,3)</f>
        <v>100.34</v>
      </c>
      <c r="O24" s="152">
        <f t="shared" si="11"/>
        <v>280048.94</v>
      </c>
      <c r="P24" s="191">
        <f>VLOOKUP($A24,[3]futuresATR!$A$2:$F$80,4)</f>
        <v>9.4999999999999998E-3</v>
      </c>
      <c r="Q24" s="151">
        <f t="shared" si="12"/>
        <v>26.514500000000002</v>
      </c>
      <c r="R24" s="143">
        <f t="shared" si="8"/>
        <v>76</v>
      </c>
      <c r="S24" s="138">
        <f t="shared" si="2"/>
        <v>21283719.440000001</v>
      </c>
      <c r="T24" s="110">
        <f t="shared" si="9"/>
        <v>76</v>
      </c>
      <c r="U24" s="110">
        <f t="shared" si="6"/>
        <v>1064</v>
      </c>
      <c r="V24" s="181">
        <v>0</v>
      </c>
      <c r="W24" s="159">
        <f t="shared" si="10"/>
        <v>0</v>
      </c>
      <c r="X24" s="112" t="s">
        <v>899</v>
      </c>
      <c r="Y24" s="112">
        <v>50</v>
      </c>
      <c r="Z24" s="112">
        <v>100.295</v>
      </c>
      <c r="AA24" s="112"/>
      <c r="AB24" s="112"/>
      <c r="AC24" s="112">
        <v>100.28</v>
      </c>
      <c r="AD24" s="108">
        <f>-2800+50*7*2</f>
        <v>-2100</v>
      </c>
      <c r="AE24" s="112"/>
      <c r="AF24" s="165">
        <f t="shared" si="3"/>
        <v>1.5000000000000568E-2</v>
      </c>
      <c r="AG24" s="143">
        <f t="shared" si="4"/>
        <v>2093.2500000000791</v>
      </c>
      <c r="AH24" s="140">
        <f t="shared" si="5"/>
        <v>-6.749999999920874</v>
      </c>
      <c r="AI24" s="110">
        <f>VLOOKUP(M24,CurrInfo!$A$43:$O$173,15)</f>
        <v>418.65</v>
      </c>
    </row>
    <row r="25" spans="1:35" x14ac:dyDescent="0.25">
      <c r="A25" s="4" t="s">
        <v>337</v>
      </c>
      <c r="B25" s="112" t="s">
        <v>338</v>
      </c>
      <c r="C25" s="154" t="s">
        <v>337</v>
      </c>
      <c r="D25" s="112" t="s">
        <v>809</v>
      </c>
      <c r="E25" s="112" t="s">
        <v>778</v>
      </c>
      <c r="F25" s="112" t="s">
        <v>815</v>
      </c>
      <c r="G25" s="112" t="s">
        <v>456</v>
      </c>
      <c r="H25">
        <f>VLOOKUP(G25,CurrInfo!$E$1:$F$10,2)</f>
        <v>0.77495350278983266</v>
      </c>
      <c r="I25" s="112">
        <v>10</v>
      </c>
      <c r="J25" s="112">
        <v>0.1</v>
      </c>
      <c r="K25" s="112" t="s">
        <v>294</v>
      </c>
      <c r="L25" s="112" t="s">
        <v>816</v>
      </c>
      <c r="M25" s="145" t="s">
        <v>591</v>
      </c>
      <c r="N25" s="190">
        <f>VLOOKUP($A25,[3]futuresATR!$A$2:$F$80,3)</f>
        <v>6911.5</v>
      </c>
      <c r="O25" s="152">
        <f t="shared" si="11"/>
        <v>89185.995999999999</v>
      </c>
      <c r="P25" s="191">
        <f>VLOOKUP($A25,[3]futuresATR!$A$2:$F$80,4)</f>
        <v>62.575000000000003</v>
      </c>
      <c r="Q25" s="151">
        <f t="shared" si="12"/>
        <v>807.4677999999999</v>
      </c>
      <c r="R25" s="143">
        <f t="shared" si="8"/>
        <v>3</v>
      </c>
      <c r="S25" s="138">
        <f t="shared" si="2"/>
        <v>267557.98800000001</v>
      </c>
      <c r="T25" s="110">
        <f t="shared" si="9"/>
        <v>3</v>
      </c>
      <c r="U25" s="110">
        <f t="shared" si="6"/>
        <v>42</v>
      </c>
      <c r="V25" s="159">
        <f t="shared" si="7"/>
        <v>3</v>
      </c>
      <c r="W25" s="159">
        <f t="shared" si="10"/>
        <v>2422.4033999999997</v>
      </c>
      <c r="X25" s="112" t="s">
        <v>898</v>
      </c>
      <c r="Y25" s="112">
        <v>3</v>
      </c>
      <c r="Z25" s="112">
        <v>6187</v>
      </c>
      <c r="AA25" s="112" t="s">
        <v>1061</v>
      </c>
      <c r="AB25" s="112" t="s">
        <v>902</v>
      </c>
      <c r="AC25" s="112">
        <v>6211.5</v>
      </c>
      <c r="AD25" s="161">
        <v>-1058</v>
      </c>
      <c r="AE25" s="161">
        <v>0</v>
      </c>
      <c r="AF25" s="165">
        <f t="shared" si="3"/>
        <v>-24.5</v>
      </c>
      <c r="AG25" s="143">
        <f t="shared" si="4"/>
        <v>-948.44399999999996</v>
      </c>
      <c r="AH25" s="140">
        <f t="shared" si="5"/>
        <v>-109.55600000000004</v>
      </c>
      <c r="AI25" s="110">
        <f>VLOOKUP(M25,CurrInfo!$A$43:$O$173,15)</f>
        <v>5499.6848</v>
      </c>
    </row>
    <row r="26" spans="1:35" ht="15.75" thickBot="1" x14ac:dyDescent="0.3">
      <c r="A26" s="4" t="s">
        <v>339</v>
      </c>
      <c r="B26" s="112" t="s">
        <v>340</v>
      </c>
      <c r="C26" s="154" t="s">
        <v>339</v>
      </c>
      <c r="D26" s="112" t="s">
        <v>809</v>
      </c>
      <c r="E26" s="112" t="s">
        <v>778</v>
      </c>
      <c r="F26" s="112" t="s">
        <v>817</v>
      </c>
      <c r="G26" s="112" t="s">
        <v>456</v>
      </c>
      <c r="H26">
        <f>VLOOKUP(G26,CurrInfo!$E$1:$F$10,2)</f>
        <v>0.77495350278983266</v>
      </c>
      <c r="I26" s="144">
        <v>1000</v>
      </c>
      <c r="J26" s="112">
        <v>0.01</v>
      </c>
      <c r="K26" s="112" t="s">
        <v>1122</v>
      </c>
      <c r="L26" s="112" t="s">
        <v>818</v>
      </c>
      <c r="M26" s="145" t="s">
        <v>596</v>
      </c>
      <c r="N26" s="190">
        <f>VLOOKUP($A26,[3]futuresATR!$A$2:$F$80,3)</f>
        <v>132.80000000000001</v>
      </c>
      <c r="O26" s="152">
        <f t="shared" si="11"/>
        <v>171365.12</v>
      </c>
      <c r="P26" s="191">
        <f>VLOOKUP($A26,[3]futuresATR!$A$2:$F$80,4)</f>
        <v>0.71199999999999997</v>
      </c>
      <c r="Q26" s="151">
        <f t="shared" si="12"/>
        <v>918.76479999999992</v>
      </c>
      <c r="R26" s="143">
        <f t="shared" si="8"/>
        <v>3</v>
      </c>
      <c r="S26" s="138">
        <f t="shared" si="2"/>
        <v>514095.35999999999</v>
      </c>
      <c r="T26" s="110">
        <f t="shared" si="9"/>
        <v>3</v>
      </c>
      <c r="U26" s="110">
        <f t="shared" si="6"/>
        <v>42</v>
      </c>
      <c r="V26" s="159">
        <f t="shared" si="7"/>
        <v>3</v>
      </c>
      <c r="W26" s="159">
        <f t="shared" si="10"/>
        <v>2756.2943999999998</v>
      </c>
      <c r="X26" s="112" t="s">
        <v>899</v>
      </c>
      <c r="Y26" s="112">
        <v>3</v>
      </c>
      <c r="Z26" s="112">
        <v>123.47</v>
      </c>
      <c r="AA26" s="112" t="s">
        <v>1061</v>
      </c>
      <c r="AB26" s="112" t="s">
        <v>902</v>
      </c>
      <c r="AC26" s="112">
        <v>123.83</v>
      </c>
      <c r="AD26" s="161">
        <v>1557</v>
      </c>
      <c r="AE26" s="161">
        <v>0</v>
      </c>
      <c r="AF26" s="165">
        <f t="shared" si="3"/>
        <v>-0.35999999999999943</v>
      </c>
      <c r="AG26" s="143">
        <f t="shared" si="4"/>
        <v>-1393.6319999999976</v>
      </c>
      <c r="AH26" s="140">
        <f t="shared" si="5"/>
        <v>-163.36800000000244</v>
      </c>
      <c r="AI26" s="110">
        <f>VLOOKUP(M26,CurrInfo!$A$43:$O$173,15)</f>
        <v>5080.3047999999999</v>
      </c>
    </row>
    <row r="27" spans="1:35" ht="15.75" thickBot="1" x14ac:dyDescent="0.3">
      <c r="A27" s="4" t="s">
        <v>341</v>
      </c>
      <c r="B27" s="112" t="s">
        <v>342</v>
      </c>
      <c r="C27" s="154" t="s">
        <v>341</v>
      </c>
      <c r="D27" s="112" t="s">
        <v>809</v>
      </c>
      <c r="E27" s="112" t="s">
        <v>778</v>
      </c>
      <c r="F27" s="112" t="s">
        <v>819</v>
      </c>
      <c r="G27" s="112" t="s">
        <v>456</v>
      </c>
      <c r="H27">
        <f>VLOOKUP(G27,CurrInfo!$E$1:$F$10,2)</f>
        <v>0.77495350278983266</v>
      </c>
      <c r="I27" s="144">
        <v>1250</v>
      </c>
      <c r="J27" s="112">
        <v>0.01</v>
      </c>
      <c r="K27" s="112" t="s">
        <v>1122</v>
      </c>
      <c r="L27" s="112" t="s">
        <v>820</v>
      </c>
      <c r="M27" s="145" t="s">
        <v>453</v>
      </c>
      <c r="N27" s="190">
        <f>VLOOKUP($A27,[3]futuresATR!$A$2:$F$80,3)</f>
        <v>99.75</v>
      </c>
      <c r="O27" s="152">
        <f t="shared" si="11"/>
        <v>160896.75</v>
      </c>
      <c r="P27" s="191">
        <f>VLOOKUP($A27,[3]futuresATR!$A$2:$F$80,4)</f>
        <v>2.8000000000000001E-2</v>
      </c>
      <c r="Q27" s="151">
        <f t="shared" si="12"/>
        <v>45.163999999999994</v>
      </c>
      <c r="R27" s="143">
        <f t="shared" si="8"/>
        <v>45</v>
      </c>
      <c r="S27" s="138">
        <f t="shared" si="2"/>
        <v>7240353.75</v>
      </c>
      <c r="T27" s="110">
        <f t="shared" si="9"/>
        <v>45</v>
      </c>
      <c r="U27" s="110">
        <f t="shared" si="6"/>
        <v>630</v>
      </c>
      <c r="V27" s="181">
        <v>0</v>
      </c>
      <c r="W27" s="159">
        <f t="shared" si="10"/>
        <v>0</v>
      </c>
      <c r="X27" s="112" t="s">
        <v>899</v>
      </c>
      <c r="Y27" s="112">
        <v>50</v>
      </c>
      <c r="Z27" s="112">
        <v>99.42</v>
      </c>
      <c r="AA27" s="112"/>
      <c r="AB27" s="112"/>
      <c r="AC27" s="112">
        <v>99.41</v>
      </c>
      <c r="AD27" s="108">
        <f>-1601+7*2*50</f>
        <v>-901</v>
      </c>
      <c r="AE27" s="112"/>
      <c r="AF27" s="165">
        <f t="shared" si="3"/>
        <v>1.0000000000005116E-2</v>
      </c>
      <c r="AG27" s="143">
        <f t="shared" si="4"/>
        <v>806.50000000041246</v>
      </c>
      <c r="AH27" s="140">
        <f t="shared" si="5"/>
        <v>-94.499999999587544</v>
      </c>
      <c r="AI27" s="110">
        <f>VLOOKUP(M27,CurrInfo!$A$43:$O$173,15)</f>
        <v>396.15279999999996</v>
      </c>
    </row>
    <row r="28" spans="1:35"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121.6953125</v>
      </c>
      <c r="O28" s="152">
        <f t="shared" si="11"/>
        <v>121695.3125</v>
      </c>
      <c r="P28" s="191">
        <f>VLOOKUP($A28,[3]futuresATR!$A$2:$F$80,4)</f>
        <v>0.32343749999999999</v>
      </c>
      <c r="Q28" s="151">
        <f t="shared" si="12"/>
        <v>323.4375</v>
      </c>
      <c r="R28" s="143">
        <f t="shared" si="8"/>
        <v>7</v>
      </c>
      <c r="S28" s="138">
        <f t="shared" si="2"/>
        <v>851867.1875</v>
      </c>
      <c r="T28" s="110">
        <f t="shared" si="9"/>
        <v>7</v>
      </c>
      <c r="U28" s="110">
        <f t="shared" si="6"/>
        <v>98</v>
      </c>
      <c r="V28" s="159">
        <f t="shared" si="7"/>
        <v>7</v>
      </c>
      <c r="W28" s="159">
        <f t="shared" si="10"/>
        <v>2264.0625</v>
      </c>
      <c r="X28" t="s">
        <v>899</v>
      </c>
      <c r="Y28">
        <v>10</v>
      </c>
      <c r="Z28">
        <v>120</v>
      </c>
      <c r="AA28" s="109">
        <v>0.01</v>
      </c>
      <c r="AB28" s="133">
        <v>1E-4</v>
      </c>
      <c r="AC28" s="135">
        <v>120.015625</v>
      </c>
      <c r="AD28" s="108">
        <v>78</v>
      </c>
      <c r="AE28" s="108">
        <v>0</v>
      </c>
      <c r="AF28" s="165">
        <f t="shared" si="3"/>
        <v>-1.5625E-2</v>
      </c>
      <c r="AG28" s="143">
        <f t="shared" si="4"/>
        <v>-156.25</v>
      </c>
      <c r="AH28" s="140">
        <f t="shared" si="5"/>
        <v>78.25</v>
      </c>
      <c r="AI28" s="110">
        <f>VLOOKUP(M28,CurrInfo!$A$43:$O$173,15)</f>
        <v>1000</v>
      </c>
    </row>
    <row r="29" spans="1:35"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1343.2</v>
      </c>
      <c r="O29" s="152">
        <f t="shared" si="11"/>
        <v>134320</v>
      </c>
      <c r="P29" s="191">
        <f>VLOOKUP($A29,[3]futuresATR!$A$2:$F$80,4)</f>
        <v>16.991562333499999</v>
      </c>
      <c r="Q29" s="151">
        <f t="shared" si="12"/>
        <v>1699.1562333499999</v>
      </c>
      <c r="R29" s="143">
        <f t="shared" si="8"/>
        <v>2</v>
      </c>
      <c r="S29" s="138">
        <f t="shared" si="2"/>
        <v>268640</v>
      </c>
      <c r="T29" s="110">
        <f t="shared" si="9"/>
        <v>2</v>
      </c>
      <c r="U29" s="110">
        <f t="shared" si="6"/>
        <v>28</v>
      </c>
      <c r="V29" s="159">
        <f t="shared" si="7"/>
        <v>2</v>
      </c>
      <c r="W29" s="159">
        <f t="shared" si="10"/>
        <v>3398.3124666999997</v>
      </c>
      <c r="X29" t="s">
        <v>898</v>
      </c>
      <c r="Y29">
        <v>2</v>
      </c>
      <c r="Z29">
        <v>1248.5</v>
      </c>
      <c r="AA29" s="109">
        <v>3.7</v>
      </c>
      <c r="AB29" s="133">
        <v>3.0000000000000001E-3</v>
      </c>
      <c r="AC29">
        <v>1230.9000000000001</v>
      </c>
      <c r="AD29" s="108">
        <v>3520</v>
      </c>
      <c r="AE29" s="108">
        <v>0</v>
      </c>
      <c r="AF29" s="165">
        <f t="shared" si="3"/>
        <v>17.599999999999909</v>
      </c>
      <c r="AG29" s="143">
        <f t="shared" si="4"/>
        <v>3519.9999999999818</v>
      </c>
      <c r="AH29" s="140">
        <f t="shared" si="5"/>
        <v>-1.8189894035458565E-11</v>
      </c>
      <c r="AI29" s="110">
        <f>VLOOKUP(M29,CurrInfo!$A$43:$O$173,15)</f>
        <v>5625</v>
      </c>
    </row>
    <row r="30" spans="1:35"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9546</v>
      </c>
      <c r="O30" s="152">
        <f t="shared" si="11"/>
        <v>61507.731958762888</v>
      </c>
      <c r="P30" s="191">
        <f>VLOOKUP($A30,[3]futuresATR!$A$2:$F$80,4)</f>
        <v>133.063898099</v>
      </c>
      <c r="Q30" s="151">
        <f t="shared" si="12"/>
        <v>857.37047744201027</v>
      </c>
      <c r="R30" s="143">
        <f t="shared" si="8"/>
        <v>3</v>
      </c>
      <c r="S30" s="138">
        <f t="shared" si="2"/>
        <v>184523.19587628866</v>
      </c>
      <c r="T30" s="110">
        <f t="shared" si="9"/>
        <v>3</v>
      </c>
      <c r="U30" s="110">
        <f t="shared" si="6"/>
        <v>42</v>
      </c>
      <c r="V30" s="159">
        <f t="shared" si="7"/>
        <v>3</v>
      </c>
      <c r="W30" s="159">
        <f t="shared" si="10"/>
        <v>2572.1114323260308</v>
      </c>
      <c r="X30" s="112" t="s">
        <v>899</v>
      </c>
      <c r="Y30" s="112">
        <v>2</v>
      </c>
      <c r="Z30" s="112">
        <v>8444</v>
      </c>
      <c r="AA30" s="112" t="s">
        <v>1066</v>
      </c>
      <c r="AB30" s="112" t="s">
        <v>902</v>
      </c>
      <c r="AC30" s="112">
        <v>8551</v>
      </c>
      <c r="AD30" s="161">
        <v>1378</v>
      </c>
      <c r="AE30" s="161">
        <v>0</v>
      </c>
      <c r="AF30" s="165">
        <f t="shared" si="3"/>
        <v>-107</v>
      </c>
      <c r="AG30" s="143">
        <f t="shared" si="4"/>
        <v>-1378.8659793814434</v>
      </c>
      <c r="AH30" s="140">
        <f t="shared" si="5"/>
        <v>0.86597938144336695</v>
      </c>
      <c r="AI30" s="110">
        <f>VLOOKUP(M30,CurrInfo!$A$43:$O$173,15)</f>
        <v>5038.6597938144332</v>
      </c>
    </row>
    <row r="31" spans="1:35"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215.15</v>
      </c>
      <c r="O31" s="152">
        <f t="shared" si="11"/>
        <v>53787.5</v>
      </c>
      <c r="P31" s="191">
        <f>VLOOKUP($A31,[3]futuresATR!$A$2:$F$80,4)</f>
        <v>4.0551787385000004</v>
      </c>
      <c r="Q31" s="151">
        <f t="shared" si="12"/>
        <v>1013.7946846250001</v>
      </c>
      <c r="R31" s="143">
        <f t="shared" si="8"/>
        <v>2</v>
      </c>
      <c r="S31" s="138">
        <f t="shared" si="2"/>
        <v>107575</v>
      </c>
      <c r="T31" s="110">
        <f t="shared" si="9"/>
        <v>2</v>
      </c>
      <c r="U31" s="110">
        <f t="shared" si="6"/>
        <v>28</v>
      </c>
      <c r="V31" s="159">
        <f t="shared" si="7"/>
        <v>2</v>
      </c>
      <c r="W31" s="159">
        <f t="shared" si="10"/>
        <v>2027.5893692500001</v>
      </c>
      <c r="X31" t="s">
        <v>899</v>
      </c>
      <c r="Y31">
        <v>3</v>
      </c>
      <c r="Z31">
        <v>206.78</v>
      </c>
      <c r="AA31" s="109">
        <v>0.7</v>
      </c>
      <c r="AB31" s="133">
        <v>3.3E-3</v>
      </c>
      <c r="AC31">
        <v>210.85</v>
      </c>
      <c r="AD31" s="108">
        <v>3050</v>
      </c>
      <c r="AE31" s="108">
        <v>0</v>
      </c>
      <c r="AF31" s="165">
        <f t="shared" si="3"/>
        <v>-4.0699999999999932</v>
      </c>
      <c r="AG31" s="143">
        <f t="shared" si="4"/>
        <v>-3052.499999999995</v>
      </c>
      <c r="AH31" s="140">
        <f t="shared" si="5"/>
        <v>2.4999999999949978</v>
      </c>
      <c r="AI31" s="110">
        <f>VLOOKUP(M31,CurrInfo!$A$43:$O$173,15)</f>
        <v>2875</v>
      </c>
    </row>
    <row r="32" spans="1:35"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22757</v>
      </c>
      <c r="O32" s="152">
        <f t="shared" si="11"/>
        <v>146630.15463917525</v>
      </c>
      <c r="P32" s="191">
        <f>VLOOKUP($A32,[3]futuresATR!$A$2:$F$80,4)</f>
        <v>276.02401360599998</v>
      </c>
      <c r="Q32" s="151">
        <f t="shared" si="12"/>
        <v>1778.5052423067009</v>
      </c>
      <c r="R32" s="143">
        <f t="shared" si="8"/>
        <v>2</v>
      </c>
      <c r="S32" s="138">
        <f t="shared" si="2"/>
        <v>293260.3092783505</v>
      </c>
      <c r="T32" s="110">
        <f t="shared" si="9"/>
        <v>2</v>
      </c>
      <c r="U32" s="110">
        <f t="shared" si="6"/>
        <v>28</v>
      </c>
      <c r="V32" s="159">
        <f t="shared" si="7"/>
        <v>2</v>
      </c>
      <c r="W32" s="159">
        <f t="shared" si="10"/>
        <v>3557.0104846134018</v>
      </c>
      <c r="X32" s="112" t="s">
        <v>899</v>
      </c>
      <c r="Y32" s="112">
        <v>2</v>
      </c>
      <c r="Z32" s="112">
        <v>20484</v>
      </c>
      <c r="AA32" s="112" t="s">
        <v>1049</v>
      </c>
      <c r="AB32" s="160">
        <v>6.0000000000000001E-3</v>
      </c>
      <c r="AC32" s="112">
        <v>20606</v>
      </c>
      <c r="AD32" s="161">
        <v>1571</v>
      </c>
      <c r="AE32" s="161">
        <v>0</v>
      </c>
      <c r="AF32" s="165">
        <f t="shared" si="3"/>
        <v>-122</v>
      </c>
      <c r="AG32" s="143">
        <f t="shared" si="4"/>
        <v>-1572.1649484536083</v>
      </c>
      <c r="AH32" s="140">
        <f t="shared" si="5"/>
        <v>1.1649484536083037</v>
      </c>
      <c r="AI32" s="110">
        <f>VLOOKUP(M32,CurrInfo!$A$43:$O$173,15)</f>
        <v>12632.731958762886</v>
      </c>
    </row>
    <row r="33" spans="1:35"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1.4086000000000001</v>
      </c>
      <c r="O33" s="152">
        <f t="shared" si="11"/>
        <v>59161.200000000004</v>
      </c>
      <c r="P33" s="191">
        <f>VLOOKUP($A33,[3]futuresATR!$A$2:$F$80,4)</f>
        <v>4.1445000000000003E-2</v>
      </c>
      <c r="Q33" s="151">
        <f t="shared" si="12"/>
        <v>1740.69</v>
      </c>
      <c r="R33" s="143">
        <f t="shared" si="8"/>
        <v>2</v>
      </c>
      <c r="S33" s="138">
        <f t="shared" si="2"/>
        <v>118322.40000000001</v>
      </c>
      <c r="T33" s="110">
        <f t="shared" si="9"/>
        <v>2</v>
      </c>
      <c r="U33" s="110">
        <f t="shared" si="6"/>
        <v>28</v>
      </c>
      <c r="V33" s="159">
        <f t="shared" si="7"/>
        <v>2</v>
      </c>
      <c r="W33" s="159">
        <f t="shared" si="10"/>
        <v>3481.38</v>
      </c>
      <c r="X33" t="s">
        <v>899</v>
      </c>
      <c r="Y33">
        <v>2</v>
      </c>
      <c r="Z33">
        <v>1.4817</v>
      </c>
      <c r="AA33" s="109">
        <v>0</v>
      </c>
      <c r="AB33" s="133">
        <v>3.0000000000000001E-3</v>
      </c>
      <c r="AC33">
        <v>1.5221</v>
      </c>
      <c r="AD33" s="108">
        <v>3398</v>
      </c>
      <c r="AE33" s="108">
        <v>0</v>
      </c>
      <c r="AF33" s="165">
        <f t="shared" si="3"/>
        <v>-4.0399999999999991E-2</v>
      </c>
      <c r="AG33" s="143">
        <f t="shared" si="4"/>
        <v>-3393.5999999999995</v>
      </c>
      <c r="AH33" s="140">
        <f t="shared" si="5"/>
        <v>-4.4000000000005457</v>
      </c>
      <c r="AI33" s="110">
        <f>VLOOKUP(M33,CurrInfo!$A$43:$O$173,15)</f>
        <v>5985</v>
      </c>
    </row>
    <row r="34" spans="1:35"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0.9889</v>
      </c>
      <c r="O34" s="168">
        <f>N34*I34/H34/100</f>
        <v>123612.5</v>
      </c>
      <c r="P34" s="191">
        <f>VLOOKUP($A34,[3]futuresATR!$A$2:$F$80,4)</f>
        <v>1.1835E-2</v>
      </c>
      <c r="Q34" s="158">
        <f>P34*I34/H34/100</f>
        <v>1479.375</v>
      </c>
      <c r="R34" s="143">
        <f t="shared" si="8"/>
        <v>2</v>
      </c>
      <c r="S34" s="138">
        <f t="shared" ref="S34:S65" si="13">R34*O34</f>
        <v>247225</v>
      </c>
      <c r="T34" s="110">
        <f t="shared" si="9"/>
        <v>2</v>
      </c>
      <c r="U34" s="110">
        <f t="shared" si="6"/>
        <v>28</v>
      </c>
      <c r="V34" s="159">
        <f t="shared" si="7"/>
        <v>2</v>
      </c>
      <c r="W34" s="159">
        <f t="shared" si="10"/>
        <v>2958.75</v>
      </c>
      <c r="X34" t="s">
        <v>898</v>
      </c>
      <c r="Y34">
        <v>3</v>
      </c>
      <c r="Z34">
        <v>9.1199999999999996E-3</v>
      </c>
      <c r="AA34" s="109">
        <v>0</v>
      </c>
      <c r="AB34" t="s">
        <v>905</v>
      </c>
      <c r="AC34">
        <v>9.1190000000000004E-3</v>
      </c>
      <c r="AD34" s="108">
        <v>113</v>
      </c>
      <c r="AE34" s="108">
        <v>0</v>
      </c>
      <c r="AF34" s="165">
        <f t="shared" si="3"/>
        <v>9.9999999999926537E-7</v>
      </c>
      <c r="AG34" s="143">
        <f t="shared" ref="AG34:AG65" si="14">AF34*I34*Y34/H34</f>
        <v>37.499999999972445</v>
      </c>
      <c r="AH34" s="140">
        <f t="shared" si="5"/>
        <v>-75.500000000027555</v>
      </c>
      <c r="AI34" s="110">
        <f>VLOOKUP(M34,CurrInfo!$A$43:$O$173,15)</f>
        <v>3947</v>
      </c>
    </row>
    <row r="35" spans="1:35"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140.35</v>
      </c>
      <c r="O35" s="152">
        <f t="shared" ref="O35:O61" si="15">N35*I35/H35</f>
        <v>52631.25</v>
      </c>
      <c r="P35" s="191">
        <f>VLOOKUP($A35,[3]futuresATR!$A$2:$F$80,4)</f>
        <v>3.6332512394999998</v>
      </c>
      <c r="Q35" s="151">
        <f t="shared" ref="Q35:Q61" si="16">P35*I35/H35</f>
        <v>1362.4692148125</v>
      </c>
      <c r="R35" s="143">
        <f t="shared" si="8"/>
        <v>2</v>
      </c>
      <c r="S35" s="138">
        <f t="shared" si="13"/>
        <v>105262.5</v>
      </c>
      <c r="T35" s="110">
        <f t="shared" si="9"/>
        <v>2</v>
      </c>
      <c r="U35" s="110">
        <f t="shared" si="6"/>
        <v>28</v>
      </c>
      <c r="V35" s="159">
        <f t="shared" si="7"/>
        <v>2</v>
      </c>
      <c r="W35" s="159">
        <f t="shared" si="10"/>
        <v>2724.938429625</v>
      </c>
      <c r="X35" t="s">
        <v>898</v>
      </c>
      <c r="Y35">
        <v>1</v>
      </c>
      <c r="Z35">
        <v>122.25</v>
      </c>
      <c r="AA35" s="109">
        <v>0</v>
      </c>
      <c r="AB35" t="s">
        <v>902</v>
      </c>
      <c r="AC35">
        <v>121.5</v>
      </c>
      <c r="AD35" s="108">
        <v>281</v>
      </c>
      <c r="AE35" s="108">
        <v>0</v>
      </c>
      <c r="AF35" s="165">
        <f t="shared" si="3"/>
        <v>0.75</v>
      </c>
      <c r="AG35" s="143">
        <f t="shared" si="14"/>
        <v>281.25</v>
      </c>
      <c r="AH35" s="140">
        <f t="shared" si="5"/>
        <v>0.25</v>
      </c>
      <c r="AI35" s="110">
        <f>VLOOKUP(M35,CurrInfo!$A$43:$O$173,15)</f>
        <v>7500</v>
      </c>
    </row>
    <row r="36" spans="1:35" ht="15.75" thickBot="1" x14ac:dyDescent="0.3">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416.25</v>
      </c>
      <c r="O36" s="152">
        <f t="shared" si="15"/>
        <v>20812.5</v>
      </c>
      <c r="P36" s="191">
        <f>VLOOKUP($A36,[3]futuresATR!$A$2:$F$80,4)</f>
        <v>10.0625</v>
      </c>
      <c r="Q36" s="151">
        <f t="shared" si="16"/>
        <v>503.125</v>
      </c>
      <c r="R36" s="143">
        <f t="shared" si="8"/>
        <v>4</v>
      </c>
      <c r="S36" s="138">
        <f t="shared" si="13"/>
        <v>83250</v>
      </c>
      <c r="T36" s="110">
        <f t="shared" si="9"/>
        <v>4</v>
      </c>
      <c r="U36" s="110">
        <f t="shared" si="6"/>
        <v>56</v>
      </c>
      <c r="V36" s="159">
        <f t="shared" si="7"/>
        <v>4</v>
      </c>
      <c r="W36" s="159">
        <f t="shared" si="10"/>
        <v>2012.5</v>
      </c>
      <c r="X36" t="s">
        <v>898</v>
      </c>
      <c r="Y36">
        <v>7</v>
      </c>
      <c r="Z36">
        <v>458.5</v>
      </c>
      <c r="AA36" s="109">
        <v>0.25</v>
      </c>
      <c r="AB36" s="133">
        <v>5.0000000000000001E-4</v>
      </c>
      <c r="AC36">
        <v>458.75</v>
      </c>
      <c r="AD36" s="108">
        <v>-87</v>
      </c>
      <c r="AF36" s="165">
        <f t="shared" si="3"/>
        <v>-0.25</v>
      </c>
      <c r="AG36" s="143">
        <f t="shared" si="14"/>
        <v>-87.5</v>
      </c>
      <c r="AH36" s="140">
        <f t="shared" si="5"/>
        <v>0.5</v>
      </c>
      <c r="AI36" s="110">
        <f>VLOOKUP(M36,CurrInfo!$A$43:$O$173,15)</f>
        <v>1750</v>
      </c>
    </row>
    <row r="37" spans="1:35" s="112" customFormat="1" ht="15.75" thickBot="1" x14ac:dyDescent="0.3">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324.10000000000002</v>
      </c>
      <c r="O37" s="152">
        <f t="shared" si="15"/>
        <v>35651</v>
      </c>
      <c r="P37" s="191">
        <f>VLOOKUP($A37,[3]futuresATR!$A$2:$F$80,4)</f>
        <v>6.53</v>
      </c>
      <c r="Q37" s="151">
        <f t="shared" si="16"/>
        <v>718.30000000000007</v>
      </c>
      <c r="R37" s="143">
        <f t="shared" si="8"/>
        <v>3</v>
      </c>
      <c r="S37" s="138">
        <f t="shared" si="13"/>
        <v>106953</v>
      </c>
      <c r="T37" s="110">
        <f t="shared" si="9"/>
        <v>3</v>
      </c>
      <c r="U37" s="110">
        <f t="shared" si="6"/>
        <v>42</v>
      </c>
      <c r="V37" s="181">
        <v>0</v>
      </c>
      <c r="W37" s="159">
        <f t="shared" si="10"/>
        <v>0</v>
      </c>
      <c r="X37" s="112" t="s">
        <v>899</v>
      </c>
      <c r="Y37" s="112">
        <v>2</v>
      </c>
      <c r="Z37" s="112">
        <v>298.5</v>
      </c>
      <c r="AA37" s="162">
        <v>1.5</v>
      </c>
      <c r="AB37" s="160">
        <v>5.0000000000000001E-3</v>
      </c>
      <c r="AC37" s="112">
        <v>302.8</v>
      </c>
      <c r="AD37" s="161">
        <v>946</v>
      </c>
      <c r="AE37" s="161">
        <v>0</v>
      </c>
      <c r="AF37" s="165">
        <f t="shared" si="3"/>
        <v>-4.3000000000000114</v>
      </c>
      <c r="AG37" s="143">
        <f t="shared" si="14"/>
        <v>-946.0000000000025</v>
      </c>
      <c r="AH37" s="140">
        <f t="shared" si="5"/>
        <v>2.5011104298755527E-12</v>
      </c>
      <c r="AI37" s="110">
        <f>VLOOKUP(M37,CurrInfo!$A$43:$O$173,15)</f>
        <v>2437</v>
      </c>
    </row>
    <row r="38" spans="1:35"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114.52500000000001</v>
      </c>
      <c r="O38" s="152">
        <f t="shared" si="15"/>
        <v>45810</v>
      </c>
      <c r="P38" s="191">
        <f>VLOOKUP($A38,[3]futuresATR!$A$2:$F$80,4)</f>
        <v>1.8625</v>
      </c>
      <c r="Q38" s="151">
        <f t="shared" si="16"/>
        <v>745</v>
      </c>
      <c r="R38" s="143">
        <f t="shared" si="8"/>
        <v>3</v>
      </c>
      <c r="S38" s="138">
        <f t="shared" si="13"/>
        <v>137430</v>
      </c>
      <c r="T38" s="110">
        <f t="shared" si="9"/>
        <v>3</v>
      </c>
      <c r="U38" s="110">
        <f t="shared" si="6"/>
        <v>42</v>
      </c>
      <c r="V38" s="159">
        <f t="shared" si="7"/>
        <v>3</v>
      </c>
      <c r="W38" s="159">
        <f t="shared" si="10"/>
        <v>2235</v>
      </c>
      <c r="X38" t="s">
        <v>898</v>
      </c>
      <c r="Y38">
        <v>4</v>
      </c>
      <c r="Z38">
        <v>117.825</v>
      </c>
      <c r="AA38" s="109">
        <v>0</v>
      </c>
      <c r="AB38" t="s">
        <v>902</v>
      </c>
      <c r="AC38">
        <v>118.15</v>
      </c>
      <c r="AD38" s="108">
        <v>-519</v>
      </c>
      <c r="AE38" s="108">
        <v>0</v>
      </c>
      <c r="AF38" s="165">
        <f t="shared" si="3"/>
        <v>-0.32500000000000284</v>
      </c>
      <c r="AG38" s="143">
        <f t="shared" si="14"/>
        <v>-520.00000000000455</v>
      </c>
      <c r="AH38" s="140">
        <f t="shared" si="5"/>
        <v>1.0000000000045475</v>
      </c>
      <c r="AI38" s="110">
        <f>VLOOKUP(M38,CurrInfo!$A$43:$O$173,15)</f>
        <v>2250</v>
      </c>
    </row>
    <row r="39" spans="1:35"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47.71</v>
      </c>
      <c r="O39" s="152">
        <f t="shared" si="15"/>
        <v>47710</v>
      </c>
      <c r="P39" s="191">
        <f>VLOOKUP($A39,[3]futuresATR!$A$2:$F$80,4)</f>
        <v>1.3939999999999999</v>
      </c>
      <c r="Q39" s="151">
        <f t="shared" si="16"/>
        <v>1394</v>
      </c>
      <c r="R39" s="143">
        <f t="shared" si="8"/>
        <v>2</v>
      </c>
      <c r="S39" s="138">
        <f t="shared" si="13"/>
        <v>95420</v>
      </c>
      <c r="T39" s="110">
        <f t="shared" si="9"/>
        <v>2</v>
      </c>
      <c r="U39" s="110">
        <f t="shared" si="6"/>
        <v>28</v>
      </c>
      <c r="V39" s="159">
        <f t="shared" si="7"/>
        <v>2</v>
      </c>
      <c r="W39" s="159">
        <f t="shared" si="10"/>
        <v>2788</v>
      </c>
      <c r="X39" s="112" t="s">
        <v>898</v>
      </c>
      <c r="Y39" s="112">
        <v>3</v>
      </c>
      <c r="Z39" s="112">
        <v>49.57</v>
      </c>
      <c r="AA39" s="162">
        <v>0.2</v>
      </c>
      <c r="AB39" s="160">
        <v>4.0000000000000001E-3</v>
      </c>
      <c r="AC39" s="112">
        <v>49.77</v>
      </c>
      <c r="AD39" s="161">
        <v>-599</v>
      </c>
      <c r="AE39" s="161">
        <v>0</v>
      </c>
      <c r="AF39" s="165">
        <f t="shared" si="3"/>
        <v>-0.20000000000000284</v>
      </c>
      <c r="AG39" s="143">
        <f t="shared" si="14"/>
        <v>-600.00000000000853</v>
      </c>
      <c r="AH39" s="140">
        <f t="shared" si="5"/>
        <v>1.0000000000085265</v>
      </c>
      <c r="AI39" s="110">
        <f>VLOOKUP(M39,CurrInfo!$A$43:$O$173,15)</f>
        <v>5000</v>
      </c>
    </row>
    <row r="40" spans="1:35"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409.5</v>
      </c>
      <c r="O40" s="152">
        <f t="shared" si="15"/>
        <v>40950</v>
      </c>
      <c r="P40" s="191">
        <f>VLOOKUP($A40,[3]futuresATR!$A$2:$F$80,4)</f>
        <v>13.3838756055</v>
      </c>
      <c r="Q40" s="151">
        <f t="shared" si="16"/>
        <v>1338.38756055</v>
      </c>
      <c r="R40" s="143">
        <f t="shared" si="8"/>
        <v>2</v>
      </c>
      <c r="S40" s="138">
        <f t="shared" si="13"/>
        <v>81900</v>
      </c>
      <c r="T40" s="110">
        <f t="shared" si="9"/>
        <v>2</v>
      </c>
      <c r="U40" s="110">
        <f t="shared" si="6"/>
        <v>28</v>
      </c>
      <c r="V40" s="159">
        <f t="shared" si="7"/>
        <v>2</v>
      </c>
      <c r="W40" s="159">
        <f t="shared" si="10"/>
        <v>2676.7751211</v>
      </c>
      <c r="X40" s="112" t="s">
        <v>898</v>
      </c>
      <c r="Y40" s="112">
        <v>3</v>
      </c>
      <c r="Z40" s="112">
        <v>444.5</v>
      </c>
      <c r="AA40" s="162">
        <v>0.75</v>
      </c>
      <c r="AB40" s="160">
        <v>1.6999999999999999E-3</v>
      </c>
      <c r="AC40" s="112">
        <v>445.25</v>
      </c>
      <c r="AD40" s="161">
        <v>-224</v>
      </c>
      <c r="AE40" s="161">
        <v>0</v>
      </c>
      <c r="AF40" s="165">
        <f t="shared" si="3"/>
        <v>-0.75</v>
      </c>
      <c r="AG40" s="143">
        <f t="shared" si="14"/>
        <v>-225</v>
      </c>
      <c r="AH40" s="140">
        <f t="shared" si="5"/>
        <v>1</v>
      </c>
      <c r="AI40" s="110">
        <f>VLOOKUP(M40,CurrInfo!$A$43:$O$173,15)</f>
        <v>4400</v>
      </c>
    </row>
    <row r="41" spans="1:35"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60</v>
      </c>
      <c r="O41" s="152">
        <f t="shared" si="15"/>
        <v>24000</v>
      </c>
      <c r="P41" s="191">
        <f>VLOOKUP($A41,[3]futuresATR!$A$2:$F$80,4)</f>
        <v>1.79375</v>
      </c>
      <c r="Q41" s="151">
        <f t="shared" si="16"/>
        <v>717.5</v>
      </c>
      <c r="R41" s="143">
        <f t="shared" si="8"/>
        <v>3</v>
      </c>
      <c r="S41" s="138">
        <f t="shared" si="13"/>
        <v>72000</v>
      </c>
      <c r="T41" s="110">
        <f t="shared" si="9"/>
        <v>3</v>
      </c>
      <c r="U41" s="110">
        <f t="shared" si="6"/>
        <v>42</v>
      </c>
      <c r="V41" s="159">
        <f t="shared" si="7"/>
        <v>3</v>
      </c>
      <c r="W41" s="159">
        <f t="shared" si="10"/>
        <v>2152.5</v>
      </c>
      <c r="X41" t="s">
        <v>898</v>
      </c>
      <c r="Y41">
        <v>7</v>
      </c>
      <c r="Z41">
        <v>80.7</v>
      </c>
      <c r="AA41" s="109">
        <v>0</v>
      </c>
      <c r="AB41" t="s">
        <v>902</v>
      </c>
      <c r="AC41">
        <v>80.599999999999994</v>
      </c>
      <c r="AD41" s="108">
        <v>280</v>
      </c>
      <c r="AE41" s="108">
        <v>0</v>
      </c>
      <c r="AF41" s="165">
        <f t="shared" si="3"/>
        <v>0.10000000000000853</v>
      </c>
      <c r="AG41" s="143">
        <f t="shared" si="14"/>
        <v>280.00000000002387</v>
      </c>
      <c r="AH41" s="140">
        <f t="shared" si="5"/>
        <v>2.3874235921539366E-11</v>
      </c>
      <c r="AI41" s="110">
        <f>VLOOKUP(M41,CurrInfo!$A$43:$O$173,15)</f>
        <v>1500</v>
      </c>
    </row>
    <row r="42" spans="1:35"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1803</v>
      </c>
      <c r="O42" s="152">
        <f t="shared" si="15"/>
        <v>18030</v>
      </c>
      <c r="P42" s="191">
        <f>VLOOKUP($A42,[3]futuresATR!$A$2:$F$80,4)</f>
        <v>22</v>
      </c>
      <c r="Q42" s="151">
        <f t="shared" si="16"/>
        <v>220</v>
      </c>
      <c r="R42" s="143">
        <f t="shared" si="8"/>
        <v>10</v>
      </c>
      <c r="S42" s="138">
        <f t="shared" si="13"/>
        <v>180300</v>
      </c>
      <c r="T42" s="110">
        <f t="shared" si="9"/>
        <v>10</v>
      </c>
      <c r="U42" s="110">
        <f t="shared" si="6"/>
        <v>140</v>
      </c>
      <c r="V42" s="159">
        <f>IF(ROUND(T42*Q42/$R$1,0)&lt;1,0,T42)</f>
        <v>10</v>
      </c>
      <c r="W42" s="159">
        <f t="shared" si="10"/>
        <v>2200</v>
      </c>
      <c r="X42" s="112" t="s">
        <v>899</v>
      </c>
      <c r="Y42" s="112">
        <v>22</v>
      </c>
      <c r="Z42" s="112">
        <v>1647</v>
      </c>
      <c r="AA42" s="112"/>
      <c r="AB42" s="112"/>
      <c r="AC42" s="112">
        <v>1650</v>
      </c>
      <c r="AD42" s="112">
        <f>353+22*2*7</f>
        <v>661</v>
      </c>
      <c r="AE42" s="112"/>
      <c r="AF42" s="165">
        <f t="shared" si="3"/>
        <v>-3</v>
      </c>
      <c r="AG42" s="143">
        <f t="shared" si="14"/>
        <v>-660</v>
      </c>
      <c r="AH42" s="140">
        <f t="shared" si="5"/>
        <v>-1</v>
      </c>
      <c r="AI42" s="110">
        <f>VLOOKUP(M42,CurrInfo!$A$43:$O$173,15)</f>
        <v>1955</v>
      </c>
    </row>
    <row r="43" spans="1:35"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534.1</v>
      </c>
      <c r="O43" s="152">
        <f t="shared" si="15"/>
        <v>26705</v>
      </c>
      <c r="P43" s="191">
        <f>VLOOKUP($A43,[3]futuresATR!$A$2:$F$80,4)</f>
        <v>10.86</v>
      </c>
      <c r="Q43" s="151">
        <f t="shared" si="16"/>
        <v>543</v>
      </c>
      <c r="R43" s="143">
        <f t="shared" si="8"/>
        <v>4</v>
      </c>
      <c r="S43" s="138">
        <f t="shared" si="13"/>
        <v>106820</v>
      </c>
      <c r="T43" s="110">
        <f t="shared" si="9"/>
        <v>4</v>
      </c>
      <c r="U43" s="110">
        <f t="shared" si="6"/>
        <v>56</v>
      </c>
      <c r="V43" s="159">
        <f t="shared" si="7"/>
        <v>4</v>
      </c>
      <c r="W43" s="159">
        <f t="shared" si="10"/>
        <v>2172</v>
      </c>
      <c r="X43" t="s">
        <v>898</v>
      </c>
      <c r="Y43">
        <v>8</v>
      </c>
      <c r="Z43">
        <v>481.2</v>
      </c>
      <c r="AA43" s="109">
        <v>0</v>
      </c>
      <c r="AB43" t="s">
        <v>902</v>
      </c>
      <c r="AC43">
        <v>496.6</v>
      </c>
      <c r="AD43" s="108">
        <v>-6159</v>
      </c>
      <c r="AE43" s="108">
        <v>0</v>
      </c>
      <c r="AF43" s="165">
        <f t="shared" si="3"/>
        <v>-15.400000000000034</v>
      </c>
      <c r="AG43" s="143">
        <f t="shared" si="14"/>
        <v>-6160.0000000000136</v>
      </c>
      <c r="AH43" s="140">
        <f t="shared" si="5"/>
        <v>1.0000000000136424</v>
      </c>
      <c r="AI43" s="110">
        <f>VLOOKUP(M43,CurrInfo!$A$43:$O$173,15)</f>
        <v>2078</v>
      </c>
    </row>
    <row r="44" spans="1:35"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912.1</v>
      </c>
      <c r="O44" s="152">
        <f t="shared" si="15"/>
        <v>45605</v>
      </c>
      <c r="P44" s="191">
        <f>VLOOKUP($A44,[3]futuresATR!$A$2:$F$80,4)</f>
        <v>10.06</v>
      </c>
      <c r="Q44" s="151">
        <f t="shared" si="16"/>
        <v>503</v>
      </c>
      <c r="R44" s="143">
        <f t="shared" si="8"/>
        <v>4</v>
      </c>
      <c r="S44" s="138">
        <f t="shared" si="13"/>
        <v>182420</v>
      </c>
      <c r="T44" s="110">
        <f t="shared" si="9"/>
        <v>4</v>
      </c>
      <c r="U44" s="110">
        <f t="shared" si="6"/>
        <v>56</v>
      </c>
      <c r="V44" s="159">
        <f t="shared" si="7"/>
        <v>4</v>
      </c>
      <c r="W44" s="159">
        <f t="shared" si="10"/>
        <v>2012</v>
      </c>
      <c r="X44" s="112" t="s">
        <v>898</v>
      </c>
      <c r="Y44" s="112">
        <v>10</v>
      </c>
      <c r="Z44" s="112">
        <v>804.1</v>
      </c>
      <c r="AA44" s="162">
        <v>0.8</v>
      </c>
      <c r="AB44" s="160">
        <v>1E-3</v>
      </c>
      <c r="AC44" s="112">
        <v>804.9</v>
      </c>
      <c r="AD44" s="161">
        <v>-399</v>
      </c>
      <c r="AE44" s="161">
        <v>0</v>
      </c>
      <c r="AF44" s="165">
        <f t="shared" si="3"/>
        <v>-0.79999999999995453</v>
      </c>
      <c r="AG44" s="143">
        <f t="shared" si="14"/>
        <v>-399.99999999997726</v>
      </c>
      <c r="AH44" s="140">
        <f t="shared" si="5"/>
        <v>0.99999999997726263</v>
      </c>
      <c r="AI44" s="110">
        <f>VLOOKUP(M44,CurrInfo!$A$43:$O$173,15)</f>
        <v>2393</v>
      </c>
    </row>
    <row r="45" spans="1:35" x14ac:dyDescent="0.25">
      <c r="A45" s="4" t="s">
        <v>369</v>
      </c>
      <c r="B45" t="s">
        <v>370</v>
      </c>
      <c r="C45" s="154" t="s">
        <v>369</v>
      </c>
      <c r="D45" t="s">
        <v>622</v>
      </c>
      <c r="E45" t="s">
        <v>781</v>
      </c>
      <c r="F45" t="s">
        <v>869</v>
      </c>
      <c r="G45" t="s">
        <v>469</v>
      </c>
      <c r="H45">
        <f>VLOOKUP(G45,CurrInfo!$E$1:$F$10,2)</f>
        <v>0.8957362952346829</v>
      </c>
      <c r="I45">
        <v>10</v>
      </c>
      <c r="J45">
        <v>0.1</v>
      </c>
      <c r="K45" t="s">
        <v>294</v>
      </c>
      <c r="M45" s="132" t="s">
        <v>620</v>
      </c>
      <c r="N45" s="190">
        <f>VLOOKUP($A45,[3]futuresATR!$A$2:$F$80,3)</f>
        <v>8715</v>
      </c>
      <c r="O45" s="152">
        <f t="shared" si="15"/>
        <v>97294.26</v>
      </c>
      <c r="P45" s="191">
        <f>VLOOKUP($A45,[3]futuresATR!$A$2:$F$80,4)</f>
        <v>130.61500000000001</v>
      </c>
      <c r="Q45" s="151">
        <f t="shared" si="16"/>
        <v>1458.18586</v>
      </c>
      <c r="R45" s="143">
        <f t="shared" si="8"/>
        <v>2</v>
      </c>
      <c r="S45" s="138">
        <f t="shared" si="13"/>
        <v>194588.52</v>
      </c>
      <c r="T45" s="110">
        <f t="shared" si="9"/>
        <v>2</v>
      </c>
      <c r="U45" s="110">
        <f t="shared" si="6"/>
        <v>28</v>
      </c>
      <c r="V45" s="159">
        <f t="shared" si="7"/>
        <v>2</v>
      </c>
      <c r="W45" s="159">
        <f t="shared" si="10"/>
        <v>2916.3717200000001</v>
      </c>
      <c r="X45" t="s">
        <v>898</v>
      </c>
      <c r="Y45">
        <v>2</v>
      </c>
      <c r="Z45">
        <v>8908.6</v>
      </c>
      <c r="AA45" s="136">
        <v>0</v>
      </c>
      <c r="AB45" t="s">
        <v>902</v>
      </c>
      <c r="AC45">
        <v>8979</v>
      </c>
      <c r="AD45" s="108">
        <v>-1569</v>
      </c>
      <c r="AE45" s="108">
        <v>0</v>
      </c>
      <c r="AF45" s="165">
        <f t="shared" si="3"/>
        <v>-70.399999999999636</v>
      </c>
      <c r="AG45" s="143">
        <f t="shared" si="14"/>
        <v>-1571.8911999999918</v>
      </c>
      <c r="AH45" s="140">
        <f t="shared" si="5"/>
        <v>2.8911999999918407</v>
      </c>
      <c r="AI45" s="110">
        <f>VLOOKUP(M45,CurrInfo!$A$43:$O$173,15)</f>
        <v>12559.5</v>
      </c>
    </row>
    <row r="46" spans="1:35"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5.4620000000000002E-2</v>
      </c>
      <c r="O46" s="152">
        <f t="shared" si="15"/>
        <v>27310</v>
      </c>
      <c r="P46" s="191">
        <f>VLOOKUP($A46,[3]futuresATR!$A$2:$F$80,4)</f>
        <v>5.6400000000000005E-4</v>
      </c>
      <c r="Q46" s="151">
        <f t="shared" si="16"/>
        <v>282</v>
      </c>
      <c r="R46" s="143">
        <f t="shared" si="8"/>
        <v>8</v>
      </c>
      <c r="S46" s="138">
        <f t="shared" si="13"/>
        <v>218480</v>
      </c>
      <c r="T46" s="110">
        <f t="shared" si="9"/>
        <v>8</v>
      </c>
      <c r="U46" s="110">
        <f t="shared" si="6"/>
        <v>112</v>
      </c>
      <c r="V46" s="159">
        <f t="shared" si="7"/>
        <v>8</v>
      </c>
      <c r="W46" s="159">
        <f t="shared" si="10"/>
        <v>2256</v>
      </c>
      <c r="X46" t="s">
        <v>898</v>
      </c>
      <c r="Y46">
        <v>4</v>
      </c>
      <c r="Z46">
        <v>5.4030000000000002E-2</v>
      </c>
      <c r="AA46" s="109">
        <v>0</v>
      </c>
      <c r="AB46" s="133">
        <v>2.0000000000000001E-4</v>
      </c>
      <c r="AC46">
        <v>5.4039999999999998E-2</v>
      </c>
      <c r="AD46" s="108">
        <v>-19</v>
      </c>
      <c r="AE46" s="108">
        <v>0</v>
      </c>
      <c r="AF46" s="165">
        <f t="shared" si="3"/>
        <v>-9.9999999999961231E-6</v>
      </c>
      <c r="AG46" s="143">
        <f t="shared" si="14"/>
        <v>-19.999999999992248</v>
      </c>
      <c r="AH46" s="140">
        <f t="shared" si="5"/>
        <v>0.99999999999224798</v>
      </c>
      <c r="AI46" s="110">
        <f>VLOOKUP(M46,CurrInfo!$A$43:$O$173,15)</f>
        <v>2312</v>
      </c>
    </row>
    <row r="47" spans="1:35"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513.75</v>
      </c>
      <c r="O47" s="152">
        <f t="shared" si="15"/>
        <v>25687.5</v>
      </c>
      <c r="P47" s="191">
        <f>VLOOKUP($A47,[3]futuresATR!$A$2:$F$80,4)</f>
        <v>8.7874999999999996</v>
      </c>
      <c r="Q47" s="151">
        <f t="shared" si="16"/>
        <v>439.375</v>
      </c>
      <c r="R47" s="143">
        <f t="shared" si="8"/>
        <v>5</v>
      </c>
      <c r="S47" s="138">
        <f t="shared" si="13"/>
        <v>128437.5</v>
      </c>
      <c r="T47" s="110">
        <f t="shared" si="9"/>
        <v>5</v>
      </c>
      <c r="U47" s="110">
        <f t="shared" si="6"/>
        <v>70</v>
      </c>
      <c r="V47" s="159">
        <f t="shared" si="7"/>
        <v>5</v>
      </c>
      <c r="W47" s="159">
        <f t="shared" si="10"/>
        <v>2196.875</v>
      </c>
      <c r="X47" t="s">
        <v>898</v>
      </c>
      <c r="Y47">
        <v>6</v>
      </c>
      <c r="Z47">
        <v>529.25</v>
      </c>
      <c r="AA47" s="109">
        <v>0.75</v>
      </c>
      <c r="AB47" s="133">
        <v>1.4E-3</v>
      </c>
      <c r="AC47">
        <v>530</v>
      </c>
      <c r="AD47" s="108">
        <v>-224</v>
      </c>
      <c r="AE47" s="108">
        <v>0</v>
      </c>
      <c r="AF47" s="165">
        <f t="shared" si="3"/>
        <v>-0.75</v>
      </c>
      <c r="AG47" s="143">
        <f t="shared" si="14"/>
        <v>-225</v>
      </c>
      <c r="AH47" s="140">
        <f t="shared" si="5"/>
        <v>1</v>
      </c>
      <c r="AI47" s="110">
        <f>VLOOKUP(M47,CurrInfo!$A$43:$O$173,15)</f>
        <v>3575</v>
      </c>
    </row>
    <row r="48" spans="1:35"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0.71850000000000003</v>
      </c>
      <c r="O48" s="152">
        <f t="shared" si="15"/>
        <v>71850</v>
      </c>
      <c r="P48" s="191">
        <f>VLOOKUP($A48,[3]futuresATR!$A$2:$F$80,4)</f>
        <v>7.7299999999999999E-3</v>
      </c>
      <c r="Q48" s="151">
        <f t="shared" si="16"/>
        <v>773</v>
      </c>
      <c r="R48" s="143">
        <f t="shared" si="8"/>
        <v>3</v>
      </c>
      <c r="S48" s="138">
        <f t="shared" si="13"/>
        <v>215550</v>
      </c>
      <c r="T48" s="110">
        <f t="shared" si="9"/>
        <v>3</v>
      </c>
      <c r="U48" s="110">
        <f t="shared" si="6"/>
        <v>42</v>
      </c>
      <c r="V48" s="159">
        <f t="shared" si="7"/>
        <v>3</v>
      </c>
      <c r="W48" s="159">
        <f t="shared" si="10"/>
        <v>2319</v>
      </c>
      <c r="X48" s="112" t="s">
        <v>899</v>
      </c>
      <c r="Y48" s="112">
        <v>5</v>
      </c>
      <c r="Z48" s="112">
        <v>0.68130000000000002</v>
      </c>
      <c r="AA48" s="162">
        <v>0</v>
      </c>
      <c r="AB48" s="160">
        <v>1.1999999999999999E-3</v>
      </c>
      <c r="AC48" s="112">
        <v>0.68210000000000004</v>
      </c>
      <c r="AD48" s="161">
        <v>400</v>
      </c>
      <c r="AE48" s="161">
        <v>0</v>
      </c>
      <c r="AF48" s="165">
        <f t="shared" si="3"/>
        <v>-8.0000000000002292E-4</v>
      </c>
      <c r="AG48" s="143">
        <f t="shared" si="14"/>
        <v>-400.00000000001143</v>
      </c>
      <c r="AH48" s="140">
        <f t="shared" si="5"/>
        <v>1.1425527191022411E-11</v>
      </c>
      <c r="AI48" s="110">
        <f>VLOOKUP(M48,CurrInfo!$A$43:$O$173,15)</f>
        <v>3018</v>
      </c>
    </row>
    <row r="49" spans="1:35"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2.6259999999999999</v>
      </c>
      <c r="O49" s="152">
        <f t="shared" si="15"/>
        <v>26260</v>
      </c>
      <c r="P49" s="191">
        <f>VLOOKUP($A49,[3]futuresATR!$A$2:$F$80,4)</f>
        <v>9.6601392499999994E-2</v>
      </c>
      <c r="Q49" s="151">
        <f t="shared" si="16"/>
        <v>966.01392499999997</v>
      </c>
      <c r="R49" s="143">
        <f t="shared" si="8"/>
        <v>3</v>
      </c>
      <c r="S49" s="138">
        <f t="shared" si="13"/>
        <v>78780</v>
      </c>
      <c r="T49" s="110">
        <f t="shared" si="9"/>
        <v>3</v>
      </c>
      <c r="U49" s="110">
        <f t="shared" si="6"/>
        <v>42</v>
      </c>
      <c r="V49" s="159">
        <f t="shared" si="7"/>
        <v>3</v>
      </c>
      <c r="W49" s="159">
        <f t="shared" si="10"/>
        <v>2898.0417749999997</v>
      </c>
      <c r="X49" t="s">
        <v>899</v>
      </c>
      <c r="Y49">
        <v>5</v>
      </c>
      <c r="Z49">
        <v>2.1760000000000002</v>
      </c>
      <c r="AA49" s="109">
        <v>0</v>
      </c>
      <c r="AB49" t="s">
        <v>902</v>
      </c>
      <c r="AC49">
        <v>2.1760000000000002</v>
      </c>
      <c r="AD49" s="108">
        <v>0</v>
      </c>
      <c r="AE49" s="108">
        <v>0</v>
      </c>
      <c r="AF49" s="165">
        <f t="shared" si="3"/>
        <v>0</v>
      </c>
      <c r="AG49" s="143">
        <f t="shared" si="14"/>
        <v>0</v>
      </c>
      <c r="AH49" s="140">
        <f t="shared" si="5"/>
        <v>0</v>
      </c>
      <c r="AI49" s="110">
        <f>VLOOKUP(M49,CurrInfo!$A$43:$O$173,15)</f>
        <v>2165</v>
      </c>
    </row>
    <row r="50" spans="1:35" x14ac:dyDescent="0.25">
      <c r="A50" s="4" t="s">
        <v>377</v>
      </c>
      <c r="B50" s="112" t="s">
        <v>378</v>
      </c>
      <c r="C50" s="154" t="s">
        <v>377</v>
      </c>
      <c r="D50" s="112" t="s">
        <v>260</v>
      </c>
      <c r="E50" s="112" t="s">
        <v>778</v>
      </c>
      <c r="F50" s="112" t="s">
        <v>852</v>
      </c>
      <c r="G50" s="112" t="s">
        <v>440</v>
      </c>
      <c r="H50">
        <f>VLOOKUP(G50,CurrInfo!$E$1:$F$10,2)</f>
        <v>101.23</v>
      </c>
      <c r="I50" s="144">
        <f>500</f>
        <v>500</v>
      </c>
      <c r="J50" s="112">
        <v>5</v>
      </c>
      <c r="K50" s="112" t="s">
        <v>294</v>
      </c>
      <c r="L50" s="112" t="s">
        <v>377</v>
      </c>
      <c r="M50" s="145" t="s">
        <v>694</v>
      </c>
      <c r="N50" s="190">
        <f>VLOOKUP($A50,[3]futuresATR!$A$2:$F$80,3)</f>
        <v>16810</v>
      </c>
      <c r="O50" s="152">
        <f t="shared" si="15"/>
        <v>83028.746419045739</v>
      </c>
      <c r="P50" s="191">
        <f>VLOOKUP($A50,[3]futuresATR!$A$2:$F$80,4)</f>
        <v>307.75</v>
      </c>
      <c r="Q50" s="151">
        <f t="shared" si="16"/>
        <v>1520.0533438703942</v>
      </c>
      <c r="R50" s="143">
        <f t="shared" si="8"/>
        <v>2</v>
      </c>
      <c r="S50" s="138">
        <f t="shared" si="13"/>
        <v>166057.49283809148</v>
      </c>
      <c r="T50" s="110">
        <f t="shared" si="9"/>
        <v>2</v>
      </c>
      <c r="U50" s="110">
        <f t="shared" si="6"/>
        <v>28</v>
      </c>
      <c r="V50" s="159">
        <f t="shared" si="7"/>
        <v>2</v>
      </c>
      <c r="W50" s="159">
        <f t="shared" si="10"/>
        <v>3040.1066877407884</v>
      </c>
      <c r="X50" s="157" t="s">
        <v>899</v>
      </c>
      <c r="Y50" s="112">
        <v>2</v>
      </c>
      <c r="Z50" s="112">
        <v>16645</v>
      </c>
      <c r="AA50" s="161">
        <v>35</v>
      </c>
      <c r="AB50" s="160">
        <v>2.0999999999999999E-3</v>
      </c>
      <c r="AC50" s="112">
        <v>16680</v>
      </c>
      <c r="AD50" s="161">
        <v>350</v>
      </c>
      <c r="AE50" s="161">
        <v>0</v>
      </c>
      <c r="AF50" s="165">
        <f t="shared" si="3"/>
        <v>-35</v>
      </c>
      <c r="AG50" s="143">
        <f t="shared" si="14"/>
        <v>-345.74730811024398</v>
      </c>
      <c r="AH50" s="140">
        <f t="shared" si="5"/>
        <v>-4.2526918897560222</v>
      </c>
      <c r="AI50" s="110">
        <f>VLOOKUP(M50,CurrInfo!$A$43:$O$173,15)</f>
        <v>6250</v>
      </c>
    </row>
    <row r="51" spans="1:35"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4804.25</v>
      </c>
      <c r="O51" s="152">
        <f t="shared" si="15"/>
        <v>96085</v>
      </c>
      <c r="P51" s="191">
        <f>VLOOKUP($A51,[3]futuresATR!$A$2:$F$80,4)</f>
        <v>36.875</v>
      </c>
      <c r="Q51" s="151">
        <f t="shared" si="16"/>
        <v>737.5</v>
      </c>
      <c r="R51" s="143">
        <f t="shared" si="8"/>
        <v>3</v>
      </c>
      <c r="S51" s="138">
        <f t="shared" si="13"/>
        <v>288255</v>
      </c>
      <c r="T51" s="110">
        <f t="shared" si="9"/>
        <v>3</v>
      </c>
      <c r="U51" s="110">
        <f t="shared" si="6"/>
        <v>42</v>
      </c>
      <c r="V51" s="159">
        <f t="shared" si="7"/>
        <v>3</v>
      </c>
      <c r="W51" s="159">
        <f t="shared" si="10"/>
        <v>2212.5</v>
      </c>
      <c r="X51" t="s">
        <v>899</v>
      </c>
      <c r="Y51">
        <v>2</v>
      </c>
      <c r="Z51">
        <v>4363.38</v>
      </c>
      <c r="AA51" s="109">
        <v>-3.75</v>
      </c>
      <c r="AB51" t="s">
        <v>906</v>
      </c>
      <c r="AC51">
        <v>4471.75</v>
      </c>
      <c r="AD51" s="108">
        <v>4335</v>
      </c>
      <c r="AE51" s="108">
        <v>0</v>
      </c>
      <c r="AF51" s="165">
        <f t="shared" si="3"/>
        <v>-108.36999999999989</v>
      </c>
      <c r="AG51" s="143">
        <f t="shared" si="14"/>
        <v>-4334.7999999999956</v>
      </c>
      <c r="AH51" s="140">
        <f t="shared" si="5"/>
        <v>-0.20000000000436557</v>
      </c>
      <c r="AI51" s="110">
        <f>VLOOKUP(M51,CurrInfo!$A$43:$O$173,15)</f>
        <v>5000</v>
      </c>
    </row>
    <row r="52" spans="1:35"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181.25</v>
      </c>
      <c r="O52" s="152">
        <f t="shared" si="15"/>
        <v>9062.5</v>
      </c>
      <c r="P52" s="191">
        <f>VLOOKUP($A52,[3]futuresATR!$A$2:$F$80,4)</f>
        <v>4.7625000000000002</v>
      </c>
      <c r="Q52" s="169">
        <f t="shared" si="16"/>
        <v>238.125</v>
      </c>
      <c r="R52" s="143">
        <f t="shared" si="8"/>
        <v>9</v>
      </c>
      <c r="S52" s="138">
        <f t="shared" si="13"/>
        <v>81562.5</v>
      </c>
      <c r="T52" s="110">
        <f t="shared" si="9"/>
        <v>9</v>
      </c>
      <c r="U52" s="110">
        <f t="shared" si="6"/>
        <v>126</v>
      </c>
      <c r="V52" s="159">
        <f t="shared" si="7"/>
        <v>9</v>
      </c>
      <c r="W52" s="159">
        <f t="shared" si="10"/>
        <v>2143.125</v>
      </c>
      <c r="X52" t="s">
        <v>898</v>
      </c>
      <c r="Y52">
        <v>13</v>
      </c>
      <c r="Z52">
        <v>189</v>
      </c>
      <c r="AA52" s="109">
        <v>0.25</v>
      </c>
      <c r="AB52" s="133">
        <v>1.2999999999999999E-3</v>
      </c>
      <c r="AC52" s="134">
        <v>190.25</v>
      </c>
      <c r="AD52" s="108">
        <v>-812</v>
      </c>
      <c r="AE52" s="108">
        <v>0</v>
      </c>
      <c r="AF52" s="165">
        <f t="shared" si="3"/>
        <v>-1.25</v>
      </c>
      <c r="AG52" s="143">
        <f t="shared" si="14"/>
        <v>-812.5</v>
      </c>
      <c r="AH52" s="140">
        <f t="shared" si="5"/>
        <v>0.5</v>
      </c>
      <c r="AI52" s="110">
        <f>VLOOKUP(M52,CurrInfo!$A$43:$O$173,15)</f>
        <v>750</v>
      </c>
    </row>
    <row r="53" spans="1:35"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180.95</v>
      </c>
      <c r="O53" s="152">
        <f t="shared" si="15"/>
        <v>27142.5</v>
      </c>
      <c r="P53" s="191">
        <f>VLOOKUP($A53,[3]futuresATR!$A$2:$F$80,4)</f>
        <v>7.0549999999999997</v>
      </c>
      <c r="Q53" s="151">
        <f t="shared" si="16"/>
        <v>1058.25</v>
      </c>
      <c r="R53" s="143">
        <f t="shared" si="8"/>
        <v>2</v>
      </c>
      <c r="S53" s="138">
        <f t="shared" si="13"/>
        <v>54285</v>
      </c>
      <c r="T53" s="110">
        <f t="shared" si="9"/>
        <v>2</v>
      </c>
      <c r="U53" s="110">
        <f t="shared" si="6"/>
        <v>28</v>
      </c>
      <c r="V53" s="159">
        <f t="shared" si="7"/>
        <v>2</v>
      </c>
      <c r="W53" s="159">
        <f t="shared" si="10"/>
        <v>2116.5</v>
      </c>
      <c r="X53" t="s">
        <v>899</v>
      </c>
      <c r="Y53">
        <v>5</v>
      </c>
      <c r="Z53">
        <v>147.5</v>
      </c>
      <c r="AA53" s="109">
        <v>0</v>
      </c>
      <c r="AB53" t="s">
        <v>902</v>
      </c>
      <c r="AC53">
        <v>148.5</v>
      </c>
      <c r="AD53" s="108">
        <v>750</v>
      </c>
      <c r="AE53" s="108">
        <v>0</v>
      </c>
      <c r="AF53" s="165">
        <f t="shared" si="3"/>
        <v>-1</v>
      </c>
      <c r="AG53" s="143">
        <f t="shared" si="14"/>
        <v>-750</v>
      </c>
      <c r="AH53" s="140">
        <f t="shared" si="5"/>
        <v>0</v>
      </c>
      <c r="AI53" s="110">
        <f>VLOOKUP(M53,CurrInfo!$A$43:$O$173,15)</f>
        <v>2188</v>
      </c>
    </row>
    <row r="54" spans="1:35"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690.8</v>
      </c>
      <c r="O54" s="152">
        <f t="shared" si="15"/>
        <v>69080</v>
      </c>
      <c r="P54" s="191">
        <f>VLOOKUP($A54,[3]futuresATR!$A$2:$F$80,4)</f>
        <v>18.524999999999999</v>
      </c>
      <c r="Q54" s="151">
        <f t="shared" si="16"/>
        <v>1852.4999999999998</v>
      </c>
      <c r="R54" s="143">
        <f t="shared" si="8"/>
        <v>2</v>
      </c>
      <c r="S54" s="138">
        <f t="shared" si="13"/>
        <v>138160</v>
      </c>
      <c r="T54" s="110">
        <f t="shared" si="9"/>
        <v>2</v>
      </c>
      <c r="U54" s="110">
        <f t="shared" si="6"/>
        <v>28</v>
      </c>
      <c r="V54" s="159">
        <f t="shared" si="7"/>
        <v>2</v>
      </c>
      <c r="W54" s="159">
        <f t="shared" si="10"/>
        <v>3704.9999999999995</v>
      </c>
      <c r="X54" t="s">
        <v>898</v>
      </c>
      <c r="Y54">
        <v>2</v>
      </c>
      <c r="Z54">
        <v>547.6</v>
      </c>
      <c r="AA54" s="109">
        <v>6.75</v>
      </c>
      <c r="AB54" s="133">
        <v>1.26E-2</v>
      </c>
      <c r="AC54">
        <v>542</v>
      </c>
      <c r="AD54" s="108">
        <v>1115</v>
      </c>
      <c r="AE54" s="108">
        <v>0</v>
      </c>
      <c r="AF54" s="165">
        <f t="shared" si="3"/>
        <v>5.6000000000000227</v>
      </c>
      <c r="AG54" s="143">
        <f t="shared" si="14"/>
        <v>1120.0000000000045</v>
      </c>
      <c r="AH54" s="140">
        <f t="shared" si="5"/>
        <v>5.0000000000045475</v>
      </c>
      <c r="AI54" s="110">
        <f>VLOOKUP(M54,CurrInfo!$A$43:$O$173,15)</f>
        <v>5250</v>
      </c>
    </row>
    <row r="55" spans="1:35"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1129.3</v>
      </c>
      <c r="O55" s="152">
        <f t="shared" si="15"/>
        <v>56465</v>
      </c>
      <c r="P55" s="191">
        <f>VLOOKUP($A55,[3]futuresATR!$A$2:$F$80,4)</f>
        <v>25.125</v>
      </c>
      <c r="Q55" s="151">
        <f t="shared" si="16"/>
        <v>1256.25</v>
      </c>
      <c r="R55" s="143">
        <f t="shared" si="8"/>
        <v>2</v>
      </c>
      <c r="S55" s="138">
        <f t="shared" si="13"/>
        <v>112930</v>
      </c>
      <c r="T55" s="110">
        <f t="shared" si="9"/>
        <v>2</v>
      </c>
      <c r="U55" s="110">
        <f t="shared" si="6"/>
        <v>28</v>
      </c>
      <c r="V55" s="159">
        <f t="shared" si="7"/>
        <v>2</v>
      </c>
      <c r="W55" s="159">
        <f t="shared" si="10"/>
        <v>2512.5</v>
      </c>
      <c r="X55" t="s">
        <v>898</v>
      </c>
      <c r="Y55">
        <v>3</v>
      </c>
      <c r="Z55">
        <v>1010.3</v>
      </c>
      <c r="AA55" s="108">
        <v>15</v>
      </c>
      <c r="AB55" s="133">
        <v>1.55E-2</v>
      </c>
      <c r="AC55">
        <v>1008.6</v>
      </c>
      <c r="AD55" s="108">
        <v>255</v>
      </c>
      <c r="AE55" s="108">
        <v>0</v>
      </c>
      <c r="AF55" s="165">
        <f t="shared" si="3"/>
        <v>1.6999999999999318</v>
      </c>
      <c r="AG55" s="143">
        <f t="shared" si="14"/>
        <v>254.99999999998977</v>
      </c>
      <c r="AH55" s="140">
        <f t="shared" si="5"/>
        <v>-1.0231815394945443E-11</v>
      </c>
      <c r="AI55" s="110">
        <f>VLOOKUP(M55,CurrInfo!$A$43:$O$173,15)</f>
        <v>3096</v>
      </c>
    </row>
    <row r="56" spans="1:35"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1.3709</v>
      </c>
      <c r="O56" s="152">
        <f t="shared" si="15"/>
        <v>57577.8</v>
      </c>
      <c r="P56" s="191">
        <f>VLOOKUP($A56,[3]futuresATR!$A$2:$F$80,4)</f>
        <v>4.3284999999999997E-2</v>
      </c>
      <c r="Q56" s="151">
        <f t="shared" si="16"/>
        <v>1817.9699999999998</v>
      </c>
      <c r="R56" s="143">
        <f t="shared" si="8"/>
        <v>2</v>
      </c>
      <c r="S56" s="138">
        <f t="shared" si="13"/>
        <v>115155.6</v>
      </c>
      <c r="T56" s="110">
        <f t="shared" si="9"/>
        <v>2</v>
      </c>
      <c r="U56" s="110">
        <f t="shared" si="6"/>
        <v>28</v>
      </c>
      <c r="V56" s="159">
        <f t="shared" si="7"/>
        <v>2</v>
      </c>
      <c r="W56" s="159">
        <f t="shared" si="10"/>
        <v>3635.9399999999996</v>
      </c>
      <c r="X56" t="s">
        <v>899</v>
      </c>
      <c r="Y56">
        <v>2</v>
      </c>
      <c r="Z56">
        <v>1.6549</v>
      </c>
      <c r="AA56" s="109">
        <v>0</v>
      </c>
      <c r="AB56" t="s">
        <v>901</v>
      </c>
      <c r="AC56">
        <v>1.6546000000000001</v>
      </c>
      <c r="AD56" s="108">
        <v>-24</v>
      </c>
      <c r="AE56" s="108">
        <v>0</v>
      </c>
      <c r="AF56" s="165">
        <f t="shared" si="3"/>
        <v>2.9999999999996696E-4</v>
      </c>
      <c r="AG56" s="143">
        <f t="shared" si="14"/>
        <v>25.199999999997225</v>
      </c>
      <c r="AH56" s="140">
        <f t="shared" si="5"/>
        <v>1.1999999999972246</v>
      </c>
      <c r="AI56" s="110">
        <f>VLOOKUP(M56,CurrInfo!$A$43:$O$173,15)</f>
        <v>6118</v>
      </c>
    </row>
    <row r="57" spans="1:35"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9.6549999999999994</v>
      </c>
      <c r="O57" s="152">
        <f t="shared" si="15"/>
        <v>19310</v>
      </c>
      <c r="P57" s="191">
        <f>VLOOKUP($A57,[3]futuresATR!$A$2:$F$80,4)</f>
        <v>0.23499999999999999</v>
      </c>
      <c r="Q57" s="151">
        <f t="shared" si="16"/>
        <v>470</v>
      </c>
      <c r="R57" s="143">
        <f t="shared" si="8"/>
        <v>5</v>
      </c>
      <c r="S57" s="138">
        <f t="shared" si="13"/>
        <v>96550</v>
      </c>
      <c r="T57" s="110">
        <f t="shared" si="9"/>
        <v>5</v>
      </c>
      <c r="U57" s="110">
        <f t="shared" si="6"/>
        <v>70</v>
      </c>
      <c r="V57" s="159">
        <f t="shared" si="7"/>
        <v>5</v>
      </c>
      <c r="W57" s="159">
        <f t="shared" si="10"/>
        <v>2350</v>
      </c>
      <c r="X57" t="s">
        <v>898</v>
      </c>
      <c r="Y57">
        <v>7</v>
      </c>
      <c r="Z57">
        <v>11.606999999999999</v>
      </c>
      <c r="AA57" s="109">
        <v>0.13</v>
      </c>
      <c r="AB57" s="133">
        <v>1.2E-2</v>
      </c>
      <c r="AC57">
        <v>11.37</v>
      </c>
      <c r="AD57" s="108">
        <v>3320</v>
      </c>
      <c r="AE57" s="108">
        <v>0</v>
      </c>
      <c r="AF57" s="165">
        <f t="shared" si="3"/>
        <v>0.2370000000000001</v>
      </c>
      <c r="AG57" s="143">
        <f t="shared" si="14"/>
        <v>3318.0000000000018</v>
      </c>
      <c r="AH57" s="140">
        <f t="shared" si="5"/>
        <v>-1.999999999998181</v>
      </c>
      <c r="AI57" s="110">
        <f>VLOOKUP(M57,CurrInfo!$A$43:$O$173,15)</f>
        <v>1370</v>
      </c>
    </row>
    <row r="58" spans="1:35" s="112" customFormat="1" x14ac:dyDescent="0.25">
      <c r="A58" s="4" t="s">
        <v>391</v>
      </c>
      <c r="B58" s="112" t="s">
        <v>392</v>
      </c>
      <c r="C58" s="154" t="s">
        <v>391</v>
      </c>
      <c r="D58" s="112" t="s">
        <v>478</v>
      </c>
      <c r="E58" s="112" t="s">
        <v>1013</v>
      </c>
      <c r="F58" s="112" t="s">
        <v>1014</v>
      </c>
      <c r="G58" s="112" t="s">
        <v>487</v>
      </c>
      <c r="H58">
        <f>VLOOKUP(G58,CurrInfo!$E$1:$F$10,2)</f>
        <v>1.2961</v>
      </c>
      <c r="I58" s="147">
        <v>20</v>
      </c>
      <c r="J58" s="112">
        <v>0.1</v>
      </c>
      <c r="K58" s="112" t="s">
        <v>297</v>
      </c>
      <c r="M58" s="145" t="s">
        <v>490</v>
      </c>
      <c r="N58" s="190">
        <f>VLOOKUP($A58,[3]futuresATR!$A$2:$F$80,3)</f>
        <v>461.4</v>
      </c>
      <c r="O58" s="152">
        <f t="shared" si="15"/>
        <v>7119.8210014659362</v>
      </c>
      <c r="P58" s="191">
        <f>VLOOKUP($A58,[3]futuresATR!$A$2:$F$80,4)</f>
        <v>7.86</v>
      </c>
      <c r="Q58" s="151">
        <f t="shared" si="16"/>
        <v>121.28693773628579</v>
      </c>
      <c r="R58" s="143">
        <f t="shared" si="8"/>
        <v>17</v>
      </c>
      <c r="S58" s="138">
        <f t="shared" si="13"/>
        <v>121036.95702492092</v>
      </c>
      <c r="T58" s="110">
        <f t="shared" si="9"/>
        <v>17</v>
      </c>
      <c r="U58" s="110">
        <f t="shared" si="6"/>
        <v>238</v>
      </c>
      <c r="V58" s="159">
        <f t="shared" si="7"/>
        <v>17</v>
      </c>
      <c r="W58" s="159">
        <f t="shared" si="10"/>
        <v>2061.8779415168583</v>
      </c>
      <c r="X58" s="112" t="s">
        <v>898</v>
      </c>
      <c r="Y58" s="112">
        <v>28</v>
      </c>
      <c r="Z58" s="112">
        <v>516.20000000000005</v>
      </c>
      <c r="AA58" s="112" t="s">
        <v>1048</v>
      </c>
      <c r="AB58" s="160">
        <v>1.5E-3</v>
      </c>
      <c r="AC58" s="112">
        <v>517</v>
      </c>
      <c r="AD58" s="161">
        <v>-342</v>
      </c>
      <c r="AE58" s="161">
        <v>0</v>
      </c>
      <c r="AF58" s="165">
        <f t="shared" si="3"/>
        <v>-0.79999999999995453</v>
      </c>
      <c r="AG58" s="143">
        <f t="shared" si="14"/>
        <v>-345.6523416402859</v>
      </c>
      <c r="AH58" s="140">
        <f>ABS(AG58)-ABS(AD58)</f>
        <v>3.652341640285897</v>
      </c>
      <c r="AI58" s="110">
        <f>VLOOKUP(M58,CurrInfo!$A$43:$O$173,15)</f>
        <v>270.81243731193581</v>
      </c>
    </row>
    <row r="59" spans="1:35"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981.75</v>
      </c>
      <c r="O59" s="152">
        <f t="shared" si="15"/>
        <v>49087.5</v>
      </c>
      <c r="P59" s="191">
        <f>VLOOKUP($A59,[3]futuresATR!$A$2:$F$80,4)</f>
        <v>25.75</v>
      </c>
      <c r="Q59" s="151">
        <f t="shared" si="16"/>
        <v>1287.5</v>
      </c>
      <c r="R59" s="143">
        <f t="shared" si="8"/>
        <v>2</v>
      </c>
      <c r="S59" s="138">
        <f t="shared" si="13"/>
        <v>98175</v>
      </c>
      <c r="T59" s="110">
        <f t="shared" si="9"/>
        <v>2</v>
      </c>
      <c r="U59" s="110">
        <f t="shared" si="6"/>
        <v>28</v>
      </c>
      <c r="V59" s="159">
        <f t="shared" si="7"/>
        <v>2</v>
      </c>
      <c r="W59" s="159">
        <f t="shared" si="10"/>
        <v>2575</v>
      </c>
      <c r="X59" t="s">
        <v>899</v>
      </c>
      <c r="Y59">
        <v>1</v>
      </c>
      <c r="Z59">
        <v>1062</v>
      </c>
      <c r="AA59" s="109">
        <v>-2</v>
      </c>
      <c r="AB59" t="s">
        <v>907</v>
      </c>
      <c r="AC59" s="134">
        <v>1084.5</v>
      </c>
      <c r="AD59" s="108">
        <v>1125</v>
      </c>
      <c r="AE59" s="108">
        <v>0</v>
      </c>
      <c r="AF59" s="165">
        <f t="shared" si="3"/>
        <v>-22.5</v>
      </c>
      <c r="AG59" s="143">
        <f t="shared" si="14"/>
        <v>-1125</v>
      </c>
      <c r="AH59" s="140">
        <f t="shared" si="5"/>
        <v>0</v>
      </c>
      <c r="AI59" s="110">
        <f>VLOOKUP(M59,CurrInfo!$A$43:$O$173,15)</f>
        <v>7625</v>
      </c>
    </row>
    <row r="60" spans="1:35"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19.71</v>
      </c>
      <c r="O60" s="152">
        <f t="shared" si="15"/>
        <v>22075.200000000001</v>
      </c>
      <c r="P60" s="191">
        <f>VLOOKUP($A60,[3]futuresATR!$A$2:$F$80,4)</f>
        <v>0.54649999999999999</v>
      </c>
      <c r="Q60" s="151">
        <f t="shared" si="16"/>
        <v>612.07999999999993</v>
      </c>
      <c r="R60" s="143">
        <f t="shared" si="8"/>
        <v>4</v>
      </c>
      <c r="S60" s="138">
        <f t="shared" si="13"/>
        <v>88300.800000000003</v>
      </c>
      <c r="T60" s="110">
        <f t="shared" si="9"/>
        <v>4</v>
      </c>
      <c r="U60" s="110">
        <f t="shared" si="6"/>
        <v>56</v>
      </c>
      <c r="V60" s="159">
        <f t="shared" si="7"/>
        <v>4</v>
      </c>
      <c r="W60" s="159">
        <f t="shared" si="10"/>
        <v>2448.3199999999997</v>
      </c>
      <c r="X60" t="s">
        <v>899</v>
      </c>
      <c r="Y60">
        <v>3</v>
      </c>
      <c r="Z60">
        <v>16.739999999999998</v>
      </c>
      <c r="AA60" s="109">
        <v>0</v>
      </c>
      <c r="AB60" t="s">
        <v>902</v>
      </c>
      <c r="AC60">
        <v>17.12</v>
      </c>
      <c r="AD60" s="108">
        <v>1288</v>
      </c>
      <c r="AE60" s="108">
        <v>0</v>
      </c>
      <c r="AF60" s="165">
        <f t="shared" si="3"/>
        <v>-0.38000000000000256</v>
      </c>
      <c r="AG60" s="143">
        <f t="shared" si="14"/>
        <v>-1276.8000000000086</v>
      </c>
      <c r="AH60" s="140">
        <f t="shared" si="5"/>
        <v>-11.199999999991405</v>
      </c>
      <c r="AI60" s="110">
        <f>VLOOKUP(M60,CurrInfo!$A$43:$O$173,15)</f>
        <v>3000</v>
      </c>
    </row>
    <row r="61" spans="1:35"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1.0274000000000001</v>
      </c>
      <c r="O61" s="152">
        <f t="shared" si="15"/>
        <v>128425.00000000001</v>
      </c>
      <c r="P61" s="191">
        <f>VLOOKUP($A61,[3]futuresATR!$A$2:$F$80,4)</f>
        <v>7.3499999999999998E-3</v>
      </c>
      <c r="Q61" s="151">
        <f t="shared" si="16"/>
        <v>918.75</v>
      </c>
      <c r="R61" s="143">
        <f t="shared" si="8"/>
        <v>3</v>
      </c>
      <c r="S61" s="138">
        <f t="shared" si="13"/>
        <v>385275.00000000006</v>
      </c>
      <c r="T61" s="110">
        <f t="shared" si="9"/>
        <v>3</v>
      </c>
      <c r="U61" s="110">
        <f t="shared" si="6"/>
        <v>42</v>
      </c>
      <c r="V61" s="159">
        <f t="shared" si="7"/>
        <v>3</v>
      </c>
      <c r="W61" s="159">
        <f t="shared" si="10"/>
        <v>2756.25</v>
      </c>
      <c r="X61" t="s">
        <v>898</v>
      </c>
      <c r="Y61">
        <v>1</v>
      </c>
      <c r="Z61">
        <v>1.0099</v>
      </c>
      <c r="AA61" s="109">
        <v>0</v>
      </c>
      <c r="AB61" s="133">
        <v>1.9E-3</v>
      </c>
      <c r="AC61">
        <v>1.0114000000000001</v>
      </c>
      <c r="AD61" s="108">
        <v>-187</v>
      </c>
      <c r="AE61" s="108">
        <v>0</v>
      </c>
      <c r="AF61" s="165">
        <f t="shared" si="3"/>
        <v>-1.5000000000000568E-3</v>
      </c>
      <c r="AG61" s="143">
        <f t="shared" si="14"/>
        <v>-187.50000000000711</v>
      </c>
      <c r="AH61" s="140">
        <f t="shared" si="5"/>
        <v>0.50000000000710543</v>
      </c>
      <c r="AI61" s="110">
        <f>VLOOKUP(M61,CurrInfo!$A$43:$O$173,15)</f>
        <v>11202</v>
      </c>
    </row>
    <row r="62" spans="1:35"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1970.3</v>
      </c>
      <c r="O62" s="168">
        <f>N62*I62/H62/100</f>
        <v>98515</v>
      </c>
      <c r="P62" s="191">
        <f>VLOOKUP($A62,[3]futuresATR!$A$2:$F$80,4)</f>
        <v>46.9</v>
      </c>
      <c r="Q62" s="158">
        <f>P62*I62/H62/100</f>
        <v>2345</v>
      </c>
      <c r="R62" s="143">
        <f t="shared" si="8"/>
        <v>1</v>
      </c>
      <c r="S62" s="138">
        <f t="shared" si="13"/>
        <v>98515</v>
      </c>
      <c r="T62" s="110">
        <f t="shared" si="9"/>
        <v>1</v>
      </c>
      <c r="U62" s="110">
        <f t="shared" si="6"/>
        <v>14</v>
      </c>
      <c r="V62" s="159">
        <f t="shared" si="7"/>
        <v>1</v>
      </c>
      <c r="W62" s="159">
        <f t="shared" si="10"/>
        <v>2345</v>
      </c>
      <c r="X62" t="s">
        <v>898</v>
      </c>
      <c r="Y62">
        <v>8</v>
      </c>
      <c r="Z62">
        <v>16.274999999999999</v>
      </c>
      <c r="AA62" s="109">
        <v>0.11</v>
      </c>
      <c r="AB62" s="133">
        <v>6.4000000000000003E-3</v>
      </c>
      <c r="AC62">
        <v>16.440000000000001</v>
      </c>
      <c r="AD62" s="108">
        <v>-6599</v>
      </c>
      <c r="AE62" s="108">
        <v>0</v>
      </c>
      <c r="AF62" s="165">
        <f t="shared" si="3"/>
        <v>-0.1650000000000027</v>
      </c>
      <c r="AG62" s="143">
        <f t="shared" si="14"/>
        <v>-6600.0000000001082</v>
      </c>
      <c r="AH62" s="140">
        <f t="shared" si="5"/>
        <v>1.0000000001082299</v>
      </c>
      <c r="AI62" s="110">
        <f>VLOOKUP(M62,CurrInfo!$A$43:$O$173,15)</f>
        <v>1296</v>
      </c>
    </row>
    <row r="63" spans="1:35"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8674.5</v>
      </c>
      <c r="O63" s="152">
        <f t="shared" ref="O63:O80" si="17">N63*I63/H63</f>
        <v>17349</v>
      </c>
      <c r="P63" s="191">
        <f>VLOOKUP($A63,[3]futuresATR!$A$2:$F$80,4)</f>
        <v>86.643766643500001</v>
      </c>
      <c r="Q63" s="151">
        <f t="shared" ref="Q63:Q80" si="18">P63*I63/H63</f>
        <v>173.287533287</v>
      </c>
      <c r="R63" s="143">
        <f t="shared" si="8"/>
        <v>12</v>
      </c>
      <c r="S63" s="138">
        <f t="shared" si="13"/>
        <v>208188</v>
      </c>
      <c r="T63" s="110">
        <f t="shared" si="9"/>
        <v>12</v>
      </c>
      <c r="U63" s="110">
        <f t="shared" si="6"/>
        <v>168</v>
      </c>
      <c r="V63" s="159">
        <f t="shared" si="7"/>
        <v>12</v>
      </c>
      <c r="W63" s="159">
        <f t="shared" si="10"/>
        <v>2079.4503994440001</v>
      </c>
      <c r="X63" s="112" t="s">
        <v>899</v>
      </c>
      <c r="Y63" s="112">
        <v>38</v>
      </c>
      <c r="Z63" s="112">
        <v>8178</v>
      </c>
      <c r="AA63" s="162">
        <v>9.5</v>
      </c>
      <c r="AB63" s="160">
        <v>1.1999999999999999E-3</v>
      </c>
      <c r="AC63" s="112">
        <v>8187.5</v>
      </c>
      <c r="AD63" s="161">
        <v>722</v>
      </c>
      <c r="AE63" s="112"/>
      <c r="AF63" s="165">
        <f t="shared" si="3"/>
        <v>-9.5</v>
      </c>
      <c r="AG63" s="143">
        <f t="shared" si="14"/>
        <v>-722</v>
      </c>
      <c r="AH63" s="140">
        <f t="shared" si="5"/>
        <v>0</v>
      </c>
      <c r="AI63" s="110">
        <f>VLOOKUP(M63,CurrInfo!$A$43:$O$173,15)</f>
        <v>563</v>
      </c>
    </row>
    <row r="64" spans="1:35" x14ac:dyDescent="0.25">
      <c r="A64" s="4" t="s">
        <v>992</v>
      </c>
      <c r="B64" s="112" t="s">
        <v>993</v>
      </c>
      <c r="C64" s="154" t="s">
        <v>992</v>
      </c>
      <c r="D64" s="112" t="s">
        <v>268</v>
      </c>
      <c r="E64" s="112" t="s">
        <v>778</v>
      </c>
      <c r="F64" s="112" t="s">
        <v>1021</v>
      </c>
      <c r="G64" s="112" t="s">
        <v>440</v>
      </c>
      <c r="H64">
        <f>VLOOKUP(G64,CurrInfo!$E$1:$F$10,2)</f>
        <v>101.23</v>
      </c>
      <c r="I64" s="112">
        <v>100000</v>
      </c>
      <c r="J64" s="112">
        <v>0.01</v>
      </c>
      <c r="K64" s="112" t="s">
        <v>1122</v>
      </c>
      <c r="L64" s="112"/>
      <c r="M64" s="145" t="s">
        <v>443</v>
      </c>
      <c r="N64" s="190">
        <f>VLOOKUP($A64,[3]futuresATR!$A$2:$F$80,3)</f>
        <v>151.59</v>
      </c>
      <c r="O64" s="152">
        <f t="shared" si="17"/>
        <v>149748.09838980538</v>
      </c>
      <c r="P64" s="191">
        <f>VLOOKUP($A64,[3]futuresATR!$A$2:$F$80,4)</f>
        <v>0.48049999999999998</v>
      </c>
      <c r="Q64" s="151">
        <f t="shared" si="18"/>
        <v>474.66166156277779</v>
      </c>
      <c r="R64" s="143">
        <f t="shared" si="8"/>
        <v>5</v>
      </c>
      <c r="S64" s="138">
        <f t="shared" si="13"/>
        <v>748740.49194902694</v>
      </c>
      <c r="T64" s="110">
        <f t="shared" si="9"/>
        <v>5</v>
      </c>
      <c r="U64" s="110">
        <f t="shared" si="6"/>
        <v>70</v>
      </c>
      <c r="V64" s="159">
        <f t="shared" si="7"/>
        <v>5</v>
      </c>
      <c r="W64" s="159">
        <f t="shared" si="10"/>
        <v>2373.3083078138889</v>
      </c>
      <c r="X64" s="112" t="s">
        <v>898</v>
      </c>
      <c r="Y64" s="112">
        <v>10</v>
      </c>
      <c r="Z64" s="112">
        <v>152</v>
      </c>
      <c r="AA64" s="112" t="s">
        <v>1063</v>
      </c>
      <c r="AB64" s="160" t="s">
        <v>905</v>
      </c>
      <c r="AC64" s="112">
        <v>152.01</v>
      </c>
      <c r="AD64" s="161">
        <v>-91</v>
      </c>
      <c r="AE64" s="161">
        <v>147</v>
      </c>
      <c r="AF64" s="165">
        <f t="shared" si="3"/>
        <v>-9.9999999999909051E-3</v>
      </c>
      <c r="AG64" s="143">
        <f t="shared" si="14"/>
        <v>-98.784945174265573</v>
      </c>
      <c r="AH64" s="140">
        <f t="shared" si="5"/>
        <v>7.7849451742655731</v>
      </c>
      <c r="AI64" s="110">
        <f>VLOOKUP(M64,CurrInfo!$A$43:$O$173,15)</f>
        <v>493.92472587177713</v>
      </c>
    </row>
    <row r="65" spans="1:35"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327.8</v>
      </c>
      <c r="O65" s="152">
        <f t="shared" si="17"/>
        <v>32780</v>
      </c>
      <c r="P65" s="191">
        <f>VLOOKUP($A65,[3]futuresATR!$A$2:$F$80,4)</f>
        <v>9.9749999999999996</v>
      </c>
      <c r="Q65" s="151">
        <f t="shared" si="18"/>
        <v>997.5</v>
      </c>
      <c r="R65" s="143">
        <f t="shared" si="8"/>
        <v>3</v>
      </c>
      <c r="S65" s="138">
        <f t="shared" si="13"/>
        <v>98340</v>
      </c>
      <c r="T65" s="110">
        <f t="shared" si="9"/>
        <v>3</v>
      </c>
      <c r="U65" s="110">
        <f t="shared" si="6"/>
        <v>42</v>
      </c>
      <c r="V65" s="159">
        <f t="shared" si="7"/>
        <v>3</v>
      </c>
      <c r="W65" s="159">
        <f t="shared" si="10"/>
        <v>2992.5</v>
      </c>
      <c r="X65" t="s">
        <v>899</v>
      </c>
      <c r="Y65">
        <v>2</v>
      </c>
      <c r="Z65">
        <v>384.1</v>
      </c>
      <c r="AA65" s="109">
        <v>1.5</v>
      </c>
      <c r="AB65" s="133">
        <v>3.7000000000000002E-3</v>
      </c>
      <c r="AC65">
        <v>409.3</v>
      </c>
      <c r="AD65" s="108">
        <v>5040</v>
      </c>
      <c r="AE65" s="108">
        <v>0</v>
      </c>
      <c r="AF65" s="165">
        <f t="shared" si="3"/>
        <v>-25.199999999999989</v>
      </c>
      <c r="AG65" s="143">
        <f t="shared" si="14"/>
        <v>-5039.9999999999982</v>
      </c>
      <c r="AH65" s="140">
        <f t="shared" si="5"/>
        <v>0</v>
      </c>
      <c r="AI65" s="110">
        <f>VLOOKUP(M65,CurrInfo!$A$43:$O$173,15)</f>
        <v>6000</v>
      </c>
    </row>
    <row r="66" spans="1:35" x14ac:dyDescent="0.25">
      <c r="A66" s="4" t="s">
        <v>868</v>
      </c>
      <c r="B66" s="112" t="s">
        <v>407</v>
      </c>
      <c r="C66" s="154" t="s">
        <v>868</v>
      </c>
      <c r="D66" s="112" t="s">
        <v>526</v>
      </c>
      <c r="E66" s="112" t="s">
        <v>778</v>
      </c>
      <c r="F66" s="112">
        <v>10</v>
      </c>
      <c r="G66" s="112" t="s">
        <v>535</v>
      </c>
      <c r="H66">
        <f>VLOOKUP(G66,CurrInfo!$E$1:$F$10,2)</f>
        <v>0.97460000000000002</v>
      </c>
      <c r="I66" s="112">
        <v>10</v>
      </c>
      <c r="J66" s="112">
        <v>1</v>
      </c>
      <c r="K66" s="112" t="s">
        <v>294</v>
      </c>
      <c r="L66" s="112" t="s">
        <v>868</v>
      </c>
      <c r="M66" s="145" t="s">
        <v>746</v>
      </c>
      <c r="N66" s="190">
        <f>VLOOKUP($A66,[3]futuresATR!$A$2:$F$80,3)</f>
        <v>8281</v>
      </c>
      <c r="O66" s="152">
        <f t="shared" si="17"/>
        <v>84968.192078801556</v>
      </c>
      <c r="P66" s="191">
        <f>VLOOKUP($A66,[3]futuresATR!$A$2:$F$80,4)</f>
        <v>85</v>
      </c>
      <c r="Q66" s="151">
        <f t="shared" si="18"/>
        <v>872.15267802175254</v>
      </c>
      <c r="R66" s="143">
        <f t="shared" si="8"/>
        <v>3</v>
      </c>
      <c r="S66" s="138">
        <f t="shared" ref="S66:S78" si="19">R66*O66</f>
        <v>254904.57623640465</v>
      </c>
      <c r="T66" s="110">
        <f t="shared" si="9"/>
        <v>3</v>
      </c>
      <c r="U66" s="110">
        <f t="shared" si="6"/>
        <v>42</v>
      </c>
      <c r="V66" s="159">
        <f t="shared" si="7"/>
        <v>3</v>
      </c>
      <c r="W66" s="159">
        <f t="shared" si="10"/>
        <v>2616.4580340652574</v>
      </c>
      <c r="X66" s="112" t="s">
        <v>898</v>
      </c>
      <c r="Y66" s="112">
        <v>5</v>
      </c>
      <c r="Z66" s="112">
        <v>8170</v>
      </c>
      <c r="AA66" s="112" t="s">
        <v>1062</v>
      </c>
      <c r="AB66" s="112" t="s">
        <v>902</v>
      </c>
      <c r="AC66" s="112">
        <v>8246</v>
      </c>
      <c r="AD66" s="161">
        <v>-3836</v>
      </c>
      <c r="AE66" s="161">
        <v>0</v>
      </c>
      <c r="AF66" s="165">
        <f t="shared" ref="AF66:AF75" si="20">Z66-AC66</f>
        <v>-76</v>
      </c>
      <c r="AG66" s="143">
        <f t="shared" ref="AG66:AG80" si="21">AF66*I66*Y66/H66</f>
        <v>-3899.0355017443053</v>
      </c>
      <c r="AH66" s="140">
        <f t="shared" ref="AH66:AH75" si="22">ABS(AG66)-ABS(AD66)</f>
        <v>63.035501744305293</v>
      </c>
      <c r="AI66" s="110">
        <f>VLOOKUP(M66,CurrInfo!$A$43:$O$173,15)</f>
        <v>8784.1165606402628</v>
      </c>
    </row>
    <row r="67" spans="1:35"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314.3</v>
      </c>
      <c r="O67" s="152">
        <f t="shared" si="17"/>
        <v>46910.447761194024</v>
      </c>
      <c r="P67" s="191">
        <f>VLOOKUP($A67,[3]futuresATR!$A$2:$F$80,4)</f>
        <v>3.8619898195000002</v>
      </c>
      <c r="Q67" s="151">
        <f t="shared" si="18"/>
        <v>576.41639097014922</v>
      </c>
      <c r="R67" s="143">
        <f t="shared" ref="R67:R80" si="23">MAX(CEILING($R$1/Q67,1),1)</f>
        <v>4</v>
      </c>
      <c r="S67" s="138">
        <f t="shared" si="19"/>
        <v>187641.7910447761</v>
      </c>
      <c r="T67" s="110">
        <f t="shared" ref="T67:T80" si="24">IF(R67&gt;$T$1,$T$1,R67)</f>
        <v>4</v>
      </c>
      <c r="U67" s="110">
        <f t="shared" ref="U67:U80" si="25">T67*2*7</f>
        <v>56</v>
      </c>
      <c r="V67" s="159">
        <f t="shared" ref="V67:V80" si="26">IF(ROUND(T67*Q67/$R$1,0)&lt;1,0,T67)</f>
        <v>4</v>
      </c>
      <c r="W67" s="159">
        <f t="shared" ref="W67:W80" si="27">V67*Q67</f>
        <v>2305.6655638805969</v>
      </c>
      <c r="X67" s="112" t="s">
        <v>899</v>
      </c>
      <c r="Y67" s="112">
        <v>4</v>
      </c>
      <c r="Z67" s="112">
        <v>324.2</v>
      </c>
      <c r="AA67" s="112" t="s">
        <v>1135</v>
      </c>
      <c r="AB67" s="112" t="s">
        <v>902</v>
      </c>
      <c r="AC67" s="112">
        <v>321.60000000000002</v>
      </c>
      <c r="AD67" s="161">
        <v>-3809</v>
      </c>
      <c r="AE67" s="161">
        <v>0</v>
      </c>
      <c r="AF67" s="165">
        <f t="shared" si="20"/>
        <v>2.5999999999999659</v>
      </c>
      <c r="AG67" s="143">
        <f t="shared" si="21"/>
        <v>1552.2388059701289</v>
      </c>
      <c r="AH67" s="140">
        <f t="shared" si="22"/>
        <v>-2256.7611940298711</v>
      </c>
      <c r="AI67" s="110">
        <f>VLOOKUP(M67,CurrInfo!$A$43:$O$173,15)</f>
        <v>1548.4799999999998</v>
      </c>
    </row>
    <row r="68" spans="1:35"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340.9</v>
      </c>
      <c r="O68" s="152">
        <f t="shared" si="17"/>
        <v>34090</v>
      </c>
      <c r="P68" s="191">
        <f>VLOOKUP($A68,[3]futuresATR!$A$2:$F$80,4)</f>
        <v>3.9238998215000001</v>
      </c>
      <c r="Q68" s="151">
        <f t="shared" si="18"/>
        <v>392.38998214999998</v>
      </c>
      <c r="R68" s="143">
        <f t="shared" si="23"/>
        <v>6</v>
      </c>
      <c r="S68" s="138">
        <f t="shared" si="19"/>
        <v>204540</v>
      </c>
      <c r="T68" s="110">
        <f t="shared" si="24"/>
        <v>6</v>
      </c>
      <c r="U68" s="110">
        <f t="shared" si="25"/>
        <v>84</v>
      </c>
      <c r="V68" s="159">
        <f t="shared" si="26"/>
        <v>6</v>
      </c>
      <c r="W68" s="159">
        <f t="shared" si="27"/>
        <v>2354.3398929</v>
      </c>
      <c r="X68" s="112" t="s">
        <v>899</v>
      </c>
      <c r="Y68" s="112">
        <v>7</v>
      </c>
      <c r="Z68" s="112">
        <v>314.89999999999998</v>
      </c>
      <c r="AA68" s="162">
        <v>-0.1</v>
      </c>
      <c r="AB68" s="112" t="s">
        <v>900</v>
      </c>
      <c r="AC68" s="112">
        <v>314.8</v>
      </c>
      <c r="AD68" s="161">
        <v>-69</v>
      </c>
      <c r="AE68" s="161">
        <v>0</v>
      </c>
      <c r="AF68" s="165">
        <f t="shared" si="20"/>
        <v>9.9999999999965894E-2</v>
      </c>
      <c r="AG68" s="143">
        <f t="shared" si="21"/>
        <v>69.999999999976126</v>
      </c>
      <c r="AH68" s="140">
        <f t="shared" si="22"/>
        <v>0.99999999997612576</v>
      </c>
      <c r="AI68" s="110">
        <f>VLOOKUP(M68,CurrInfo!$A$43:$O$173,15)</f>
        <v>1875</v>
      </c>
    </row>
    <row r="69" spans="1:35" x14ac:dyDescent="0.25">
      <c r="A69" s="4" t="s">
        <v>408</v>
      </c>
      <c r="B69" t="s">
        <v>409</v>
      </c>
      <c r="C69" s="154" t="s">
        <v>408</v>
      </c>
      <c r="D69" t="s">
        <v>526</v>
      </c>
      <c r="E69" t="s">
        <v>778</v>
      </c>
      <c r="F69" t="s">
        <v>869</v>
      </c>
      <c r="G69" t="s">
        <v>469</v>
      </c>
      <c r="H69">
        <f>VLOOKUP(G69,CurrInfo!$E$1:$F$10,2)</f>
        <v>0.8957362952346829</v>
      </c>
      <c r="I69">
        <v>10</v>
      </c>
      <c r="J69">
        <v>1</v>
      </c>
      <c r="K69" t="s">
        <v>294</v>
      </c>
      <c r="L69" t="s">
        <v>870</v>
      </c>
      <c r="M69" s="132" t="s">
        <v>527</v>
      </c>
      <c r="N69" s="190">
        <f>VLOOKUP($A69,[3]futuresATR!$A$2:$F$80,3)</f>
        <v>3046</v>
      </c>
      <c r="O69" s="152">
        <f t="shared" si="17"/>
        <v>34005.544000000002</v>
      </c>
      <c r="P69" s="191">
        <f>VLOOKUP($A69,[3]futuresATR!$A$2:$F$80,4)</f>
        <v>38.75</v>
      </c>
      <c r="Q69" s="151">
        <f t="shared" si="18"/>
        <v>432.60500000000002</v>
      </c>
      <c r="R69" s="143">
        <f t="shared" si="23"/>
        <v>5</v>
      </c>
      <c r="S69" s="138">
        <f t="shared" si="19"/>
        <v>170027.72</v>
      </c>
      <c r="T69" s="110">
        <f t="shared" si="24"/>
        <v>5</v>
      </c>
      <c r="U69" s="110">
        <f t="shared" si="25"/>
        <v>70</v>
      </c>
      <c r="V69" s="159">
        <f t="shared" si="26"/>
        <v>5</v>
      </c>
      <c r="W69" s="159">
        <f t="shared" si="27"/>
        <v>2163.0250000000001</v>
      </c>
      <c r="X69" t="s">
        <v>899</v>
      </c>
      <c r="Y69">
        <v>3</v>
      </c>
      <c r="Z69">
        <v>2942.67</v>
      </c>
      <c r="AA69" s="136">
        <v>-6</v>
      </c>
      <c r="AB69" t="s">
        <v>909</v>
      </c>
      <c r="AC69">
        <v>3037</v>
      </c>
      <c r="AD69" s="108">
        <v>3164</v>
      </c>
      <c r="AE69" s="108">
        <v>0</v>
      </c>
      <c r="AF69" s="165">
        <f t="shared" si="20"/>
        <v>-94.329999999999927</v>
      </c>
      <c r="AG69" s="143">
        <f t="shared" si="21"/>
        <v>-3159.3003599999975</v>
      </c>
      <c r="AH69" s="140">
        <f t="shared" si="22"/>
        <v>-4.699640000002546</v>
      </c>
      <c r="AI69" s="110">
        <f>VLOOKUP(M69,CurrInfo!$A$43:$O$173,15)</f>
        <v>3237.56</v>
      </c>
    </row>
    <row r="70" spans="1:35"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1227.2</v>
      </c>
      <c r="O70" s="152">
        <f t="shared" si="17"/>
        <v>122720</v>
      </c>
      <c r="P70" s="191">
        <f>VLOOKUP($A70,[3]futuresATR!$A$2:$F$80,4)</f>
        <v>12.435</v>
      </c>
      <c r="Q70" s="151">
        <f t="shared" si="18"/>
        <v>1243.5</v>
      </c>
      <c r="R70" s="143">
        <f t="shared" si="23"/>
        <v>2</v>
      </c>
      <c r="S70" s="138">
        <f t="shared" si="19"/>
        <v>245440</v>
      </c>
      <c r="T70" s="110">
        <f t="shared" si="24"/>
        <v>2</v>
      </c>
      <c r="U70" s="110">
        <f t="shared" si="25"/>
        <v>28</v>
      </c>
      <c r="V70" s="159">
        <f t="shared" si="26"/>
        <v>2</v>
      </c>
      <c r="W70" s="159">
        <f t="shared" si="27"/>
        <v>2487</v>
      </c>
      <c r="X70" t="s">
        <v>898</v>
      </c>
      <c r="Y70">
        <v>1</v>
      </c>
      <c r="Z70">
        <v>1139</v>
      </c>
      <c r="AA70" s="109">
        <v>0.1</v>
      </c>
      <c r="AB70" s="133">
        <v>1E-4</v>
      </c>
      <c r="AC70">
        <v>1139.0999999999999</v>
      </c>
      <c r="AD70" s="108">
        <v>-9</v>
      </c>
      <c r="AE70" s="108">
        <v>0</v>
      </c>
      <c r="AF70" s="165">
        <f t="shared" si="20"/>
        <v>-9.9999999999909051E-2</v>
      </c>
      <c r="AG70" s="143">
        <f t="shared" si="21"/>
        <v>-9.9999999999909051</v>
      </c>
      <c r="AH70" s="140">
        <f t="shared" si="22"/>
        <v>0.99999999999090505</v>
      </c>
      <c r="AI70" s="110">
        <f>VLOOKUP(M70,CurrInfo!$A$43:$O$173,15)</f>
        <v>6750</v>
      </c>
    </row>
    <row r="71" spans="1:35"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109.4140625</v>
      </c>
      <c r="O71" s="152">
        <f t="shared" si="17"/>
        <v>218828.125</v>
      </c>
      <c r="P71" s="191">
        <f>VLOOKUP($A71,[3]futuresATR!$A$2:$F$80,4)</f>
        <v>9.4531249999999997E-2</v>
      </c>
      <c r="Q71" s="151">
        <f t="shared" si="18"/>
        <v>189.0625</v>
      </c>
      <c r="R71" s="143">
        <f t="shared" si="23"/>
        <v>11</v>
      </c>
      <c r="S71" s="138">
        <f t="shared" si="19"/>
        <v>2407109.375</v>
      </c>
      <c r="T71" s="110">
        <f t="shared" si="24"/>
        <v>11</v>
      </c>
      <c r="U71" s="110">
        <f t="shared" si="25"/>
        <v>154</v>
      </c>
      <c r="V71" s="159">
        <f t="shared" si="26"/>
        <v>11</v>
      </c>
      <c r="W71" s="159">
        <f t="shared" si="27"/>
        <v>2079.6875</v>
      </c>
      <c r="X71" t="s">
        <v>898</v>
      </c>
      <c r="Y71">
        <v>15</v>
      </c>
      <c r="Z71" s="135">
        <v>108.8828125</v>
      </c>
      <c r="AA71" s="109">
        <v>0.05</v>
      </c>
      <c r="AB71" s="133">
        <v>4.0000000000000002E-4</v>
      </c>
      <c r="AC71" s="135">
        <v>108.9296875</v>
      </c>
      <c r="AD71" s="108">
        <v>-1343</v>
      </c>
      <c r="AE71" s="108">
        <v>0</v>
      </c>
      <c r="AF71" s="165">
        <f t="shared" si="20"/>
        <v>-4.6875E-2</v>
      </c>
      <c r="AG71" s="143">
        <f t="shared" si="21"/>
        <v>-1406.25</v>
      </c>
      <c r="AH71" s="140">
        <f t="shared" si="22"/>
        <v>63.25</v>
      </c>
      <c r="AI71" s="110">
        <f>VLOOKUP(M71,CurrInfo!$A$43:$O$173,15)</f>
        <v>687</v>
      </c>
    </row>
    <row r="72" spans="1:35"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132.53125</v>
      </c>
      <c r="O72" s="152">
        <f t="shared" si="17"/>
        <v>132531.25</v>
      </c>
      <c r="P72" s="191">
        <f>VLOOKUP($A72,[3]futuresATR!$A$2:$F$80,4)</f>
        <v>0.57890624999999996</v>
      </c>
      <c r="Q72" s="151">
        <f t="shared" si="18"/>
        <v>578.90625</v>
      </c>
      <c r="R72" s="143">
        <f t="shared" si="23"/>
        <v>4</v>
      </c>
      <c r="S72" s="138">
        <f t="shared" si="19"/>
        <v>530125</v>
      </c>
      <c r="T72" s="110">
        <f t="shared" si="24"/>
        <v>4</v>
      </c>
      <c r="U72" s="110">
        <f t="shared" si="25"/>
        <v>56</v>
      </c>
      <c r="V72" s="159">
        <f t="shared" si="26"/>
        <v>4</v>
      </c>
      <c r="W72" s="159">
        <f t="shared" si="27"/>
        <v>2315.625</v>
      </c>
      <c r="X72" t="s">
        <v>899</v>
      </c>
      <c r="Y72">
        <v>6</v>
      </c>
      <c r="Z72" s="135">
        <v>129.28125</v>
      </c>
      <c r="AA72" s="109">
        <v>0.19</v>
      </c>
      <c r="AB72" s="133">
        <v>1.5E-3</v>
      </c>
      <c r="AC72" s="135">
        <v>129.484375</v>
      </c>
      <c r="AD72" s="108">
        <v>1219</v>
      </c>
      <c r="AE72" s="108">
        <v>0</v>
      </c>
      <c r="AF72" s="165">
        <f t="shared" si="20"/>
        <v>-0.203125</v>
      </c>
      <c r="AG72" s="143">
        <f t="shared" si="21"/>
        <v>-1218.75</v>
      </c>
      <c r="AH72" s="140">
        <f t="shared" si="22"/>
        <v>-0.25</v>
      </c>
      <c r="AI72" s="110">
        <f>VLOOKUP(M72,CurrInfo!$A$43:$O$173,15)</f>
        <v>1562</v>
      </c>
    </row>
    <row r="73" spans="1:35"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172.96875</v>
      </c>
      <c r="O73" s="152">
        <f t="shared" si="17"/>
        <v>172968.75</v>
      </c>
      <c r="P73" s="191">
        <f>VLOOKUP($A73,[3]futuresATR!$A$2:$F$80,4)</f>
        <v>1.6609375</v>
      </c>
      <c r="Q73" s="151">
        <f t="shared" si="18"/>
        <v>1660.9375</v>
      </c>
      <c r="R73" s="143">
        <f t="shared" si="23"/>
        <v>2</v>
      </c>
      <c r="S73" s="138">
        <f t="shared" si="19"/>
        <v>345937.5</v>
      </c>
      <c r="T73" s="110">
        <f t="shared" si="24"/>
        <v>2</v>
      </c>
      <c r="U73" s="110">
        <f t="shared" si="25"/>
        <v>28</v>
      </c>
      <c r="V73" s="159">
        <f t="shared" si="26"/>
        <v>2</v>
      </c>
      <c r="W73" s="159">
        <f t="shared" si="27"/>
        <v>3321.875</v>
      </c>
      <c r="X73" t="s">
        <v>898</v>
      </c>
      <c r="Y73">
        <v>2</v>
      </c>
      <c r="Z73" s="135">
        <v>162.40625</v>
      </c>
      <c r="AA73" s="109">
        <v>0.06</v>
      </c>
      <c r="AB73" s="133">
        <v>4.0000000000000002E-4</v>
      </c>
      <c r="AC73" s="135">
        <v>162.46875</v>
      </c>
      <c r="AD73" s="108">
        <v>-124</v>
      </c>
      <c r="AE73" s="108">
        <v>0</v>
      </c>
      <c r="AF73" s="165">
        <f t="shared" si="20"/>
        <v>-6.25E-2</v>
      </c>
      <c r="AG73" s="143">
        <f t="shared" si="21"/>
        <v>-125</v>
      </c>
      <c r="AH73" s="140">
        <f t="shared" si="22"/>
        <v>1</v>
      </c>
      <c r="AI73" s="110">
        <f>VLOOKUP(M73,CurrInfo!$A$43:$O$173,15)</f>
        <v>4562</v>
      </c>
    </row>
    <row r="74" spans="1:35"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14.975</v>
      </c>
      <c r="O74" s="152">
        <f t="shared" si="17"/>
        <v>14975</v>
      </c>
      <c r="P74" s="191">
        <f>VLOOKUP($A74,[3]futuresATR!$A$2:$F$80,4)</f>
        <v>0.82442623800000003</v>
      </c>
      <c r="Q74" s="151">
        <f t="shared" si="18"/>
        <v>824.42623800000001</v>
      </c>
      <c r="R74" s="143">
        <f t="shared" si="23"/>
        <v>3</v>
      </c>
      <c r="S74" s="138">
        <f t="shared" si="19"/>
        <v>44925</v>
      </c>
      <c r="T74" s="110">
        <f t="shared" si="24"/>
        <v>3</v>
      </c>
      <c r="U74" s="110">
        <f t="shared" si="25"/>
        <v>42</v>
      </c>
      <c r="V74" s="159">
        <f t="shared" si="26"/>
        <v>3</v>
      </c>
      <c r="W74" s="159">
        <f t="shared" si="27"/>
        <v>2473.278714</v>
      </c>
      <c r="X74" s="112" t="s">
        <v>898</v>
      </c>
      <c r="Y74" s="112">
        <v>4</v>
      </c>
      <c r="Z74" s="112">
        <v>15.45</v>
      </c>
      <c r="AA74" s="162">
        <v>0.05</v>
      </c>
      <c r="AB74" s="160">
        <v>3.2000000000000002E-3</v>
      </c>
      <c r="AC74" s="112">
        <v>15.5</v>
      </c>
      <c r="AD74" s="161">
        <v>-199</v>
      </c>
      <c r="AE74" s="161">
        <v>0</v>
      </c>
      <c r="AF74" s="165">
        <f t="shared" si="20"/>
        <v>-5.0000000000000711E-2</v>
      </c>
      <c r="AG74" s="143">
        <f t="shared" si="21"/>
        <v>-200.00000000000284</v>
      </c>
      <c r="AH74" s="140">
        <f t="shared" si="22"/>
        <v>1.0000000000028422</v>
      </c>
      <c r="AI74" s="110">
        <f>VLOOKUP(M74,CurrInfo!$A$43:$O$173,15)</f>
        <v>8716</v>
      </c>
    </row>
    <row r="75" spans="1:35"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440</v>
      </c>
      <c r="O75" s="152">
        <f t="shared" si="17"/>
        <v>22000</v>
      </c>
      <c r="P75" s="191">
        <f>VLOOKUP($A75,[3]futuresATR!$A$2:$F$80,4)</f>
        <v>12.5902477485</v>
      </c>
      <c r="Q75" s="151">
        <f t="shared" si="18"/>
        <v>629.51238742499993</v>
      </c>
      <c r="R75" s="143">
        <f t="shared" si="23"/>
        <v>4</v>
      </c>
      <c r="S75" s="138">
        <f t="shared" si="19"/>
        <v>88000</v>
      </c>
      <c r="T75" s="110">
        <f t="shared" si="24"/>
        <v>4</v>
      </c>
      <c r="U75" s="110">
        <f t="shared" si="25"/>
        <v>56</v>
      </c>
      <c r="V75" s="159">
        <f t="shared" si="26"/>
        <v>4</v>
      </c>
      <c r="W75" s="159">
        <f t="shared" si="27"/>
        <v>2518.0495496999997</v>
      </c>
      <c r="X75" t="s">
        <v>898</v>
      </c>
      <c r="Y75">
        <v>3</v>
      </c>
      <c r="Z75" s="134">
        <v>467.25</v>
      </c>
      <c r="AA75" s="109">
        <v>0.25</v>
      </c>
      <c r="AB75" s="133">
        <v>5.0000000000000001E-4</v>
      </c>
      <c r="AC75" s="134">
        <v>467.5</v>
      </c>
      <c r="AD75" s="108">
        <v>-37</v>
      </c>
      <c r="AE75" s="108">
        <v>0</v>
      </c>
      <c r="AF75" s="165">
        <f t="shared" si="20"/>
        <v>-0.25</v>
      </c>
      <c r="AG75" s="143">
        <f t="shared" si="21"/>
        <v>-37.5</v>
      </c>
      <c r="AH75" s="140">
        <f t="shared" si="22"/>
        <v>0.5</v>
      </c>
      <c r="AI75" s="110">
        <f>VLOOKUP(M75,CurrInfo!$A$43:$O$173,15)</f>
        <v>3500</v>
      </c>
    </row>
    <row r="76" spans="1:35" ht="15.75" thickBot="1" x14ac:dyDescent="0.3">
      <c r="A76" s="4" t="s">
        <v>1053</v>
      </c>
      <c r="B76" s="112" t="s">
        <v>420</v>
      </c>
      <c r="C76" s="154" t="s">
        <v>1020</v>
      </c>
      <c r="D76" s="112" t="s">
        <v>449</v>
      </c>
      <c r="E76" s="112" t="s">
        <v>778</v>
      </c>
      <c r="F76" s="112" t="s">
        <v>879</v>
      </c>
      <c r="G76" s="112" t="s">
        <v>450</v>
      </c>
      <c r="H76">
        <f>VLOOKUP(G76,CurrInfo!$E$1:$F$10,2)</f>
        <v>1.3071895424836601</v>
      </c>
      <c r="I76" s="112">
        <v>25</v>
      </c>
      <c r="J76" s="112">
        <v>0.1</v>
      </c>
      <c r="K76" s="112" t="s">
        <v>294</v>
      </c>
      <c r="L76" s="112" t="s">
        <v>880</v>
      </c>
      <c r="M76" s="145" t="s">
        <v>738</v>
      </c>
      <c r="N76" s="190">
        <f>VLOOKUP($A76,[3]futuresATR!$A$2:$F$80,3)</f>
        <v>5485</v>
      </c>
      <c r="O76" s="152">
        <f t="shared" si="17"/>
        <v>104900.625</v>
      </c>
      <c r="P76" s="191">
        <f>VLOOKUP($A76,[3]futuresATR!$A$2:$F$80,4)</f>
        <v>49.4</v>
      </c>
      <c r="Q76" s="151">
        <f t="shared" si="18"/>
        <v>944.77499999999998</v>
      </c>
      <c r="R76" s="143">
        <f t="shared" si="23"/>
        <v>3</v>
      </c>
      <c r="S76" s="138">
        <f t="shared" si="19"/>
        <v>314701.875</v>
      </c>
      <c r="T76" s="110">
        <f t="shared" si="24"/>
        <v>3</v>
      </c>
      <c r="U76" s="110">
        <f t="shared" si="25"/>
        <v>42</v>
      </c>
      <c r="V76" s="159">
        <f t="shared" si="26"/>
        <v>3</v>
      </c>
      <c r="W76" s="159">
        <f t="shared" si="27"/>
        <v>2834.3249999999998</v>
      </c>
      <c r="X76" s="112" t="s">
        <v>898</v>
      </c>
      <c r="Y76" s="112">
        <v>2</v>
      </c>
      <c r="Z76" s="112">
        <v>5304</v>
      </c>
      <c r="AA76" s="112" t="s">
        <v>1043</v>
      </c>
      <c r="AB76" s="160">
        <v>1.9E-3</v>
      </c>
      <c r="AC76" s="112">
        <v>5314</v>
      </c>
      <c r="AD76" s="161">
        <v>-361</v>
      </c>
      <c r="AE76" s="161">
        <v>0</v>
      </c>
      <c r="AF76" s="165">
        <f>Z76-AC76</f>
        <v>-10</v>
      </c>
      <c r="AG76" s="143">
        <f t="shared" si="21"/>
        <v>-382.5</v>
      </c>
      <c r="AH76" s="140">
        <f>ABS(AG76)-ABS(AD76)</f>
        <v>21.5</v>
      </c>
      <c r="AI76" s="110">
        <f>VLOOKUP(M76,CurrInfo!$A$43:$O$173,15)</f>
        <v>6454.3050000000003</v>
      </c>
    </row>
    <row r="77" spans="1:35" ht="15.75" thickBot="1" x14ac:dyDescent="0.3">
      <c r="A77" s="4" t="s">
        <v>1054</v>
      </c>
      <c r="B77" t="s">
        <v>421</v>
      </c>
      <c r="C77" s="154" t="s">
        <v>1022</v>
      </c>
      <c r="D77" t="s">
        <v>449</v>
      </c>
      <c r="E77" t="s">
        <v>778</v>
      </c>
      <c r="F77" t="s">
        <v>881</v>
      </c>
      <c r="G77" t="s">
        <v>450</v>
      </c>
      <c r="H77">
        <f>VLOOKUP(G77,CurrInfo!$E$1:$F$10,2)</f>
        <v>1.3071895424836601</v>
      </c>
      <c r="I77" s="146">
        <v>2400</v>
      </c>
      <c r="J77">
        <v>0.01</v>
      </c>
      <c r="K77" t="s">
        <v>1122</v>
      </c>
      <c r="L77" t="s">
        <v>882</v>
      </c>
      <c r="M77" s="132" t="s">
        <v>463</v>
      </c>
      <c r="N77" s="190">
        <f>VLOOKUP($A77,[3]futuresATR!$A$2:$F$80,3)</f>
        <v>98.32</v>
      </c>
      <c r="O77" s="152">
        <f t="shared" si="17"/>
        <v>180515.52</v>
      </c>
      <c r="P77" s="191">
        <f>VLOOKUP($A77,[3]futuresATR!$A$2:$F$80,4)</f>
        <v>2.8015067000000001E-2</v>
      </c>
      <c r="Q77" s="151">
        <f t="shared" si="18"/>
        <v>51.435663012000006</v>
      </c>
      <c r="R77" s="143">
        <f t="shared" si="23"/>
        <v>39</v>
      </c>
      <c r="S77" s="138">
        <f t="shared" si="19"/>
        <v>7040105.2799999993</v>
      </c>
      <c r="T77" s="110">
        <f t="shared" si="24"/>
        <v>39</v>
      </c>
      <c r="U77" s="110">
        <f t="shared" si="25"/>
        <v>546</v>
      </c>
      <c r="V77" s="181">
        <v>0</v>
      </c>
      <c r="W77" s="159">
        <f t="shared" si="27"/>
        <v>0</v>
      </c>
      <c r="X77" t="s">
        <v>899</v>
      </c>
      <c r="Y77">
        <v>41</v>
      </c>
      <c r="Z77">
        <v>98.09</v>
      </c>
      <c r="AA77" t="s">
        <v>1058</v>
      </c>
      <c r="AB77" s="133">
        <v>1E-4</v>
      </c>
      <c r="AC77">
        <v>98.1</v>
      </c>
      <c r="AD77" s="108">
        <v>712</v>
      </c>
      <c r="AE77" s="108">
        <v>0</v>
      </c>
      <c r="AF77" s="165">
        <f>Z77-AC77</f>
        <v>-9.9999999999909051E-3</v>
      </c>
      <c r="AG77" s="143">
        <f t="shared" si="21"/>
        <v>-752.75999999931537</v>
      </c>
      <c r="AH77" s="140">
        <f>ABS(AG77)-ABS(AD77)</f>
        <v>40.759999999315369</v>
      </c>
      <c r="AI77" s="110">
        <f>VLOOKUP(M77,CurrInfo!$A$43:$O$173,15)</f>
        <v>573.75</v>
      </c>
    </row>
    <row r="78" spans="1:35"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18523</v>
      </c>
      <c r="O78" s="152">
        <f t="shared" si="17"/>
        <v>92615</v>
      </c>
      <c r="P78" s="191">
        <f>VLOOKUP($A78,[3]futuresATR!$A$2:$F$80,4)</f>
        <v>118.4</v>
      </c>
      <c r="Q78" s="151">
        <f t="shared" si="18"/>
        <v>592</v>
      </c>
      <c r="R78" s="143">
        <f t="shared" si="23"/>
        <v>4</v>
      </c>
      <c r="S78" s="138">
        <f t="shared" si="19"/>
        <v>370460</v>
      </c>
      <c r="T78" s="110">
        <f t="shared" si="24"/>
        <v>4</v>
      </c>
      <c r="U78" s="110">
        <f t="shared" si="25"/>
        <v>56</v>
      </c>
      <c r="V78" s="159">
        <f t="shared" si="26"/>
        <v>4</v>
      </c>
      <c r="W78" s="159">
        <f t="shared" si="27"/>
        <v>2368</v>
      </c>
      <c r="X78" t="s">
        <v>898</v>
      </c>
      <c r="Y78">
        <v>2</v>
      </c>
      <c r="Z78">
        <v>17748</v>
      </c>
      <c r="AA78" s="109">
        <v>-9</v>
      </c>
      <c r="AB78" t="s">
        <v>908</v>
      </c>
      <c r="AC78">
        <v>17814</v>
      </c>
      <c r="AD78" s="108">
        <v>-659</v>
      </c>
      <c r="AE78" s="108">
        <v>0</v>
      </c>
      <c r="AF78" s="165">
        <f>Z78-AC78</f>
        <v>-66</v>
      </c>
      <c r="AG78" s="143">
        <f t="shared" si="21"/>
        <v>-660</v>
      </c>
      <c r="AH78" s="140">
        <f>ABS(AG78)-ABS(AD78)</f>
        <v>1</v>
      </c>
      <c r="AI78" s="110">
        <f>VLOOKUP(M78,CurrInfo!$A$43:$O$173,15)</f>
        <v>4062</v>
      </c>
    </row>
    <row r="79" spans="1:35" s="112" customFormat="1" x14ac:dyDescent="0.25">
      <c r="A79" s="4" t="s">
        <v>1025</v>
      </c>
      <c r="B79" t="s">
        <v>425</v>
      </c>
      <c r="C79" s="154" t="s">
        <v>1025</v>
      </c>
      <c r="D79" t="s">
        <v>449</v>
      </c>
      <c r="E79" t="s">
        <v>778</v>
      </c>
      <c r="F79" t="s">
        <v>884</v>
      </c>
      <c r="G79" t="s">
        <v>450</v>
      </c>
      <c r="H79">
        <f>VLOOKUP(G79,CurrInfo!$E$1:$F$10,2)</f>
        <v>1.3071895424836601</v>
      </c>
      <c r="I79" s="146">
        <v>2800</v>
      </c>
      <c r="J79">
        <v>0.1</v>
      </c>
      <c r="K79" t="s">
        <v>1122</v>
      </c>
      <c r="L79" t="s">
        <v>886</v>
      </c>
      <c r="M79" s="132" t="s">
        <v>459</v>
      </c>
      <c r="N79" s="190">
        <f>VLOOKUP($A79,[3]futuresATR!$A$2:$F$80,3)</f>
        <v>98.61</v>
      </c>
      <c r="O79" s="152">
        <f t="shared" si="17"/>
        <v>211222.62</v>
      </c>
      <c r="P79" s="191">
        <f>VLOOKUP($A79,[3]futuresATR!$A$2:$F$80,4)</f>
        <v>5.8999999999999997E-2</v>
      </c>
      <c r="Q79" s="151">
        <f t="shared" si="18"/>
        <v>126.37799999999999</v>
      </c>
      <c r="R79" s="143">
        <f t="shared" si="23"/>
        <v>16</v>
      </c>
      <c r="S79" s="138">
        <f>R79*O79</f>
        <v>3379561.92</v>
      </c>
      <c r="T79" s="110">
        <f t="shared" si="24"/>
        <v>16</v>
      </c>
      <c r="U79" s="110">
        <f t="shared" si="25"/>
        <v>224</v>
      </c>
      <c r="V79" s="159">
        <f t="shared" si="26"/>
        <v>16</v>
      </c>
      <c r="W79" s="159">
        <f t="shared" si="27"/>
        <v>2022.0479999999998</v>
      </c>
      <c r="X79" t="s">
        <v>899</v>
      </c>
      <c r="Y79">
        <v>22</v>
      </c>
      <c r="Z79">
        <v>98.38</v>
      </c>
      <c r="AA79" t="s">
        <v>1058</v>
      </c>
      <c r="AB79" s="133">
        <v>1E-4</v>
      </c>
      <c r="AC79">
        <v>98.39</v>
      </c>
      <c r="AD79" s="108">
        <v>446</v>
      </c>
      <c r="AE79"/>
      <c r="AF79" s="165">
        <f>Z79-AC79</f>
        <v>-1.0000000000005116E-2</v>
      </c>
      <c r="AG79" s="143">
        <f t="shared" si="21"/>
        <v>-471.24000000024108</v>
      </c>
      <c r="AH79" s="140">
        <f>ABS(AG79)-ABS(AD79)</f>
        <v>25.240000000241082</v>
      </c>
      <c r="AI79" s="110">
        <f>VLOOKUP(M79,CurrInfo!$A$43:$O$173,15)</f>
        <v>765</v>
      </c>
    </row>
    <row r="80" spans="1:35" x14ac:dyDescent="0.25">
      <c r="A80" s="4" t="s">
        <v>1026</v>
      </c>
      <c r="B80" t="s">
        <v>424</v>
      </c>
      <c r="C80" s="154" t="s">
        <v>1026</v>
      </c>
      <c r="D80" t="s">
        <v>449</v>
      </c>
      <c r="E80" t="s">
        <v>778</v>
      </c>
      <c r="F80" t="s">
        <v>884</v>
      </c>
      <c r="G80" t="s">
        <v>450</v>
      </c>
      <c r="H80">
        <f>VLOOKUP(G80,CurrInfo!$E$1:$F$10,2)</f>
        <v>1.3071895424836601</v>
      </c>
      <c r="I80" s="146">
        <v>8000</v>
      </c>
      <c r="J80">
        <v>1E-3</v>
      </c>
      <c r="K80" t="s">
        <v>1122</v>
      </c>
      <c r="L80" t="s">
        <v>885</v>
      </c>
      <c r="M80" s="132" t="s">
        <v>447</v>
      </c>
      <c r="N80" s="190">
        <f>VLOOKUP($A80,[3]futuresATR!$A$2:$F$80,3)</f>
        <v>98.08</v>
      </c>
      <c r="O80" s="152">
        <f t="shared" si="17"/>
        <v>600249.59999999998</v>
      </c>
      <c r="P80" s="191">
        <f>VLOOKUP($A80,[3]futuresATR!$A$2:$F$80,4)</f>
        <v>7.4999999999999997E-2</v>
      </c>
      <c r="Q80" s="151">
        <f t="shared" si="18"/>
        <v>459</v>
      </c>
      <c r="R80" s="143">
        <f t="shared" si="23"/>
        <v>5</v>
      </c>
      <c r="S80" s="138">
        <f>R80*O80</f>
        <v>3001248</v>
      </c>
      <c r="T80" s="110">
        <f t="shared" si="24"/>
        <v>5</v>
      </c>
      <c r="U80" s="110">
        <f t="shared" si="25"/>
        <v>70</v>
      </c>
      <c r="V80" s="159">
        <f t="shared" si="26"/>
        <v>5</v>
      </c>
      <c r="W80" s="159">
        <f t="shared" si="27"/>
        <v>2295</v>
      </c>
      <c r="X80" t="s">
        <v>899</v>
      </c>
      <c r="Y80">
        <v>8</v>
      </c>
      <c r="Z80">
        <v>97.734999999999999</v>
      </c>
      <c r="AA80" t="s">
        <v>1047</v>
      </c>
      <c r="AB80" s="133">
        <v>1E-4</v>
      </c>
      <c r="AC80">
        <v>97.74</v>
      </c>
      <c r="AD80" s="108">
        <v>232</v>
      </c>
      <c r="AE80" s="108">
        <v>0</v>
      </c>
      <c r="AF80" s="165">
        <f>Z80-AC80</f>
        <v>-4.9999999999954525E-3</v>
      </c>
      <c r="AG80" s="143">
        <f t="shared" si="21"/>
        <v>-244.79999999977736</v>
      </c>
      <c r="AH80" s="140">
        <f>ABS(AG80)-ABS(AD80)</f>
        <v>12.799999999777356</v>
      </c>
      <c r="AI80" s="110">
        <f>VLOOKUP(M80,CurrInfo!$A$43:$O$173,15)</f>
        <v>2486.25</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topLeftCell="A35"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1.3071895424836601</v>
      </c>
      <c r="G1" t="str">
        <f>"'"&amp;E1&amp;"':1/fxRates.ix['"&amp;D1&amp;"'],"</f>
        <v>'AUD':1/fxRates.ix['AUDUSD'],</v>
      </c>
    </row>
    <row r="2" spans="1:17" x14ac:dyDescent="0.25">
      <c r="A2" t="s">
        <v>773</v>
      </c>
      <c r="B2" s="141">
        <v>50</v>
      </c>
      <c r="D2" t="str">
        <f>F39</f>
        <v>USDCAD</v>
      </c>
      <c r="E2" s="172" t="s">
        <v>487</v>
      </c>
      <c r="F2" s="173">
        <f>G39</f>
        <v>1.2961</v>
      </c>
      <c r="G2" t="str">
        <f>"'"&amp;E2&amp;"':fxRates.ix['"&amp;D2&amp;"'],"</f>
        <v>'CAD':fxRates.ix['USDCAD'],</v>
      </c>
    </row>
    <row r="3" spans="1:17" x14ac:dyDescent="0.25">
      <c r="A3" t="s">
        <v>775</v>
      </c>
      <c r="B3" s="113">
        <f>B1/B2</f>
        <v>10000</v>
      </c>
      <c r="D3" t="str">
        <f>F38</f>
        <v>USDCHF</v>
      </c>
      <c r="E3" s="172" t="s">
        <v>535</v>
      </c>
      <c r="F3" s="173">
        <f>G38</f>
        <v>0.97460000000000002</v>
      </c>
      <c r="G3" t="str">
        <f>"'"&amp;E3&amp;"':fxRates.ix['"&amp;D3&amp;"'],"</f>
        <v>'CHF':fxRates.ix['USDCHF'],</v>
      </c>
    </row>
    <row r="4" spans="1:17" x14ac:dyDescent="0.25">
      <c r="B4" s="113"/>
      <c r="D4" t="str">
        <f>F33</f>
        <v>EURUSD</v>
      </c>
      <c r="E4" s="172" t="s">
        <v>469</v>
      </c>
      <c r="F4" s="173">
        <f>1/G33</f>
        <v>0.8957362952346829</v>
      </c>
      <c r="G4" t="str">
        <f t="shared" ref="G4:G9" si="0">"'"&amp;E4&amp;"':1/fxRates.ix['"&amp;D4&amp;"'],"</f>
        <v>'EUR':1/fxRates.ix['EURUSD'],</v>
      </c>
    </row>
    <row r="5" spans="1:17" x14ac:dyDescent="0.25">
      <c r="A5" t="s">
        <v>1099</v>
      </c>
      <c r="B5" s="195">
        <v>50000</v>
      </c>
      <c r="D5" t="str">
        <f>F24</f>
        <v>GBPUSD</v>
      </c>
      <c r="E5" s="172" t="s">
        <v>456</v>
      </c>
      <c r="F5" s="173">
        <f>1/G24</f>
        <v>0.77495350278983266</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101.23</v>
      </c>
      <c r="G7" t="str">
        <f>"'"&amp;E7&amp;"':fxRates.ix['"&amp;D7&amp;"'],"</f>
        <v>'JPY':fxRates.ix['USDJPY'],</v>
      </c>
    </row>
    <row r="8" spans="1:17" x14ac:dyDescent="0.25">
      <c r="A8" t="s">
        <v>1127</v>
      </c>
      <c r="B8" s="196">
        <v>2E-3</v>
      </c>
      <c r="D8" t="s">
        <v>16</v>
      </c>
      <c r="E8" s="172" t="s">
        <v>777</v>
      </c>
      <c r="F8" s="173">
        <f>1/G37</f>
        <v>1.388100004665404</v>
      </c>
      <c r="G8" t="str">
        <f t="shared" si="0"/>
        <v>'NZD':1/fxRates.ix['NZDUSD'],</v>
      </c>
    </row>
    <row r="9" spans="1:17" x14ac:dyDescent="0.25">
      <c r="A9" t="s">
        <v>1279</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42594</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1.388100004665404</v>
      </c>
      <c r="E13" t="s">
        <v>1072</v>
      </c>
      <c r="F13" t="s">
        <v>21</v>
      </c>
      <c r="G13" s="111">
        <f>[4]currenciesATR!$B2</f>
        <v>1.0619000000000001</v>
      </c>
      <c r="H13" s="111">
        <f>[4]currenciesATR!$C2</f>
        <v>8.4650000000000003E-3</v>
      </c>
      <c r="I13" s="137">
        <f>J13*10000*G13/D13</f>
        <v>53550.176320270009</v>
      </c>
      <c r="J13" s="113">
        <f>ROUND($B$5*$D13/$G13/10000,0)</f>
        <v>7</v>
      </c>
      <c r="K13" t="str">
        <f>"'"&amp;F13&amp;"':"&amp;J13&amp;","</f>
        <v>'AUDNZD':7,</v>
      </c>
      <c r="L13" t="s">
        <v>19</v>
      </c>
      <c r="M13" s="113">
        <f>ROUND($B$6*Q13/N13/10000,0)</f>
        <v>5</v>
      </c>
      <c r="N13" s="165">
        <f>G18</f>
        <v>0.99160000000000004</v>
      </c>
      <c r="O13" s="137">
        <f>N13*M13/Q13*10000</f>
        <v>38253.22120206774</v>
      </c>
      <c r="P13" t="str">
        <f t="shared" ref="P13:P40" si="3">RIGHT(L13,3)</f>
        <v>CAD</v>
      </c>
      <c r="Q13">
        <f t="shared" ref="Q13:Q40" si="4">VLOOKUP(P13,$E$1:$F$10,2)</f>
        <v>1.2961</v>
      </c>
    </row>
    <row r="14" spans="1:17" x14ac:dyDescent="0.25">
      <c r="A14" t="s">
        <v>1084</v>
      </c>
      <c r="B14" t="s">
        <v>22</v>
      </c>
      <c r="C14" t="str">
        <f t="shared" si="1"/>
        <v>AUD</v>
      </c>
      <c r="D14">
        <f t="shared" si="2"/>
        <v>1.3071895424836601</v>
      </c>
      <c r="E14" t="s">
        <v>1084</v>
      </c>
      <c r="F14" t="s">
        <v>22</v>
      </c>
      <c r="G14" s="111">
        <f>[4]currenciesATR!$B3</f>
        <v>1.6877352299999999</v>
      </c>
      <c r="H14" s="111">
        <f>[4]currenciesATR!$C3</f>
        <v>1.94996115E-2</v>
      </c>
      <c r="I14" s="137">
        <f t="shared" ref="I14:I40" si="5">J14*10000*G14/D14</f>
        <v>51644.698037999995</v>
      </c>
      <c r="J14" s="113">
        <f t="shared" ref="J14:J40" si="6">ROUND($B$5*$D14/$G14/10000,0)</f>
        <v>4</v>
      </c>
      <c r="K14" t="str">
        <f t="shared" ref="K14:K40" si="7">"'"&amp;F14&amp;"':"&amp;J14&amp;","</f>
        <v>'GBPAUD':4,</v>
      </c>
      <c r="L14" t="s">
        <v>20</v>
      </c>
      <c r="M14" s="113">
        <f t="shared" ref="M14:M40" si="8">ROUND($B$6*Q14/N14/10000,0)</f>
        <v>5</v>
      </c>
      <c r="N14" s="165">
        <f>G16</f>
        <v>0.74560000000000004</v>
      </c>
      <c r="O14" s="137">
        <f t="shared" ref="O14:O40" si="9">N14*M14/Q14*10000</f>
        <v>38251.590396059924</v>
      </c>
      <c r="P14" t="str">
        <f t="shared" si="3"/>
        <v>CHF</v>
      </c>
      <c r="Q14">
        <f t="shared" si="4"/>
        <v>0.97460000000000002</v>
      </c>
    </row>
    <row r="15" spans="1:17" x14ac:dyDescent="0.25">
      <c r="A15" t="s">
        <v>1069</v>
      </c>
      <c r="B15" t="s">
        <v>6</v>
      </c>
      <c r="C15" t="str">
        <f t="shared" si="1"/>
        <v>JPY</v>
      </c>
      <c r="D15">
        <f t="shared" si="2"/>
        <v>101.23</v>
      </c>
      <c r="E15" t="s">
        <v>1069</v>
      </c>
      <c r="F15" t="s">
        <v>6</v>
      </c>
      <c r="G15" s="111">
        <f>[4]currenciesATR!$B4</f>
        <v>77.45</v>
      </c>
      <c r="H15" s="111">
        <f>[4]currenciesATR!$C4</f>
        <v>0.87839999999999996</v>
      </c>
      <c r="I15" s="137">
        <f t="shared" si="5"/>
        <v>53556.258026276795</v>
      </c>
      <c r="J15" s="113">
        <f t="shared" si="6"/>
        <v>7</v>
      </c>
      <c r="K15" t="str">
        <f t="shared" si="7"/>
        <v>'AUDJPY':7,</v>
      </c>
      <c r="L15" t="s">
        <v>6</v>
      </c>
      <c r="M15" s="113">
        <f t="shared" si="8"/>
        <v>5</v>
      </c>
      <c r="N15" s="165">
        <f>G15</f>
        <v>77.45</v>
      </c>
      <c r="O15" s="137">
        <f t="shared" si="9"/>
        <v>38254.470018769134</v>
      </c>
      <c r="P15" t="str">
        <f t="shared" si="3"/>
        <v>JPY</v>
      </c>
      <c r="Q15">
        <f t="shared" si="4"/>
        <v>101.23</v>
      </c>
    </row>
    <row r="16" spans="1:17" x14ac:dyDescent="0.25">
      <c r="A16" t="s">
        <v>1070</v>
      </c>
      <c r="B16" t="s">
        <v>20</v>
      </c>
      <c r="C16" t="str">
        <f t="shared" si="1"/>
        <v>CHF</v>
      </c>
      <c r="D16">
        <f t="shared" si="2"/>
        <v>0.97460000000000002</v>
      </c>
      <c r="E16" t="s">
        <v>1070</v>
      </c>
      <c r="F16" t="s">
        <v>20</v>
      </c>
      <c r="G16" s="111">
        <f>[4]currenciesATR!$B5</f>
        <v>0.74560000000000004</v>
      </c>
      <c r="H16" s="111">
        <f>[4]currenciesATR!$C5</f>
        <v>7.6800000000000002E-3</v>
      </c>
      <c r="I16" s="137">
        <f t="shared" si="5"/>
        <v>53552.226554483888</v>
      </c>
      <c r="J16" s="113">
        <f t="shared" si="6"/>
        <v>7</v>
      </c>
      <c r="K16" t="str">
        <f t="shared" si="7"/>
        <v>'AUDCHF':7,</v>
      </c>
      <c r="L16" t="s">
        <v>21</v>
      </c>
      <c r="M16" s="113">
        <f t="shared" si="8"/>
        <v>5</v>
      </c>
      <c r="N16" s="165">
        <f>G13</f>
        <v>1.0619000000000001</v>
      </c>
      <c r="O16" s="137">
        <f t="shared" si="9"/>
        <v>38250.125943050007</v>
      </c>
      <c r="P16" t="str">
        <f t="shared" si="3"/>
        <v>NZD</v>
      </c>
      <c r="Q16">
        <f t="shared" si="4"/>
        <v>1.388100004665404</v>
      </c>
    </row>
    <row r="17" spans="1:17" x14ac:dyDescent="0.25">
      <c r="A17" t="s">
        <v>1071</v>
      </c>
      <c r="B17" t="s">
        <v>8</v>
      </c>
      <c r="C17" t="str">
        <f t="shared" si="1"/>
        <v>USD</v>
      </c>
      <c r="D17">
        <f t="shared" si="2"/>
        <v>1</v>
      </c>
      <c r="E17" t="s">
        <v>1071</v>
      </c>
      <c r="F17" t="s">
        <v>8</v>
      </c>
      <c r="G17" s="111">
        <f>[4]currenciesATR!$B6</f>
        <v>0.76500000000000001</v>
      </c>
      <c r="H17" s="111">
        <f>[4]currenciesATR!$C6</f>
        <v>7.5500000000000003E-3</v>
      </c>
      <c r="I17" s="137">
        <f t="shared" si="5"/>
        <v>53550</v>
      </c>
      <c r="J17" s="113">
        <f t="shared" si="6"/>
        <v>7</v>
      </c>
      <c r="K17" t="str">
        <f t="shared" si="7"/>
        <v>'AUDUSD':7,</v>
      </c>
      <c r="L17" t="s">
        <v>8</v>
      </c>
      <c r="M17" s="113">
        <f t="shared" si="8"/>
        <v>5</v>
      </c>
      <c r="N17" s="165">
        <f>G17</f>
        <v>0.76500000000000001</v>
      </c>
      <c r="O17" s="137">
        <f t="shared" si="9"/>
        <v>38250</v>
      </c>
      <c r="P17" t="str">
        <f t="shared" si="3"/>
        <v>USD</v>
      </c>
      <c r="Q17">
        <f t="shared" si="4"/>
        <v>1</v>
      </c>
    </row>
    <row r="18" spans="1:17" x14ac:dyDescent="0.25">
      <c r="A18" t="s">
        <v>1073</v>
      </c>
      <c r="B18" t="s">
        <v>19</v>
      </c>
      <c r="C18" t="str">
        <f t="shared" si="1"/>
        <v>CAD</v>
      </c>
      <c r="D18">
        <f t="shared" si="2"/>
        <v>1.2961</v>
      </c>
      <c r="E18" t="s">
        <v>1073</v>
      </c>
      <c r="F18" t="s">
        <v>19</v>
      </c>
      <c r="G18" s="111">
        <f>[4]currenciesATR!$B7</f>
        <v>0.99160000000000004</v>
      </c>
      <c r="H18" s="111">
        <f>[4]currenciesATR!$C7</f>
        <v>7.8050000000000003E-3</v>
      </c>
      <c r="I18" s="137">
        <f t="shared" si="5"/>
        <v>53554.509682894837</v>
      </c>
      <c r="J18" s="113">
        <f t="shared" si="6"/>
        <v>7</v>
      </c>
      <c r="K18" t="str">
        <f t="shared" si="7"/>
        <v>'AUDCAD':7,</v>
      </c>
      <c r="L18" t="s">
        <v>26</v>
      </c>
      <c r="M18" s="113">
        <f t="shared" si="8"/>
        <v>5</v>
      </c>
      <c r="N18" s="165">
        <f>G20</f>
        <v>0.75199278000000003</v>
      </c>
      <c r="O18" s="137">
        <f t="shared" si="9"/>
        <v>38579.559819413094</v>
      </c>
      <c r="P18" t="str">
        <f t="shared" si="3"/>
        <v>CHF</v>
      </c>
      <c r="Q18">
        <f t="shared" si="4"/>
        <v>0.97460000000000002</v>
      </c>
    </row>
    <row r="19" spans="1:17" x14ac:dyDescent="0.25">
      <c r="A19" t="s">
        <v>1074</v>
      </c>
      <c r="B19" t="s">
        <v>26</v>
      </c>
      <c r="C19" t="str">
        <f>RIGHT(B40,3)</f>
        <v>CAD</v>
      </c>
      <c r="D19">
        <f t="shared" si="2"/>
        <v>1.2961</v>
      </c>
      <c r="E19" t="s">
        <v>1113</v>
      </c>
      <c r="F19" t="s">
        <v>28</v>
      </c>
      <c r="G19" s="111">
        <f>[4]currenciesATR!$B8</f>
        <v>0.93340000000000001</v>
      </c>
      <c r="H19" s="111">
        <f>[4]currenciesATR!$C8</f>
        <v>9.1400000000000006E-3</v>
      </c>
      <c r="I19" s="137">
        <f>J19*10000*G19/D19</f>
        <v>50411.233701103309</v>
      </c>
      <c r="J19" s="113">
        <f>ROUND($B$5*$D19/$G19/10000,0)</f>
        <v>7</v>
      </c>
      <c r="K19" t="str">
        <f t="shared" si="7"/>
        <v>'NZDCAD':7,</v>
      </c>
      <c r="L19" t="s">
        <v>2</v>
      </c>
      <c r="M19" s="113">
        <f t="shared" si="8"/>
        <v>5</v>
      </c>
      <c r="N19" s="165">
        <f>G34</f>
        <v>78.110964440000004</v>
      </c>
      <c r="O19" s="137">
        <f t="shared" si="9"/>
        <v>38580.936698607125</v>
      </c>
      <c r="P19" t="str">
        <f t="shared" si="3"/>
        <v>JPY</v>
      </c>
      <c r="Q19">
        <f t="shared" si="4"/>
        <v>101.23</v>
      </c>
    </row>
    <row r="20" spans="1:17" x14ac:dyDescent="0.25">
      <c r="A20" t="s">
        <v>1090</v>
      </c>
      <c r="B20" t="s">
        <v>27</v>
      </c>
      <c r="C20" t="str">
        <f t="shared" ref="C20:C40" si="10">RIGHT(B19,3)</f>
        <v>CHF</v>
      </c>
      <c r="D20">
        <f t="shared" si="2"/>
        <v>0.97460000000000002</v>
      </c>
      <c r="E20" t="s">
        <v>1074</v>
      </c>
      <c r="F20" t="s">
        <v>26</v>
      </c>
      <c r="G20" s="111">
        <f>[4]currenciesATR!$B9</f>
        <v>0.75199278000000003</v>
      </c>
      <c r="H20" s="111">
        <f>[4]currenciesATR!$C9</f>
        <v>5.8031599999999999E-3</v>
      </c>
      <c r="I20" s="137">
        <f t="shared" si="5"/>
        <v>46295.47178329571</v>
      </c>
      <c r="J20" s="113">
        <f t="shared" si="6"/>
        <v>6</v>
      </c>
      <c r="K20" t="str">
        <f t="shared" si="7"/>
        <v>'CADCHF':6,</v>
      </c>
      <c r="L20" t="s">
        <v>3</v>
      </c>
      <c r="M20" s="113">
        <f t="shared" si="8"/>
        <v>3</v>
      </c>
      <c r="N20" s="165">
        <f>G36</f>
        <v>103.87451958</v>
      </c>
      <c r="O20" s="137">
        <f t="shared" si="9"/>
        <v>30783.716165168433</v>
      </c>
      <c r="P20" t="str">
        <f t="shared" si="3"/>
        <v>JPY</v>
      </c>
      <c r="Q20">
        <f t="shared" si="4"/>
        <v>101.23</v>
      </c>
    </row>
    <row r="21" spans="1:17" x14ac:dyDescent="0.25">
      <c r="A21" t="s">
        <v>1088</v>
      </c>
      <c r="B21" t="s">
        <v>24</v>
      </c>
      <c r="C21" t="str">
        <f t="shared" si="10"/>
        <v>CHF</v>
      </c>
      <c r="D21">
        <f t="shared" si="2"/>
        <v>0.97460000000000002</v>
      </c>
      <c r="E21" t="s">
        <v>1090</v>
      </c>
      <c r="F21" t="s">
        <v>27</v>
      </c>
      <c r="G21" s="111">
        <f>[4]currenciesATR!$B10</f>
        <v>0.70209927999999999</v>
      </c>
      <c r="H21" s="111">
        <f>[4]currenciesATR!$C10</f>
        <v>6.447164E-3</v>
      </c>
      <c r="I21" s="137">
        <f t="shared" si="5"/>
        <v>50427.816129694234</v>
      </c>
      <c r="J21" s="113">
        <f t="shared" si="6"/>
        <v>7</v>
      </c>
      <c r="K21" t="str">
        <f t="shared" si="7"/>
        <v>'NZDCHF':7,</v>
      </c>
      <c r="L21" t="s">
        <v>10</v>
      </c>
      <c r="M21" s="113">
        <f t="shared" si="8"/>
        <v>3</v>
      </c>
      <c r="N21" s="165">
        <f>G28</f>
        <v>1.4594</v>
      </c>
      <c r="O21" s="137">
        <f t="shared" si="9"/>
        <v>33493.229999999996</v>
      </c>
      <c r="P21" t="str">
        <f t="shared" si="3"/>
        <v>AUD</v>
      </c>
      <c r="Q21">
        <f t="shared" si="4"/>
        <v>1.3071895424836601</v>
      </c>
    </row>
    <row r="22" spans="1:17" x14ac:dyDescent="0.25">
      <c r="A22" t="s">
        <v>1086</v>
      </c>
      <c r="B22" t="s">
        <v>25</v>
      </c>
      <c r="C22" t="str">
        <f t="shared" si="10"/>
        <v>NZD</v>
      </c>
      <c r="D22">
        <f t="shared" si="2"/>
        <v>1.388100004665404</v>
      </c>
      <c r="E22" t="s">
        <v>1088</v>
      </c>
      <c r="F22" t="s">
        <v>24</v>
      </c>
      <c r="G22" s="111">
        <f>[4]currenciesATR!$B11</f>
        <v>1.7918000000000001</v>
      </c>
      <c r="H22" s="111">
        <f>[4]currenciesATR!$C11</f>
        <v>2.2995000000000002E-2</v>
      </c>
      <c r="I22" s="137">
        <f t="shared" si="5"/>
        <v>51633.16746568001</v>
      </c>
      <c r="J22" s="113">
        <f t="shared" si="6"/>
        <v>4</v>
      </c>
      <c r="K22" t="str">
        <f t="shared" si="7"/>
        <v>'GBPNZD':4,</v>
      </c>
      <c r="L22" t="s">
        <v>11</v>
      </c>
      <c r="M22" s="113">
        <f t="shared" si="8"/>
        <v>3</v>
      </c>
      <c r="N22" s="165">
        <f>G29</f>
        <v>1.4471000000000001</v>
      </c>
      <c r="O22" s="137">
        <f t="shared" si="9"/>
        <v>33495.100686675418</v>
      </c>
      <c r="P22" t="str">
        <f t="shared" si="3"/>
        <v>CAD</v>
      </c>
      <c r="Q22">
        <f t="shared" si="4"/>
        <v>1.2961</v>
      </c>
    </row>
    <row r="23" spans="1:17" x14ac:dyDescent="0.25">
      <c r="A23" t="s">
        <v>1089</v>
      </c>
      <c r="B23" t="s">
        <v>13</v>
      </c>
      <c r="C23" t="str">
        <f t="shared" si="10"/>
        <v>CHF</v>
      </c>
      <c r="D23">
        <f t="shared" si="2"/>
        <v>0.97460000000000002</v>
      </c>
      <c r="E23" t="s">
        <v>1086</v>
      </c>
      <c r="F23" t="s">
        <v>25</v>
      </c>
      <c r="G23" s="111">
        <f>[4]currenciesATR!$B12</f>
        <v>1.2579</v>
      </c>
      <c r="H23" s="111">
        <f>[4]currenciesATR!$C12</f>
        <v>1.3405E-2</v>
      </c>
      <c r="I23" s="137">
        <f t="shared" si="5"/>
        <v>51627.334290991173</v>
      </c>
      <c r="J23" s="113">
        <f t="shared" si="6"/>
        <v>4</v>
      </c>
      <c r="K23" t="str">
        <f t="shared" si="7"/>
        <v>'GBPCHF':4,</v>
      </c>
      <c r="L23" t="s">
        <v>17</v>
      </c>
      <c r="M23" s="113">
        <f t="shared" si="8"/>
        <v>3</v>
      </c>
      <c r="N23" s="165">
        <f>G31</f>
        <v>1.0883</v>
      </c>
      <c r="O23" s="137">
        <f t="shared" si="9"/>
        <v>33499.897393802581</v>
      </c>
      <c r="P23" t="str">
        <f t="shared" si="3"/>
        <v>CHF</v>
      </c>
      <c r="Q23">
        <f t="shared" si="4"/>
        <v>0.97460000000000002</v>
      </c>
    </row>
    <row r="24" spans="1:17" x14ac:dyDescent="0.25">
      <c r="A24" t="s">
        <v>1087</v>
      </c>
      <c r="B24" t="s">
        <v>5</v>
      </c>
      <c r="C24" t="str">
        <f t="shared" si="10"/>
        <v>USD</v>
      </c>
      <c r="D24">
        <f t="shared" si="2"/>
        <v>1</v>
      </c>
      <c r="E24" t="s">
        <v>1089</v>
      </c>
      <c r="F24" t="s">
        <v>13</v>
      </c>
      <c r="G24" s="111">
        <f>[4]currenciesATR!$B13</f>
        <v>1.2904</v>
      </c>
      <c r="H24" s="111">
        <f>[4]currenciesATR!$C13</f>
        <v>1.303E-2</v>
      </c>
      <c r="I24" s="137">
        <f t="shared" si="5"/>
        <v>51616</v>
      </c>
      <c r="J24" s="113">
        <f t="shared" si="6"/>
        <v>4</v>
      </c>
      <c r="K24" t="str">
        <f t="shared" si="7"/>
        <v>'GBPUSD':4,</v>
      </c>
      <c r="L24" t="s">
        <v>18</v>
      </c>
      <c r="M24" s="113">
        <f t="shared" si="8"/>
        <v>3</v>
      </c>
      <c r="N24" s="165">
        <f>G32</f>
        <v>0.86482000000000003</v>
      </c>
      <c r="O24" s="137">
        <f t="shared" si="9"/>
        <v>33478.911840000001</v>
      </c>
      <c r="P24" t="str">
        <f t="shared" si="3"/>
        <v>GBP</v>
      </c>
      <c r="Q24">
        <f t="shared" si="4"/>
        <v>0.77495350278983266</v>
      </c>
    </row>
    <row r="25" spans="1:17" x14ac:dyDescent="0.25">
      <c r="A25" t="s">
        <v>1085</v>
      </c>
      <c r="B25" t="s">
        <v>23</v>
      </c>
      <c r="C25" t="str">
        <f t="shared" si="10"/>
        <v>JPY</v>
      </c>
      <c r="D25">
        <f t="shared" si="2"/>
        <v>101.23</v>
      </c>
      <c r="E25" t="s">
        <v>1087</v>
      </c>
      <c r="F25" t="s">
        <v>5</v>
      </c>
      <c r="G25" s="111">
        <f>[4]currenciesATR!$B14</f>
        <v>130.66300000000001</v>
      </c>
      <c r="H25" s="111">
        <f>[4]currenciesATR!$C14</f>
        <v>2.0564</v>
      </c>
      <c r="I25" s="137">
        <f t="shared" si="5"/>
        <v>51630.149165267212</v>
      </c>
      <c r="J25" s="113">
        <f t="shared" si="6"/>
        <v>4</v>
      </c>
      <c r="K25" t="str">
        <f t="shared" si="7"/>
        <v>'GBPJPY':4,</v>
      </c>
      <c r="L25" t="s">
        <v>4</v>
      </c>
      <c r="M25" s="113">
        <f t="shared" si="8"/>
        <v>3</v>
      </c>
      <c r="N25" s="165">
        <f>G30</f>
        <v>113.02</v>
      </c>
      <c r="O25" s="137">
        <f t="shared" si="9"/>
        <v>33494.023510816951</v>
      </c>
      <c r="P25" t="str">
        <f t="shared" si="3"/>
        <v>JPY</v>
      </c>
      <c r="Q25">
        <f t="shared" si="4"/>
        <v>101.23</v>
      </c>
    </row>
    <row r="26" spans="1:17" x14ac:dyDescent="0.25">
      <c r="A26" t="s">
        <v>1082</v>
      </c>
      <c r="B26" t="s">
        <v>12</v>
      </c>
      <c r="C26" t="str">
        <f t="shared" si="10"/>
        <v>CAD</v>
      </c>
      <c r="D26">
        <f t="shared" si="2"/>
        <v>1.2961</v>
      </c>
      <c r="E26" t="s">
        <v>1085</v>
      </c>
      <c r="F26" t="s">
        <v>23</v>
      </c>
      <c r="G26" s="111">
        <f>[4]currenciesATR!$B15</f>
        <v>1.6732</v>
      </c>
      <c r="H26" s="111">
        <f>[4]currenciesATR!$C15</f>
        <v>1.8290000000000001E-2</v>
      </c>
      <c r="I26" s="137">
        <f t="shared" si="5"/>
        <v>51637.990895764211</v>
      </c>
      <c r="J26" s="113">
        <f t="shared" si="6"/>
        <v>4</v>
      </c>
      <c r="K26" t="str">
        <f t="shared" si="7"/>
        <v>'GBPCAD':4,</v>
      </c>
      <c r="L26" t="s">
        <v>12</v>
      </c>
      <c r="M26" s="113">
        <f t="shared" si="8"/>
        <v>3</v>
      </c>
      <c r="N26" s="165">
        <f>G27</f>
        <v>1.5503</v>
      </c>
      <c r="O26" s="137">
        <f t="shared" si="9"/>
        <v>33505.511017710007</v>
      </c>
      <c r="P26" t="str">
        <f t="shared" si="3"/>
        <v>NZD</v>
      </c>
      <c r="Q26">
        <f t="shared" si="4"/>
        <v>1.388100004665404</v>
      </c>
    </row>
    <row r="27" spans="1:17" x14ac:dyDescent="0.25">
      <c r="A27" t="s">
        <v>1077</v>
      </c>
      <c r="B27" t="s">
        <v>10</v>
      </c>
      <c r="C27" t="str">
        <f t="shared" si="10"/>
        <v>NZD</v>
      </c>
      <c r="D27">
        <f t="shared" si="2"/>
        <v>1.388100004665404</v>
      </c>
      <c r="E27" t="s">
        <v>1082</v>
      </c>
      <c r="F27" t="s">
        <v>12</v>
      </c>
      <c r="G27" s="111">
        <f>[4]currenciesATR!$B16</f>
        <v>1.5503</v>
      </c>
      <c r="H27" s="111">
        <f>[4]currenciesATR!$C16</f>
        <v>1.4865E-2</v>
      </c>
      <c r="I27" s="137">
        <f t="shared" si="5"/>
        <v>44674.014690280004</v>
      </c>
      <c r="J27" s="113">
        <f t="shared" si="6"/>
        <v>4</v>
      </c>
      <c r="K27" t="str">
        <f t="shared" si="7"/>
        <v>'EURNZD':4,</v>
      </c>
      <c r="L27" t="s">
        <v>9</v>
      </c>
      <c r="M27" s="113">
        <f t="shared" si="8"/>
        <v>3</v>
      </c>
      <c r="N27" s="165">
        <f>G33</f>
        <v>1.1164000000000001</v>
      </c>
      <c r="O27" s="137">
        <f t="shared" si="9"/>
        <v>33492</v>
      </c>
      <c r="P27" t="str">
        <f t="shared" si="3"/>
        <v>USD</v>
      </c>
      <c r="Q27">
        <f t="shared" si="4"/>
        <v>1</v>
      </c>
    </row>
    <row r="28" spans="1:17" x14ac:dyDescent="0.25">
      <c r="A28" t="s">
        <v>1078</v>
      </c>
      <c r="B28" t="s">
        <v>11</v>
      </c>
      <c r="C28" t="str">
        <f t="shared" si="10"/>
        <v>AUD</v>
      </c>
      <c r="D28">
        <f t="shared" si="2"/>
        <v>1.3071895424836601</v>
      </c>
      <c r="E28" t="s">
        <v>1077</v>
      </c>
      <c r="F28" t="s">
        <v>10</v>
      </c>
      <c r="G28" s="111">
        <f>[4]currenciesATR!$B17</f>
        <v>1.4594</v>
      </c>
      <c r="H28" s="111">
        <f>[4]currenciesATR!$C17</f>
        <v>1.264E-2</v>
      </c>
      <c r="I28" s="137">
        <f t="shared" si="5"/>
        <v>44657.64</v>
      </c>
      <c r="J28" s="113">
        <f t="shared" si="6"/>
        <v>4</v>
      </c>
      <c r="K28" t="str">
        <f t="shared" si="7"/>
        <v>'EURAUD':4,</v>
      </c>
      <c r="L28" t="s">
        <v>22</v>
      </c>
      <c r="M28" s="113">
        <f t="shared" si="8"/>
        <v>3</v>
      </c>
      <c r="N28" s="165">
        <f>G14</f>
        <v>1.6877352299999999</v>
      </c>
      <c r="O28" s="137">
        <f>N28*M28/Q28*10000</f>
        <v>38733.523528500002</v>
      </c>
      <c r="P28" t="str">
        <f t="shared" si="3"/>
        <v>AUD</v>
      </c>
      <c r="Q28">
        <f t="shared" si="4"/>
        <v>1.3071895424836601</v>
      </c>
    </row>
    <row r="29" spans="1:17" x14ac:dyDescent="0.25">
      <c r="A29" t="s">
        <v>1079</v>
      </c>
      <c r="B29" t="s">
        <v>4</v>
      </c>
      <c r="C29" t="str">
        <f t="shared" si="10"/>
        <v>CAD</v>
      </c>
      <c r="D29">
        <f t="shared" si="2"/>
        <v>1.2961</v>
      </c>
      <c r="E29" t="s">
        <v>1078</v>
      </c>
      <c r="F29" t="s">
        <v>11</v>
      </c>
      <c r="G29" s="111">
        <f>[4]currenciesATR!$B18</f>
        <v>1.4471000000000001</v>
      </c>
      <c r="H29" s="111">
        <f>[4]currenciesATR!$C18</f>
        <v>1.052E-2</v>
      </c>
      <c r="I29" s="137">
        <f t="shared" si="5"/>
        <v>44660.134248900547</v>
      </c>
      <c r="J29" s="113">
        <f t="shared" si="6"/>
        <v>4</v>
      </c>
      <c r="K29" t="str">
        <f t="shared" si="7"/>
        <v>'EURCAD':4,</v>
      </c>
      <c r="L29" t="s">
        <v>23</v>
      </c>
      <c r="M29" s="113">
        <f t="shared" si="8"/>
        <v>3</v>
      </c>
      <c r="N29" s="165">
        <f>G26</f>
        <v>1.6732</v>
      </c>
      <c r="O29" s="137">
        <f t="shared" si="9"/>
        <v>38728.493171823167</v>
      </c>
      <c r="P29" t="str">
        <f t="shared" si="3"/>
        <v>CAD</v>
      </c>
      <c r="Q29">
        <f t="shared" si="4"/>
        <v>1.2961</v>
      </c>
    </row>
    <row r="30" spans="1:17" x14ac:dyDescent="0.25">
      <c r="A30" t="s">
        <v>1080</v>
      </c>
      <c r="B30" t="s">
        <v>17</v>
      </c>
      <c r="C30" t="str">
        <f t="shared" si="10"/>
        <v>JPY</v>
      </c>
      <c r="D30">
        <f t="shared" si="2"/>
        <v>101.23</v>
      </c>
      <c r="E30" t="s">
        <v>1079</v>
      </c>
      <c r="F30" t="s">
        <v>4</v>
      </c>
      <c r="G30" s="111">
        <f>[4]currenciesATR!$B19</f>
        <v>113.02</v>
      </c>
      <c r="H30" s="111">
        <f>[4]currenciesATR!$C19</f>
        <v>1.2235</v>
      </c>
      <c r="I30" s="137">
        <f t="shared" si="5"/>
        <v>44658.698014422604</v>
      </c>
      <c r="J30" s="113">
        <f t="shared" si="6"/>
        <v>4</v>
      </c>
      <c r="K30" t="str">
        <f t="shared" si="7"/>
        <v>'EURJPY':4,</v>
      </c>
      <c r="L30" t="s">
        <v>25</v>
      </c>
      <c r="M30" s="113">
        <f t="shared" si="8"/>
        <v>3</v>
      </c>
      <c r="N30" s="165">
        <f>G23</f>
        <v>1.2579</v>
      </c>
      <c r="O30" s="137">
        <f t="shared" si="9"/>
        <v>38720.500718243376</v>
      </c>
      <c r="P30" t="str">
        <f t="shared" si="3"/>
        <v>CHF</v>
      </c>
      <c r="Q30">
        <f t="shared" si="4"/>
        <v>0.97460000000000002</v>
      </c>
    </row>
    <row r="31" spans="1:17" x14ac:dyDescent="0.25">
      <c r="A31" t="s">
        <v>1081</v>
      </c>
      <c r="B31" t="s">
        <v>18</v>
      </c>
      <c r="C31" t="str">
        <f t="shared" si="10"/>
        <v>CHF</v>
      </c>
      <c r="D31">
        <f t="shared" si="2"/>
        <v>0.97460000000000002</v>
      </c>
      <c r="E31" t="s">
        <v>1080</v>
      </c>
      <c r="F31" t="s">
        <v>17</v>
      </c>
      <c r="G31" s="111">
        <f>[4]currenciesATR!$B20</f>
        <v>1.0883</v>
      </c>
      <c r="H31" s="111">
        <f>[4]currenciesATR!$C20</f>
        <v>4.2249999999999996E-3</v>
      </c>
      <c r="I31" s="137">
        <f t="shared" si="5"/>
        <v>44666.529858403446</v>
      </c>
      <c r="J31" s="113">
        <f t="shared" si="6"/>
        <v>4</v>
      </c>
      <c r="K31" t="str">
        <f t="shared" si="7"/>
        <v>'EURCHF':4,</v>
      </c>
      <c r="L31" t="s">
        <v>5</v>
      </c>
      <c r="M31" s="113">
        <f t="shared" si="8"/>
        <v>3</v>
      </c>
      <c r="N31" s="165">
        <f>G25</f>
        <v>130.66300000000001</v>
      </c>
      <c r="O31" s="137">
        <f t="shared" si="9"/>
        <v>38722.611873950409</v>
      </c>
      <c r="P31" t="str">
        <f t="shared" si="3"/>
        <v>JPY</v>
      </c>
      <c r="Q31">
        <f t="shared" si="4"/>
        <v>101.23</v>
      </c>
    </row>
    <row r="32" spans="1:17" x14ac:dyDescent="0.25">
      <c r="A32" t="s">
        <v>1083</v>
      </c>
      <c r="B32" t="s">
        <v>9</v>
      </c>
      <c r="C32" t="str">
        <f t="shared" si="10"/>
        <v>GBP</v>
      </c>
      <c r="D32">
        <f t="shared" si="2"/>
        <v>0.77495350278983266</v>
      </c>
      <c r="E32" t="s">
        <v>1081</v>
      </c>
      <c r="F32" t="s">
        <v>18</v>
      </c>
      <c r="G32" s="111">
        <f>[4]currenciesATR!$B21</f>
        <v>0.86482000000000003</v>
      </c>
      <c r="H32" s="111">
        <f>[4]currenciesATR!$C21</f>
        <v>7.3239999999999998E-3</v>
      </c>
      <c r="I32" s="137">
        <f t="shared" si="5"/>
        <v>44638.549120000003</v>
      </c>
      <c r="J32" s="113">
        <f t="shared" si="6"/>
        <v>4</v>
      </c>
      <c r="K32" t="str">
        <f t="shared" si="7"/>
        <v>'EURGBP':4,</v>
      </c>
      <c r="L32" t="s">
        <v>24</v>
      </c>
      <c r="M32" s="113">
        <f t="shared" si="8"/>
        <v>3</v>
      </c>
      <c r="N32" s="165">
        <f>G22</f>
        <v>1.7918000000000001</v>
      </c>
      <c r="O32" s="137">
        <f t="shared" si="9"/>
        <v>38724.875599260005</v>
      </c>
      <c r="P32" t="str">
        <f t="shared" si="3"/>
        <v>NZD</v>
      </c>
      <c r="Q32">
        <f t="shared" si="4"/>
        <v>1.388100004665404</v>
      </c>
    </row>
    <row r="33" spans="1:17" x14ac:dyDescent="0.25">
      <c r="A33" t="s">
        <v>1075</v>
      </c>
      <c r="B33" t="s">
        <v>2</v>
      </c>
      <c r="C33" t="str">
        <f t="shared" si="10"/>
        <v>USD</v>
      </c>
      <c r="D33">
        <f t="shared" si="2"/>
        <v>1</v>
      </c>
      <c r="E33" t="s">
        <v>1083</v>
      </c>
      <c r="F33" t="s">
        <v>9</v>
      </c>
      <c r="G33" s="111">
        <f>[4]currenciesATR!$B22</f>
        <v>1.1164000000000001</v>
      </c>
      <c r="H33" s="111">
        <f>[4]currenciesATR!$C22</f>
        <v>6.5050000000000004E-3</v>
      </c>
      <c r="I33" s="137">
        <f t="shared" si="5"/>
        <v>44656</v>
      </c>
      <c r="J33" s="113">
        <f t="shared" si="6"/>
        <v>4</v>
      </c>
      <c r="K33" t="str">
        <f t="shared" si="7"/>
        <v>'EURUSD':4,</v>
      </c>
      <c r="L33" t="s">
        <v>13</v>
      </c>
      <c r="M33" s="113">
        <f t="shared" si="8"/>
        <v>3</v>
      </c>
      <c r="N33" s="165">
        <f>G24</f>
        <v>1.2904</v>
      </c>
      <c r="O33" s="137">
        <f t="shared" si="9"/>
        <v>38712</v>
      </c>
      <c r="P33" t="str">
        <f t="shared" si="3"/>
        <v>USD</v>
      </c>
      <c r="Q33">
        <f t="shared" si="4"/>
        <v>1</v>
      </c>
    </row>
    <row r="34" spans="1:17" x14ac:dyDescent="0.25">
      <c r="A34" t="s">
        <v>1091</v>
      </c>
      <c r="B34" t="s">
        <v>1</v>
      </c>
      <c r="C34" t="str">
        <f t="shared" si="10"/>
        <v>JPY</v>
      </c>
      <c r="D34">
        <f t="shared" si="2"/>
        <v>101.23</v>
      </c>
      <c r="E34" t="s">
        <v>1075</v>
      </c>
      <c r="F34" t="s">
        <v>2</v>
      </c>
      <c r="G34" s="111">
        <f>[4]currenciesATR!$B23</f>
        <v>78.110964440000004</v>
      </c>
      <c r="H34" s="111">
        <f>[4]currenciesATR!$C23</f>
        <v>0.97554450599999998</v>
      </c>
      <c r="I34" s="137">
        <f t="shared" si="5"/>
        <v>46297.124038328562</v>
      </c>
      <c r="J34" s="113">
        <f t="shared" si="6"/>
        <v>6</v>
      </c>
      <c r="K34" t="str">
        <f t="shared" si="7"/>
        <v>'CADJPY':6,</v>
      </c>
      <c r="L34" t="s">
        <v>28</v>
      </c>
      <c r="M34" s="113">
        <f t="shared" si="8"/>
        <v>5</v>
      </c>
      <c r="N34" s="165">
        <f>G19</f>
        <v>0.93340000000000001</v>
      </c>
      <c r="O34" s="137">
        <f t="shared" si="9"/>
        <v>36008.024072216649</v>
      </c>
      <c r="P34" t="str">
        <f t="shared" si="3"/>
        <v>CAD</v>
      </c>
      <c r="Q34">
        <f t="shared" si="4"/>
        <v>1.2961</v>
      </c>
    </row>
    <row r="35" spans="1:17" x14ac:dyDescent="0.25">
      <c r="A35" t="s">
        <v>1076</v>
      </c>
      <c r="B35" t="s">
        <v>3</v>
      </c>
      <c r="C35" t="str">
        <f t="shared" si="10"/>
        <v>JPY</v>
      </c>
      <c r="D35">
        <f t="shared" si="2"/>
        <v>101.23</v>
      </c>
      <c r="E35" t="s">
        <v>1091</v>
      </c>
      <c r="F35" t="s">
        <v>1</v>
      </c>
      <c r="G35" s="111">
        <f>[4]currenciesATR!$B24</f>
        <v>72.912869119999996</v>
      </c>
      <c r="H35" s="111">
        <f>[4]currenciesATR!$C24</f>
        <v>0.88296866500000004</v>
      </c>
      <c r="I35" s="137">
        <f t="shared" si="5"/>
        <v>50418.856449669067</v>
      </c>
      <c r="J35" s="113">
        <f t="shared" si="6"/>
        <v>7</v>
      </c>
      <c r="K35" t="str">
        <f t="shared" si="7"/>
        <v>'NZDJPY':7,</v>
      </c>
      <c r="L35" t="s">
        <v>27</v>
      </c>
      <c r="M35" s="113">
        <f t="shared" si="8"/>
        <v>5</v>
      </c>
      <c r="N35" s="165">
        <f>G21</f>
        <v>0.70209927999999999</v>
      </c>
      <c r="O35" s="137">
        <f t="shared" si="9"/>
        <v>36019.868664067311</v>
      </c>
      <c r="P35" t="str">
        <f t="shared" si="3"/>
        <v>CHF</v>
      </c>
      <c r="Q35">
        <f t="shared" si="4"/>
        <v>0.97460000000000002</v>
      </c>
    </row>
    <row r="36" spans="1:17" x14ac:dyDescent="0.25">
      <c r="A36" t="s">
        <v>1092</v>
      </c>
      <c r="B36" t="s">
        <v>16</v>
      </c>
      <c r="C36" t="str">
        <f t="shared" si="10"/>
        <v>JPY</v>
      </c>
      <c r="D36">
        <f t="shared" si="2"/>
        <v>101.23</v>
      </c>
      <c r="E36" t="s">
        <v>1076</v>
      </c>
      <c r="F36" t="s">
        <v>3</v>
      </c>
      <c r="G36" s="111">
        <f>[4]currenciesATR!$B25</f>
        <v>103.87451958</v>
      </c>
      <c r="H36" s="111">
        <f>[4]currenciesATR!$C25</f>
        <v>1.069453735</v>
      </c>
      <c r="I36" s="137">
        <f t="shared" si="5"/>
        <v>51306.193608614049</v>
      </c>
      <c r="J36" s="113">
        <f t="shared" si="6"/>
        <v>5</v>
      </c>
      <c r="K36" t="str">
        <f t="shared" si="7"/>
        <v>'CHFJPY':5,</v>
      </c>
      <c r="L36" t="s">
        <v>1</v>
      </c>
      <c r="M36" s="113">
        <f t="shared" si="8"/>
        <v>5</v>
      </c>
      <c r="N36" s="165">
        <f>G35</f>
        <v>72.912869119999996</v>
      </c>
      <c r="O36" s="137">
        <f t="shared" si="9"/>
        <v>36013.46889262076</v>
      </c>
      <c r="P36" t="str">
        <f t="shared" si="3"/>
        <v>JPY</v>
      </c>
      <c r="Q36">
        <f t="shared" si="4"/>
        <v>101.23</v>
      </c>
    </row>
    <row r="37" spans="1:17" x14ac:dyDescent="0.25">
      <c r="A37" t="s">
        <v>1094</v>
      </c>
      <c r="B37" t="s">
        <v>15</v>
      </c>
      <c r="C37" t="str">
        <f t="shared" si="10"/>
        <v>USD</v>
      </c>
      <c r="D37">
        <f t="shared" si="2"/>
        <v>1</v>
      </c>
      <c r="E37" t="s">
        <v>1092</v>
      </c>
      <c r="F37" t="s">
        <v>16</v>
      </c>
      <c r="G37" s="111">
        <f>[4]currenciesATR!$B26</f>
        <v>0.72040919000000003</v>
      </c>
      <c r="H37" s="111">
        <f>[4]currenciesATR!$C26</f>
        <v>7.8156065000000007E-3</v>
      </c>
      <c r="I37" s="137">
        <f t="shared" si="5"/>
        <v>50428.643300000003</v>
      </c>
      <c r="J37" s="113">
        <f t="shared" si="6"/>
        <v>7</v>
      </c>
      <c r="K37" t="str">
        <f t="shared" si="7"/>
        <v>'NZDUSD':7,</v>
      </c>
      <c r="L37" t="s">
        <v>16</v>
      </c>
      <c r="M37" s="113">
        <f t="shared" si="8"/>
        <v>5</v>
      </c>
      <c r="N37" s="165">
        <f>G37</f>
        <v>0.72040919000000003</v>
      </c>
      <c r="O37" s="137">
        <f t="shared" si="9"/>
        <v>36020.459499999997</v>
      </c>
      <c r="P37" t="str">
        <f t="shared" si="3"/>
        <v>USD</v>
      </c>
      <c r="Q37">
        <f t="shared" si="4"/>
        <v>1</v>
      </c>
    </row>
    <row r="38" spans="1:17" x14ac:dyDescent="0.25">
      <c r="A38" t="s">
        <v>1093</v>
      </c>
      <c r="B38" t="s">
        <v>14</v>
      </c>
      <c r="C38" t="str">
        <f t="shared" si="10"/>
        <v>CHF</v>
      </c>
      <c r="D38">
        <f t="shared" si="2"/>
        <v>0.97460000000000002</v>
      </c>
      <c r="E38" t="s">
        <v>1094</v>
      </c>
      <c r="F38" t="s">
        <v>15</v>
      </c>
      <c r="G38" s="111">
        <f>[4]currenciesATR!$B27</f>
        <v>0.97460000000000002</v>
      </c>
      <c r="H38" s="111">
        <f>[4]currenciesATR!$C27</f>
        <v>6.685E-3</v>
      </c>
      <c r="I38" s="137">
        <f t="shared" si="5"/>
        <v>50000</v>
      </c>
      <c r="J38" s="113">
        <f t="shared" si="6"/>
        <v>5</v>
      </c>
      <c r="K38" t="str">
        <f t="shared" si="7"/>
        <v>'USDCHF':5,</v>
      </c>
      <c r="L38" t="s">
        <v>14</v>
      </c>
      <c r="M38" s="113">
        <f t="shared" si="8"/>
        <v>4</v>
      </c>
      <c r="N38" s="165">
        <f>G39</f>
        <v>1.2961</v>
      </c>
      <c r="O38" s="137">
        <f t="shared" si="9"/>
        <v>40000</v>
      </c>
      <c r="P38" t="str">
        <f t="shared" si="3"/>
        <v>CAD</v>
      </c>
      <c r="Q38">
        <f t="shared" si="4"/>
        <v>1.2961</v>
      </c>
    </row>
    <row r="39" spans="1:17" x14ac:dyDescent="0.25">
      <c r="A39" t="s">
        <v>1095</v>
      </c>
      <c r="B39" t="s">
        <v>7</v>
      </c>
      <c r="C39" t="str">
        <f t="shared" si="10"/>
        <v>CAD</v>
      </c>
      <c r="D39">
        <f t="shared" si="2"/>
        <v>1.2961</v>
      </c>
      <c r="E39" t="s">
        <v>1093</v>
      </c>
      <c r="F39" t="s">
        <v>14</v>
      </c>
      <c r="G39" s="111">
        <f>[4]currenciesATR!$B28</f>
        <v>1.2961</v>
      </c>
      <c r="H39" s="111">
        <f>[4]currenciesATR!$C28</f>
        <v>1.0085E-2</v>
      </c>
      <c r="I39" s="137">
        <f t="shared" si="5"/>
        <v>50000</v>
      </c>
      <c r="J39" s="113">
        <f t="shared" si="6"/>
        <v>5</v>
      </c>
      <c r="K39" t="str">
        <f t="shared" si="7"/>
        <v>'USDCAD':5,</v>
      </c>
      <c r="L39" t="s">
        <v>15</v>
      </c>
      <c r="M39" s="113">
        <f t="shared" si="8"/>
        <v>4</v>
      </c>
      <c r="N39" s="165">
        <f>G38</f>
        <v>0.97460000000000002</v>
      </c>
      <c r="O39" s="137">
        <f t="shared" si="9"/>
        <v>40000</v>
      </c>
      <c r="P39" t="str">
        <f t="shared" si="3"/>
        <v>CHF</v>
      </c>
      <c r="Q39">
        <f t="shared" si="4"/>
        <v>0.97460000000000002</v>
      </c>
    </row>
    <row r="40" spans="1:17" x14ac:dyDescent="0.25">
      <c r="A40" t="s">
        <v>1113</v>
      </c>
      <c r="B40" t="s">
        <v>28</v>
      </c>
      <c r="C40" t="str">
        <f t="shared" si="10"/>
        <v>JPY</v>
      </c>
      <c r="D40">
        <f t="shared" si="2"/>
        <v>101.23</v>
      </c>
      <c r="E40" t="s">
        <v>1095</v>
      </c>
      <c r="F40" t="s">
        <v>7</v>
      </c>
      <c r="G40" s="111">
        <f>[4]currenciesATR!$B29</f>
        <v>101.23</v>
      </c>
      <c r="H40" s="111">
        <f>[4]currenciesATR!$C29</f>
        <v>1.2609999999999999</v>
      </c>
      <c r="I40" s="137">
        <f t="shared" si="5"/>
        <v>50000</v>
      </c>
      <c r="J40" s="113">
        <f t="shared" si="6"/>
        <v>5</v>
      </c>
      <c r="K40" t="str">
        <f t="shared" si="7"/>
        <v>'USDJPY':5,</v>
      </c>
      <c r="L40" t="s">
        <v>7</v>
      </c>
      <c r="M40" s="113">
        <f t="shared" si="8"/>
        <v>4</v>
      </c>
      <c r="N40" s="165">
        <f>G40</f>
        <v>101.23</v>
      </c>
      <c r="O40" s="137">
        <f t="shared" si="9"/>
        <v>40000</v>
      </c>
      <c r="P40" t="str">
        <f t="shared" si="3"/>
        <v>JPY</v>
      </c>
      <c r="Q40">
        <f t="shared" si="4"/>
        <v>101.23</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101.23</v>
      </c>
      <c r="O54" s="138">
        <f t="shared" si="12"/>
        <v>14285.488491553886</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101.23</v>
      </c>
      <c r="O71" s="138">
        <f t="shared" si="12"/>
        <v>439.85972537785239</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1.2961</v>
      </c>
      <c r="O94" s="138">
        <f t="shared" si="16"/>
        <v>270.81243731193581</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0.8957362952346829</v>
      </c>
      <c r="O117" s="138">
        <f t="shared" si="19"/>
        <v>10851.407999999999</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1.3071895424836601</v>
      </c>
      <c r="O118" s="138">
        <f t="shared" si="19"/>
        <v>6454.3050000000003</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101.23</v>
      </c>
      <c r="O119" s="138">
        <f t="shared" si="19"/>
        <v>493.92472587177713</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0.8957362952346829</v>
      </c>
      <c r="O120" s="138">
        <f t="shared" si="19"/>
        <v>4326.05</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0.8957362952346829</v>
      </c>
      <c r="O121" s="138">
        <f t="shared" si="19"/>
        <v>1255.95</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0.8957362952346829</v>
      </c>
      <c r="O122" s="138">
        <f t="shared" si="19"/>
        <v>1479.23</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0.8957362952346829</v>
      </c>
      <c r="O123" s="138">
        <f t="shared" si="19"/>
        <v>7228.6900000000005</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1.2961</v>
      </c>
      <c r="O124" s="138">
        <f t="shared" si="19"/>
        <v>1157.3181081706657</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0.8957362952346829</v>
      </c>
      <c r="O126" s="138">
        <f t="shared" si="19"/>
        <v>5805.28</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0.8957362952346829</v>
      </c>
      <c r="O128" s="138">
        <f t="shared" si="19"/>
        <v>679.88760000000002</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0.8957362952346829</v>
      </c>
      <c r="O129" s="138">
        <f t="shared" si="19"/>
        <v>3237.56</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0.8957362952346829</v>
      </c>
      <c r="O130" s="138">
        <f t="shared" si="19"/>
        <v>543.68680000000006</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0.77495350278983266</v>
      </c>
      <c r="O131" s="138">
        <f t="shared" si="19"/>
        <v>1935.6</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1.3071895424836601</v>
      </c>
      <c r="O133" s="138">
        <f t="shared" si="19"/>
        <v>573.75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1.3071895424836601</v>
      </c>
      <c r="O136" s="138">
        <f t="shared" si="19"/>
        <v>765</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1.3071895424836601</v>
      </c>
      <c r="O137" s="138">
        <f t="shared" si="19"/>
        <v>2486.25</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0.8957362952346829</v>
      </c>
      <c r="O138" s="138">
        <f t="shared" si="19"/>
        <v>12559.5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0.8957362952346829</v>
      </c>
      <c r="O139" s="138">
        <f t="shared" ref="O139:O170" si="23">M139/N139</f>
        <v>418.65</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101.23</v>
      </c>
      <c r="O141" s="138">
        <f t="shared" si="23"/>
        <v>4939.2472587177708</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0.77495350278983266</v>
      </c>
      <c r="O142" s="138">
        <f t="shared" si="23"/>
        <v>5499.6848</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0.77495350278983266</v>
      </c>
      <c r="O143" s="138">
        <f t="shared" si="23"/>
        <v>5080.3047999999999</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0.77495350278983266</v>
      </c>
      <c r="O144" s="138">
        <f t="shared" si="23"/>
        <v>396.15279999999996</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0.97460000000000002</v>
      </c>
      <c r="O146" s="138">
        <f t="shared" si="23"/>
        <v>618.71537040837268</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0.8957362952346829</v>
      </c>
      <c r="O149" s="138">
        <f t="shared" si="23"/>
        <v>611.78719999999998</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101.23</v>
      </c>
      <c r="O151" s="138">
        <f t="shared" si="23"/>
        <v>12613.652079423095</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0.77495350278983266</v>
      </c>
      <c r="O152" s="138">
        <f t="shared" si="23"/>
        <v>2273.6848</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1.2961</v>
      </c>
      <c r="O164" s="138">
        <f t="shared" si="23"/>
        <v>4545.9455288943755</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0.8957362952346829</v>
      </c>
      <c r="O165" s="138">
        <f t="shared" si="23"/>
        <v>7745.5832</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0.77495350278983266</v>
      </c>
      <c r="O166" s="138">
        <f t="shared" si="23"/>
        <v>1548.4799999999998</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0.97460000000000002</v>
      </c>
      <c r="O167" s="138">
        <f t="shared" si="23"/>
        <v>8784.1165606402628</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0.8957362952346829</v>
      </c>
      <c r="O168" s="138">
        <f t="shared" si="23"/>
        <v>837.3</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0.8957362952346829</v>
      </c>
      <c r="O169" s="138">
        <f t="shared" si="23"/>
        <v>3544.57</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0.8957362952346829</v>
      </c>
      <c r="O170" s="138">
        <f t="shared" si="23"/>
        <v>1754.9808</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0.8957362952346829</v>
      </c>
      <c r="O172" s="138">
        <f>M172/N172</f>
        <v>29619.2084</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1.3071895424836601</v>
      </c>
      <c r="O173" s="138">
        <f>M173/N173</f>
        <v>1836</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0.8957362952346829</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1.2961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0.8957362952346829</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0.8957362952346829</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0.8957362952346829</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0.8957362952346829</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0.8957362952346829</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0.8957362952346829</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0.77495350278983266</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0.77495350278983266</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0.77495350278983266</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0.8957362952346829</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101.23</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1.2961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101.23</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0.97460000000000002</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0.8957362952346829</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1.3071895424836601</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1.3071895424836601</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1.3071895424836601</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1.3071895424836601</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topLeftCell="G1" workbookViewId="0">
      <selection activeCell="B21" sqref="B21"/>
    </sheetView>
  </sheetViews>
  <sheetFormatPr defaultRowHeight="15" x14ac:dyDescent="0.25"/>
  <cols>
    <col min="1" max="1" width="13.85546875" bestFit="1" customWidth="1"/>
    <col min="8" max="8" width="12" bestFit="1" customWidth="1"/>
  </cols>
  <sheetData>
    <row r="1" spans="1:10" x14ac:dyDescent="0.25">
      <c r="B1" t="s">
        <v>1291</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0.59154929577464788</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0.63380281690140849</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0.5714285714285714</v>
      </c>
    </row>
    <row r="18" spans="1:10" x14ac:dyDescent="0.25">
      <c r="A18">
        <f>'0809'!$A$1</f>
        <v>20160809</v>
      </c>
      <c r="B18" s="254">
        <f>'0809'!$F$10</f>
        <v>0.70422535211267601</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0.2857142857142857</v>
      </c>
    </row>
    <row r="19" spans="1:10" x14ac:dyDescent="0.25">
      <c r="A19">
        <f>'0810'!$A$1</f>
        <v>20160810</v>
      </c>
      <c r="B19" s="254">
        <f>'0810'!$F$10</f>
        <v>0.52112676056338025</v>
      </c>
      <c r="C19" s="254">
        <f>'0810'!$F$2</f>
        <v>0.88888888888888884</v>
      </c>
      <c r="D19" s="254">
        <f>'0810'!$F$3</f>
        <v>0</v>
      </c>
      <c r="E19" s="254">
        <f>'0810'!$F$4</f>
        <v>0.6</v>
      </c>
      <c r="F19" s="254">
        <f>'0810'!$F$5</f>
        <v>0.2857142857142857</v>
      </c>
      <c r="G19" s="254">
        <f>'0810'!$F$6</f>
        <v>0.33333333333333331</v>
      </c>
      <c r="H19" s="254">
        <f>'0810'!$F$7</f>
        <v>1</v>
      </c>
      <c r="I19" s="254">
        <f>'0810'!$F$8</f>
        <v>1</v>
      </c>
      <c r="J19" s="254">
        <f>'0810'!$F$9</f>
        <v>0.14285714285714285</v>
      </c>
    </row>
    <row r="20" spans="1:10" x14ac:dyDescent="0.25">
      <c r="A20">
        <f>'0811'!$A$1</f>
        <v>20160811</v>
      </c>
      <c r="B20" s="254">
        <f>'0811'!$F$10</f>
        <v>0.57746478873239437</v>
      </c>
      <c r="C20" s="254">
        <f>'0811'!$F$2</f>
        <v>0.55555555555555558</v>
      </c>
      <c r="D20" s="254">
        <f>'0811'!$F$3</f>
        <v>0.83333333333333337</v>
      </c>
      <c r="E20" s="254">
        <f>'0811'!$F$4</f>
        <v>0.5</v>
      </c>
      <c r="F20" s="254">
        <f>'0811'!$F$5</f>
        <v>0.8571428571428571</v>
      </c>
      <c r="G20" s="254">
        <f>'0811'!$F$6</f>
        <v>0</v>
      </c>
      <c r="H20" s="254">
        <f>'0811'!$F$7</f>
        <v>0.2</v>
      </c>
      <c r="I20" s="254">
        <f>'0811'!$F$8</f>
        <v>0.4</v>
      </c>
      <c r="J20" s="254">
        <f>'0811'!$F$9</f>
        <v>0.42857142857142855</v>
      </c>
    </row>
    <row r="21" spans="1:10" x14ac:dyDescent="0.25">
      <c r="A21">
        <f>'0812'!$A$1</f>
        <v>20160812</v>
      </c>
      <c r="B21" s="254">
        <f>'0812'!$F$10</f>
        <v>0.50704225352112675</v>
      </c>
      <c r="C21" s="254">
        <f>'0812'!$F$2</f>
        <v>0.33333333333333331</v>
      </c>
      <c r="D21" s="254">
        <f>'0812'!$F$3</f>
        <v>1</v>
      </c>
      <c r="E21" s="254">
        <f>'0812'!$F$4</f>
        <v>0.6</v>
      </c>
      <c r="F21" s="254">
        <f>'0812'!$F$5</f>
        <v>0.47619047619047616</v>
      </c>
      <c r="G21" s="254">
        <f>'0812'!$F$6</f>
        <v>0.66666666666666663</v>
      </c>
      <c r="H21" s="254">
        <f>'0812'!$F$7</f>
        <v>0</v>
      </c>
      <c r="I21" s="254">
        <f>'0812'!$F$8</f>
        <v>0.7</v>
      </c>
      <c r="J21" s="254">
        <f>'0812'!$F$9</f>
        <v>0.2857142857142857</v>
      </c>
    </row>
    <row r="22" spans="1:10" x14ac:dyDescent="0.25">
      <c r="A22">
        <f>'0815'!$A$1</f>
        <v>20160815</v>
      </c>
      <c r="B22" s="254">
        <f>'0815'!$F$10</f>
        <v>0</v>
      </c>
      <c r="C22" s="254">
        <f>'0815'!$F$2</f>
        <v>0</v>
      </c>
      <c r="D22" s="254">
        <f>'0815'!$F$3</f>
        <v>0</v>
      </c>
      <c r="E22" s="254">
        <f>'0815'!$F$4</f>
        <v>0</v>
      </c>
      <c r="F22" s="254">
        <f>'0815'!$F$5</f>
        <v>0</v>
      </c>
      <c r="G22" s="254">
        <f>'0815'!$F$6</f>
        <v>0</v>
      </c>
      <c r="H22" s="254">
        <f>'0815'!$F$7</f>
        <v>0</v>
      </c>
      <c r="I22" s="254">
        <f>'0815'!$F$8</f>
        <v>0</v>
      </c>
      <c r="J22" s="254">
        <f>'0815'!$F$9</f>
        <v>0</v>
      </c>
    </row>
    <row r="23" spans="1:10" x14ac:dyDescent="0.25">
      <c r="A23">
        <f>'0816'!$A$1</f>
        <v>20160816</v>
      </c>
      <c r="B23" s="254">
        <f>'0816'!$F$10</f>
        <v>0</v>
      </c>
      <c r="C23" s="254">
        <f>'0816'!$F$2</f>
        <v>0</v>
      </c>
      <c r="D23" s="254">
        <f>'0816'!$F$3</f>
        <v>0</v>
      </c>
      <c r="E23" s="254">
        <f>'0816'!$F$4</f>
        <v>0</v>
      </c>
      <c r="F23" s="254">
        <f>'0816'!$F$5</f>
        <v>0</v>
      </c>
      <c r="G23" s="254">
        <f>'0816'!$F$6</f>
        <v>0</v>
      </c>
      <c r="H23" s="254">
        <f>'0816'!$F$7</f>
        <v>0</v>
      </c>
      <c r="I23" s="254">
        <f>'0816'!$F$8</f>
        <v>0</v>
      </c>
      <c r="J23" s="254">
        <f>'0816'!$F$9</f>
        <v>0</v>
      </c>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AZ81" sqref="AZ81"/>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20160816</v>
      </c>
      <c r="F1" t="s">
        <v>1256</v>
      </c>
      <c r="G1" t="s">
        <v>1060</v>
      </c>
      <c r="H1" s="197" t="s">
        <v>1188</v>
      </c>
      <c r="I1" t="s">
        <v>1294</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1" t="str">
        <f t="shared" ref="Z1:AP1" si="1">Z12</f>
        <v>MAX ACC 0% PNL 0</v>
      </c>
      <c r="AA1" s="332" t="str">
        <f t="shared" si="1"/>
        <v>RISK-ON ACC 0% PNL 0</v>
      </c>
      <c r="AB1" s="332" t="str">
        <f t="shared" si="1"/>
        <v>RISK-OFF ACC 0% PNL 0</v>
      </c>
      <c r="AC1" s="332" t="str">
        <f t="shared" si="1"/>
        <v>Previous ACC 0% PNL 0</v>
      </c>
      <c r="AD1" s="295" t="str">
        <f t="shared" si="1"/>
        <v>Anti-Previous ACC 0% PNL 0</v>
      </c>
      <c r="AE1" s="333" t="str">
        <f t="shared" si="1"/>
        <v>&gt;equity ACC 0% PNL 0</v>
      </c>
      <c r="AF1" s="333" t="str">
        <f t="shared" si="1"/>
        <v>50/50 ACC 0% PNL 0</v>
      </c>
      <c r="AG1" s="333" t="str">
        <f t="shared" si="1"/>
        <v>&lt;equity ACC 0% PNL 0</v>
      </c>
      <c r="AH1" s="334" t="str">
        <f t="shared" si="1"/>
        <v>SEASONALITY ACC 0% PNL 0</v>
      </c>
      <c r="AI1" s="334" t="str">
        <f t="shared" si="1"/>
        <v>ANTI-SEASONALITY ACC 0% PNL 0</v>
      </c>
      <c r="AJ1" s="334" t="str">
        <f t="shared" si="1"/>
        <v>ADJ_SEASONALITY ACC 0% PNL 0</v>
      </c>
      <c r="AK1" s="335" t="str">
        <f t="shared" si="1"/>
        <v>V1 ACC 0% PNL 0</v>
      </c>
      <c r="AL1" s="335" t="str">
        <f t="shared" si="1"/>
        <v>V2 ACC 0% PNL 0</v>
      </c>
      <c r="AM1" s="335" t="str">
        <f t="shared" si="1"/>
        <v>V3 ACC 0% PNL 0</v>
      </c>
      <c r="AN1" s="335" t="str">
        <f t="shared" si="1"/>
        <v>V4 ACC 0% PNL 0</v>
      </c>
      <c r="AO1" s="335" t="str">
        <f t="shared" si="1"/>
        <v>V5 ACC 0% PNL 0</v>
      </c>
      <c r="AP1" s="335" t="str">
        <f t="shared" si="1"/>
        <v>V6 ACC 0% PNL 0</v>
      </c>
      <c r="BI1" t="str">
        <f>"NET POSITION BY SYSTEM FOR "&amp;A1</f>
        <v>NET POSITION BY SYSTEM FOR 20160816</v>
      </c>
    </row>
    <row r="2" spans="1:61" outlineLevel="1" x14ac:dyDescent="0.25">
      <c r="A2" t="s">
        <v>1121</v>
      </c>
      <c r="B2" s="95">
        <f>COUNTIF($C$14:$C$92,A2)</f>
        <v>9</v>
      </c>
      <c r="C2" s="193">
        <f>B2/$B$10</f>
        <v>0.12676056338028169</v>
      </c>
      <c r="F2" s="294">
        <f t="shared" ref="F2:F9" si="2">SUMIFS(H$14:H$92,H$14:H$92,1,$C$14:$C$92,A2)/$B2</f>
        <v>0</v>
      </c>
      <c r="G2" s="137">
        <f t="shared" ref="G2:G9" si="3">SUMIF($C$14:$C$92,A2,Z$14:Z$92)</f>
        <v>0</v>
      </c>
      <c r="H2" s="143">
        <f t="shared" ref="H2:H10" si="4">G2/$B2</f>
        <v>0</v>
      </c>
      <c r="I2" s="186">
        <f>SUMIF($C$14:$C$92,A2,F$14:F$92)/B2</f>
        <v>0</v>
      </c>
      <c r="J2" t="str">
        <f t="shared" ref="J2:J9" si="5">A2</f>
        <v>currency</v>
      </c>
      <c r="K2" s="342">
        <f t="shared" ref="K2:K9" si="6">SUMIF($C$14:$C$92,$A2,E$14:E$92)/$B2</f>
        <v>0</v>
      </c>
      <c r="L2" s="342">
        <f t="shared" ref="L2:O9" si="7">SUMIF($C$14:$C$92,$A2,I$14:I$92)/$B2</f>
        <v>0</v>
      </c>
      <c r="M2" s="342">
        <f t="shared" si="7"/>
        <v>0</v>
      </c>
      <c r="N2" s="342">
        <f t="shared" si="7"/>
        <v>0</v>
      </c>
      <c r="O2" s="342">
        <f t="shared" si="7"/>
        <v>0</v>
      </c>
      <c r="P2" s="342">
        <f t="shared" ref="P2:V9" si="8">SUMIF($C$14:$C$92,$A2,O$14:O$92)/$B2</f>
        <v>0</v>
      </c>
      <c r="Q2" s="342">
        <f t="shared" si="8"/>
        <v>-1</v>
      </c>
      <c r="R2" s="342">
        <f t="shared" si="8"/>
        <v>-1</v>
      </c>
      <c r="S2" s="342">
        <f t="shared" si="8"/>
        <v>-1</v>
      </c>
      <c r="T2" s="342">
        <f t="shared" si="8"/>
        <v>-1</v>
      </c>
      <c r="U2" s="342">
        <f t="shared" si="8"/>
        <v>1</v>
      </c>
      <c r="V2" s="342">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61" outlineLevel="1" x14ac:dyDescent="0.25">
      <c r="A3" s="1" t="s">
        <v>288</v>
      </c>
      <c r="B3" s="95">
        <f t="shared" ref="B3:B9" si="10">COUNTIF($C$14:$C$92,A3)</f>
        <v>6</v>
      </c>
      <c r="C3" s="193">
        <f t="shared" ref="C3:C10" si="11">B3/$B$10</f>
        <v>8.4507042253521125E-2</v>
      </c>
      <c r="F3" s="294">
        <f t="shared" si="2"/>
        <v>0</v>
      </c>
      <c r="G3" s="137">
        <f t="shared" si="3"/>
        <v>0</v>
      </c>
      <c r="H3" s="143">
        <f t="shared" si="4"/>
        <v>0</v>
      </c>
      <c r="I3" s="186">
        <f t="shared" ref="I3:I9" si="12">SUMIF($C$14:$C$92,A3,F$14:F$92)/B3</f>
        <v>0</v>
      </c>
      <c r="J3" t="str">
        <f t="shared" si="5"/>
        <v>energy</v>
      </c>
      <c r="K3" s="342">
        <f t="shared" si="6"/>
        <v>0</v>
      </c>
      <c r="L3" s="342">
        <f t="shared" si="7"/>
        <v>0</v>
      </c>
      <c r="M3" s="342">
        <f t="shared" si="7"/>
        <v>0</v>
      </c>
      <c r="N3" s="342">
        <f t="shared" si="7"/>
        <v>0</v>
      </c>
      <c r="O3" s="342">
        <f t="shared" si="7"/>
        <v>0</v>
      </c>
      <c r="P3" s="342">
        <f t="shared" si="8"/>
        <v>0</v>
      </c>
      <c r="Q3" s="342">
        <f t="shared" si="8"/>
        <v>-1</v>
      </c>
      <c r="R3" s="342">
        <f t="shared" si="8"/>
        <v>-1</v>
      </c>
      <c r="S3" s="342">
        <f t="shared" si="8"/>
        <v>-1</v>
      </c>
      <c r="T3" s="342">
        <f t="shared" si="8"/>
        <v>-1</v>
      </c>
      <c r="U3" s="342">
        <f t="shared" si="8"/>
        <v>1</v>
      </c>
      <c r="V3" s="342">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61" outlineLevel="1" x14ac:dyDescent="0.25">
      <c r="A4" s="1" t="s">
        <v>297</v>
      </c>
      <c r="B4" s="95">
        <f t="shared" si="10"/>
        <v>10</v>
      </c>
      <c r="C4" s="193">
        <f t="shared" si="11"/>
        <v>0.14084507042253522</v>
      </c>
      <c r="F4" s="294">
        <f t="shared" si="2"/>
        <v>0</v>
      </c>
      <c r="G4" s="137">
        <f t="shared" si="3"/>
        <v>0</v>
      </c>
      <c r="H4" s="143">
        <f t="shared" si="4"/>
        <v>0</v>
      </c>
      <c r="I4" s="186">
        <f t="shared" si="12"/>
        <v>0</v>
      </c>
      <c r="J4" t="str">
        <f t="shared" si="5"/>
        <v>grain</v>
      </c>
      <c r="K4" s="342">
        <f t="shared" si="6"/>
        <v>0</v>
      </c>
      <c r="L4" s="342">
        <f t="shared" si="7"/>
        <v>0</v>
      </c>
      <c r="M4" s="342">
        <f t="shared" si="7"/>
        <v>0</v>
      </c>
      <c r="N4" s="342">
        <f t="shared" si="7"/>
        <v>0</v>
      </c>
      <c r="O4" s="342">
        <f t="shared" si="7"/>
        <v>0</v>
      </c>
      <c r="P4" s="342">
        <f t="shared" si="8"/>
        <v>0</v>
      </c>
      <c r="Q4" s="342">
        <f t="shared" si="8"/>
        <v>-1</v>
      </c>
      <c r="R4" s="342">
        <f t="shared" si="8"/>
        <v>-1</v>
      </c>
      <c r="S4" s="342">
        <f t="shared" si="8"/>
        <v>-1</v>
      </c>
      <c r="T4" s="342">
        <f t="shared" si="8"/>
        <v>-1</v>
      </c>
      <c r="U4" s="342">
        <f t="shared" si="8"/>
        <v>1</v>
      </c>
      <c r="V4" s="342">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61" outlineLevel="1" x14ac:dyDescent="0.25">
      <c r="A5" s="1" t="s">
        <v>294</v>
      </c>
      <c r="B5" s="95">
        <f t="shared" si="10"/>
        <v>21</v>
      </c>
      <c r="C5" s="193">
        <f t="shared" si="11"/>
        <v>0.29577464788732394</v>
      </c>
      <c r="F5" s="294">
        <f t="shared" si="2"/>
        <v>0</v>
      </c>
      <c r="G5" s="137">
        <f t="shared" si="3"/>
        <v>0</v>
      </c>
      <c r="H5" s="143">
        <f>G5/$B5</f>
        <v>0</v>
      </c>
      <c r="I5" s="186">
        <f t="shared" si="12"/>
        <v>0</v>
      </c>
      <c r="J5" t="str">
        <f t="shared" si="5"/>
        <v>index</v>
      </c>
      <c r="K5" s="342">
        <f t="shared" si="6"/>
        <v>0</v>
      </c>
      <c r="L5" s="342">
        <f t="shared" si="7"/>
        <v>0</v>
      </c>
      <c r="M5" s="342">
        <f t="shared" si="7"/>
        <v>0</v>
      </c>
      <c r="N5" s="342">
        <f t="shared" si="7"/>
        <v>0</v>
      </c>
      <c r="O5" s="342">
        <f t="shared" si="7"/>
        <v>0</v>
      </c>
      <c r="P5" s="342">
        <f t="shared" si="8"/>
        <v>0</v>
      </c>
      <c r="Q5" s="342">
        <f t="shared" si="8"/>
        <v>-1</v>
      </c>
      <c r="R5" s="342">
        <f t="shared" si="8"/>
        <v>-1</v>
      </c>
      <c r="S5" s="342">
        <f t="shared" si="8"/>
        <v>-1</v>
      </c>
      <c r="T5" s="342">
        <f t="shared" si="8"/>
        <v>-1</v>
      </c>
      <c r="U5" s="342">
        <f t="shared" si="8"/>
        <v>1</v>
      </c>
      <c r="V5" s="342">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61" outlineLevel="1" x14ac:dyDescent="0.25">
      <c r="A6" s="1" t="s">
        <v>313</v>
      </c>
      <c r="B6" s="95">
        <f t="shared" si="10"/>
        <v>3</v>
      </c>
      <c r="C6" s="193">
        <f t="shared" si="11"/>
        <v>4.2253521126760563E-2</v>
      </c>
      <c r="F6" s="294">
        <f t="shared" si="2"/>
        <v>0</v>
      </c>
      <c r="G6" s="137">
        <f t="shared" si="3"/>
        <v>0</v>
      </c>
      <c r="H6" s="143">
        <f t="shared" si="4"/>
        <v>0</v>
      </c>
      <c r="I6" s="186">
        <f t="shared" si="12"/>
        <v>0</v>
      </c>
      <c r="J6" t="str">
        <f t="shared" si="5"/>
        <v>meat</v>
      </c>
      <c r="K6" s="342">
        <f t="shared" si="6"/>
        <v>0</v>
      </c>
      <c r="L6" s="342">
        <f t="shared" si="7"/>
        <v>0</v>
      </c>
      <c r="M6" s="342">
        <f t="shared" si="7"/>
        <v>0</v>
      </c>
      <c r="N6" s="342">
        <f t="shared" si="7"/>
        <v>0</v>
      </c>
      <c r="O6" s="342">
        <f t="shared" si="7"/>
        <v>0</v>
      </c>
      <c r="P6" s="342">
        <f t="shared" si="8"/>
        <v>0</v>
      </c>
      <c r="Q6" s="342">
        <f t="shared" si="8"/>
        <v>-1</v>
      </c>
      <c r="R6" s="342">
        <f t="shared" si="8"/>
        <v>-1</v>
      </c>
      <c r="S6" s="342">
        <f t="shared" si="8"/>
        <v>-1</v>
      </c>
      <c r="T6" s="342">
        <f t="shared" si="8"/>
        <v>-1</v>
      </c>
      <c r="U6" s="342">
        <f t="shared" si="8"/>
        <v>1</v>
      </c>
      <c r="V6" s="342">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61" outlineLevel="1" x14ac:dyDescent="0.25">
      <c r="A7" s="1" t="s">
        <v>347</v>
      </c>
      <c r="B7" s="95">
        <f t="shared" si="10"/>
        <v>5</v>
      </c>
      <c r="C7" s="193">
        <f t="shared" si="11"/>
        <v>7.0422535211267609E-2</v>
      </c>
      <c r="F7" s="294">
        <f t="shared" si="2"/>
        <v>0</v>
      </c>
      <c r="G7" s="137">
        <f t="shared" si="3"/>
        <v>0</v>
      </c>
      <c r="H7" s="143">
        <f t="shared" si="4"/>
        <v>0</v>
      </c>
      <c r="I7" s="186">
        <f t="shared" si="12"/>
        <v>0</v>
      </c>
      <c r="J7" t="str">
        <f t="shared" si="5"/>
        <v>metal</v>
      </c>
      <c r="K7" s="342">
        <f t="shared" si="6"/>
        <v>0</v>
      </c>
      <c r="L7" s="342">
        <f t="shared" si="7"/>
        <v>0</v>
      </c>
      <c r="M7" s="342">
        <f t="shared" si="7"/>
        <v>0</v>
      </c>
      <c r="N7" s="342">
        <f t="shared" si="7"/>
        <v>0</v>
      </c>
      <c r="O7" s="342">
        <f t="shared" si="7"/>
        <v>0</v>
      </c>
      <c r="P7" s="342">
        <f t="shared" si="8"/>
        <v>0</v>
      </c>
      <c r="Q7" s="342">
        <f t="shared" si="8"/>
        <v>-1</v>
      </c>
      <c r="R7" s="342">
        <f t="shared" si="8"/>
        <v>-1</v>
      </c>
      <c r="S7" s="342">
        <f t="shared" si="8"/>
        <v>-1</v>
      </c>
      <c r="T7" s="342">
        <f t="shared" si="8"/>
        <v>-1</v>
      </c>
      <c r="U7" s="342">
        <f t="shared" si="8"/>
        <v>1</v>
      </c>
      <c r="V7" s="342">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61" outlineLevel="1" x14ac:dyDescent="0.25">
      <c r="A8" s="1" t="s">
        <v>1122</v>
      </c>
      <c r="B8" s="95">
        <f t="shared" si="10"/>
        <v>10</v>
      </c>
      <c r="C8" s="193">
        <f t="shared" si="11"/>
        <v>0.14084507042253522</v>
      </c>
      <c r="F8" s="294">
        <f t="shared" si="2"/>
        <v>0</v>
      </c>
      <c r="G8" s="137">
        <f t="shared" si="3"/>
        <v>0</v>
      </c>
      <c r="H8" s="143">
        <f t="shared" si="4"/>
        <v>0</v>
      </c>
      <c r="I8" s="186">
        <f t="shared" si="12"/>
        <v>0</v>
      </c>
      <c r="J8" t="str">
        <f t="shared" si="5"/>
        <v>rates</v>
      </c>
      <c r="K8" s="342">
        <f t="shared" si="6"/>
        <v>0</v>
      </c>
      <c r="L8" s="342">
        <f t="shared" si="7"/>
        <v>0</v>
      </c>
      <c r="M8" s="342">
        <f t="shared" si="7"/>
        <v>0</v>
      </c>
      <c r="N8" s="342">
        <f t="shared" si="7"/>
        <v>0</v>
      </c>
      <c r="O8" s="342">
        <f t="shared" si="7"/>
        <v>0</v>
      </c>
      <c r="P8" s="342">
        <f t="shared" si="8"/>
        <v>0</v>
      </c>
      <c r="Q8" s="342">
        <f t="shared" si="8"/>
        <v>-1</v>
      </c>
      <c r="R8" s="342">
        <f t="shared" si="8"/>
        <v>-1</v>
      </c>
      <c r="S8" s="342">
        <f t="shared" si="8"/>
        <v>-1</v>
      </c>
      <c r="T8" s="342">
        <f t="shared" si="8"/>
        <v>-1</v>
      </c>
      <c r="U8" s="342">
        <f t="shared" si="8"/>
        <v>1</v>
      </c>
      <c r="V8" s="342">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61" outlineLevel="1" x14ac:dyDescent="0.25">
      <c r="A9" s="17" t="s">
        <v>304</v>
      </c>
      <c r="B9" s="295">
        <f t="shared" si="10"/>
        <v>7</v>
      </c>
      <c r="C9" s="200">
        <f t="shared" si="11"/>
        <v>9.8591549295774641E-2</v>
      </c>
      <c r="D9" s="126"/>
      <c r="F9" s="294">
        <f t="shared" si="2"/>
        <v>0</v>
      </c>
      <c r="G9" s="199">
        <f t="shared" si="3"/>
        <v>0</v>
      </c>
      <c r="H9" s="143">
        <f t="shared" si="4"/>
        <v>0</v>
      </c>
      <c r="I9" s="186">
        <f t="shared" si="12"/>
        <v>0</v>
      </c>
      <c r="J9" t="str">
        <f t="shared" si="5"/>
        <v>soft</v>
      </c>
      <c r="K9" s="342">
        <f t="shared" si="6"/>
        <v>0</v>
      </c>
      <c r="L9" s="342">
        <f t="shared" si="7"/>
        <v>0</v>
      </c>
      <c r="M9" s="342">
        <f t="shared" si="7"/>
        <v>0</v>
      </c>
      <c r="N9" s="342">
        <f t="shared" si="7"/>
        <v>0</v>
      </c>
      <c r="O9" s="342">
        <f t="shared" si="7"/>
        <v>0</v>
      </c>
      <c r="P9" s="342">
        <f t="shared" si="8"/>
        <v>0</v>
      </c>
      <c r="Q9" s="342">
        <f t="shared" si="8"/>
        <v>-1</v>
      </c>
      <c r="R9" s="342">
        <f t="shared" si="8"/>
        <v>-1</v>
      </c>
      <c r="S9" s="342">
        <f t="shared" si="8"/>
        <v>-1</v>
      </c>
      <c r="T9" s="342">
        <f t="shared" si="8"/>
        <v>-1</v>
      </c>
      <c r="U9" s="342">
        <f t="shared" si="8"/>
        <v>1</v>
      </c>
      <c r="V9" s="342">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61" outlineLevel="1" x14ac:dyDescent="0.25">
      <c r="B10">
        <f>SUM(B2:B9)</f>
        <v>71</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61" outlineLevel="1" x14ac:dyDescent="0.25">
      <c r="H11" t="s">
        <v>1158</v>
      </c>
      <c r="I11" s="95">
        <v>0.75</v>
      </c>
      <c r="J11">
        <v>0.5</v>
      </c>
      <c r="K11">
        <v>1</v>
      </c>
      <c r="V11" s="354"/>
      <c r="W11" s="354"/>
      <c r="X11" s="112" t="s">
        <v>1281</v>
      </c>
      <c r="Y11" s="352">
        <f>SUMIF('FuturesInfo (3)'!$W$2:$W$80,"&gt;0")/COUNTIF('FuturesInfo (3)'!$W$2:$W$80,"&gt;0")</f>
        <v>2505.8825765419137</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s="112" t="s">
        <v>776</v>
      </c>
      <c r="W12" s="112" t="s">
        <v>1257</v>
      </c>
      <c r="X12" s="112" t="s">
        <v>1152</v>
      </c>
      <c r="Y12" s="112" t="s">
        <v>1313</v>
      </c>
      <c r="Z12" s="336" t="str">
        <f t="shared" ref="Z12:AP12" si="14">Z93&amp;" ACC "&amp;ROUND(Z94,2)*100&amp;"% PNL "&amp;ROUND(Z10,0)</f>
        <v>MAX ACC 0% PNL 0</v>
      </c>
      <c r="AA12" s="308" t="str">
        <f t="shared" si="14"/>
        <v>RISK-ON ACC 0% PNL 0</v>
      </c>
      <c r="AB12" s="308" t="str">
        <f t="shared" si="14"/>
        <v>RISK-OFF ACC 0% PNL 0</v>
      </c>
      <c r="AC12" s="308" t="str">
        <f t="shared" si="14"/>
        <v>Previous ACC 0% PNL 0</v>
      </c>
      <c r="AD12" s="337" t="str">
        <f t="shared" si="14"/>
        <v>Anti-Previous ACC 0% PNL 0</v>
      </c>
      <c r="AE12" s="338" t="str">
        <f t="shared" si="14"/>
        <v>&gt;equity ACC 0% PNL 0</v>
      </c>
      <c r="AF12" s="338" t="str">
        <f t="shared" si="14"/>
        <v>50/50 ACC 0% PNL 0</v>
      </c>
      <c r="AG12" s="338" t="str">
        <f t="shared" si="14"/>
        <v>&lt;equity ACC 0% PNL 0</v>
      </c>
      <c r="AH12" s="339" t="str">
        <f t="shared" si="14"/>
        <v>SEASONALITY ACC 0% PNL 0</v>
      </c>
      <c r="AI12" s="339" t="str">
        <f t="shared" si="14"/>
        <v>ANTI-SEASONALITY ACC 0% PNL 0</v>
      </c>
      <c r="AJ12" s="339" t="str">
        <f t="shared" si="14"/>
        <v>ADJ_SEASONALITY ACC 0% PNL 0</v>
      </c>
      <c r="AK12" s="340" t="str">
        <f t="shared" si="14"/>
        <v>V1 ACC 0% PNL 0</v>
      </c>
      <c r="AL12" s="340" t="str">
        <f t="shared" si="14"/>
        <v>V2 ACC 0% PNL 0</v>
      </c>
      <c r="AM12" s="340" t="str">
        <f t="shared" si="14"/>
        <v>V3 ACC 0% PNL 0</v>
      </c>
      <c r="AN12" s="340" t="str">
        <f t="shared" si="14"/>
        <v>V4 ACC 0% PNL 0</v>
      </c>
      <c r="AO12" s="340" t="str">
        <f t="shared" si="14"/>
        <v>V5 ACC 0% PNL 0</v>
      </c>
      <c r="AP12" s="340" t="str">
        <f t="shared" si="14"/>
        <v>V6 ACC 0% PNL 0</v>
      </c>
    </row>
    <row r="13" spans="1:61"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V13" s="353"/>
      <c r="W13" s="353"/>
      <c r="X13" s="353">
        <f t="shared" ref="X13" si="17">SUM(X14:X92)</f>
        <v>24543947.96774786</v>
      </c>
      <c r="Y13" s="353">
        <f>SUM(Y14:Y92)</f>
        <v>861779.10664455185</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61" ht="15.75" thickBot="1" x14ac:dyDescent="0.3">
      <c r="A14" s="328" t="s">
        <v>287</v>
      </c>
      <c r="B14" s="329" t="s">
        <v>558</v>
      </c>
      <c r="C14" s="330" t="s">
        <v>1285</v>
      </c>
      <c r="E14" s="201">
        <f>'0815'!H14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s="354">
        <f>IF(C14&lt;&gt;"offline",VLOOKUP($A14,'FuturesInfo (3)'!$A$2:$V$80,22),0)</f>
        <v>0</v>
      </c>
      <c r="W14" s="354">
        <v>1</v>
      </c>
      <c r="X14" s="354">
        <f>VLOOKUP($A14,'FuturesInfo (3)'!$A$2:$O$80,15)*V14</f>
        <v>0</v>
      </c>
      <c r="Y14" s="354">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61" ht="15.75" thickBot="1" x14ac:dyDescent="0.3">
      <c r="A15" s="1" t="s">
        <v>290</v>
      </c>
      <c r="B15" s="149" t="s">
        <v>470</v>
      </c>
      <c r="C15" s="192" t="s">
        <v>1121</v>
      </c>
      <c r="E15" s="201">
        <f>'0815'!H15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s="354">
        <f>IF(C15&lt;&gt;"offline",VLOOKUP($A15,'FuturesInfo (3)'!$A$2:$V$80,22),0)</f>
        <v>3</v>
      </c>
      <c r="W15" s="354">
        <v>1</v>
      </c>
      <c r="X15" s="354">
        <f>VLOOKUP($A15,'FuturesInfo (3)'!$A$2:$O$80,15)*V15</f>
        <v>229230</v>
      </c>
      <c r="Y15" s="354">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61" ht="15.75" thickBot="1" x14ac:dyDescent="0.3">
      <c r="A16" s="1" t="s">
        <v>292</v>
      </c>
      <c r="B16" s="149" t="s">
        <v>292</v>
      </c>
      <c r="C16" s="192" t="s">
        <v>294</v>
      </c>
      <c r="E16" s="201">
        <f>'0815'!H16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s="354">
        <f>IF(C16&lt;&gt;"offline",VLOOKUP($A16,'FuturesInfo (3)'!$A$2:$V$80,22),0)</f>
        <v>2</v>
      </c>
      <c r="W16" s="354">
        <v>1</v>
      </c>
      <c r="X16" s="354">
        <f>VLOOKUP($A16,'FuturesInfo (3)'!$A$2:$O$80,15)*V16</f>
        <v>202626.6</v>
      </c>
      <c r="Y16" s="354">
        <f>VLOOKUP(A16,'FuturesInfo (3)'!$A$2:$AI$80,35)*V16</f>
        <v>21702.815999999999</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'0815'!H17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s="354">
        <f>IF(C17&lt;&gt;"offline",VLOOKUP($A17,'FuturesInfo (3)'!$A$2:$V$80,22),0)</f>
        <v>5</v>
      </c>
      <c r="W17" s="354">
        <v>1</v>
      </c>
      <c r="X17" s="354">
        <f>VLOOKUP($A17,'FuturesInfo (3)'!$A$2:$O$80,15)*V17</f>
        <v>97350</v>
      </c>
      <c r="Y17" s="354">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'0815'!H18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s="354">
        <f>IF(C18&lt;&gt;"offline",VLOOKUP($A18,'FuturesInfo (3)'!$A$2:$V$80,22),0)</f>
        <v>3</v>
      </c>
      <c r="W18" s="354">
        <v>1</v>
      </c>
      <c r="X18" s="354">
        <f>VLOOKUP($A18,'FuturesInfo (3)'!$A$2:$O$80,15)*V18</f>
        <v>242325</v>
      </c>
      <c r="Y18" s="354">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'0815'!H19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s="354">
        <f>IF(C19&lt;&gt;"offline",VLOOKUP($A19,'FuturesInfo (3)'!$A$2:$V$80,22),0)</f>
        <v>6</v>
      </c>
      <c r="W19" s="354">
        <v>1</v>
      </c>
      <c r="X19" s="354">
        <f>VLOOKUP($A19,'FuturesInfo (3)'!$A$2:$O$80,15)*V19</f>
        <v>99900</v>
      </c>
      <c r="Y19" s="354">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'0815'!H20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s="354">
        <f>IF(C20&lt;&gt;"offline",VLOOKUP($A20,'FuturesInfo (3)'!$A$2:$V$80,22),0)</f>
        <v>4</v>
      </c>
      <c r="W20" s="354">
        <v>1</v>
      </c>
      <c r="X20" s="354">
        <f>VLOOKUP($A20,'FuturesInfo (3)'!$A$2:$O$80,15)*V20</f>
        <v>119240</v>
      </c>
      <c r="Y20" s="354">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'0815'!H21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s="354">
        <f>IF(C21&lt;&gt;"offline",VLOOKUP($A21,'FuturesInfo (3)'!$A$2:$V$80,22),0)</f>
        <v>4</v>
      </c>
      <c r="W21" s="354">
        <v>1</v>
      </c>
      <c r="X21" s="354">
        <f>VLOOKUP($A21,'FuturesInfo (3)'!$A$2:$O$80,15)*V21</f>
        <v>308860</v>
      </c>
      <c r="Y21" s="354">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28" t="s">
        <v>307</v>
      </c>
      <c r="B22" s="329" t="s">
        <v>484</v>
      </c>
      <c r="C22" s="330" t="s">
        <v>1285</v>
      </c>
      <c r="E22" s="201">
        <f>'0815'!H22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s="354">
        <f>IF(C22&lt;&gt;"offline",VLOOKUP($A22,'FuturesInfo (3)'!$A$2:$V$80,22),0)</f>
        <v>0</v>
      </c>
      <c r="W22" s="354">
        <v>1</v>
      </c>
      <c r="X22" s="354">
        <f>VLOOKUP($A22,'FuturesInfo (3)'!$A$2:$O$80,15)*V22</f>
        <v>0</v>
      </c>
      <c r="Y22" s="354">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'0815'!H23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s="354">
        <f>IF(C23&lt;&gt;"offline",VLOOKUP($A23,'FuturesInfo (3)'!$A$2:$V$80,22),0)</f>
        <v>2</v>
      </c>
      <c r="W23" s="354">
        <v>1</v>
      </c>
      <c r="X23" s="354">
        <f>VLOOKUP($A23,'FuturesInfo (3)'!$A$2:$O$80,15)*V23</f>
        <v>90360</v>
      </c>
      <c r="Y23" s="354">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'0815'!H24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s="354">
        <f>IF(C24&lt;&gt;"offline",VLOOKUP($A24,'FuturesInfo (3)'!$A$2:$V$80,22),0)</f>
        <v>3</v>
      </c>
      <c r="W24" s="354">
        <v>1</v>
      </c>
      <c r="X24" s="354">
        <f>VLOOKUP($A24,'FuturesInfo (3)'!$A$2:$O$80,15)*V24</f>
        <v>105975</v>
      </c>
      <c r="Y24" s="354">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'0815'!H25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s="354">
        <f>IF(C25&lt;&gt;"offline",VLOOKUP($A25,'FuturesInfo (3)'!$A$2:$V$80,22),0)</f>
        <v>3</v>
      </c>
      <c r="W25" s="354">
        <v>1</v>
      </c>
      <c r="X25" s="354">
        <f>VLOOKUP($A25,'FuturesInfo (3)'!$A$2:$O$80,15)*V25</f>
        <v>419156.25</v>
      </c>
      <c r="Y25" s="354">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'0815'!H26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s="354">
        <f>IF(C26&lt;&gt;"offline",VLOOKUP($A26,'FuturesInfo (3)'!$A$2:$V$80,22),0)</f>
        <v>4</v>
      </c>
      <c r="W26" s="354">
        <v>1</v>
      </c>
      <c r="X26" s="354">
        <f>VLOOKUP($A26,'FuturesInfo (3)'!$A$2:$O$80,15)*V26</f>
        <v>382728</v>
      </c>
      <c r="Y26" s="354">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'0815'!H27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s="354">
        <f>IF(C27&lt;&gt;"offline",VLOOKUP($A27,'FuturesInfo (3)'!$A$2:$V$80,22),0)</f>
        <v>3</v>
      </c>
      <c r="W27" s="354">
        <v>1</v>
      </c>
      <c r="X27" s="354">
        <f>VLOOKUP($A27,'FuturesInfo (3)'!$A$2:$O$80,15)*V27</f>
        <v>561928.77600000007</v>
      </c>
      <c r="Y27" s="354">
        <f>VLOOKUP(A27,'FuturesInfo (3)'!$A$2:$AI$80,35)*V27</f>
        <v>12978.150000000001</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'0815'!H28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s="354">
        <f>IF(C28&lt;&gt;"offline",VLOOKUP($A28,'FuturesInfo (3)'!$A$2:$V$80,22),0)</f>
        <v>9</v>
      </c>
      <c r="W28" s="354">
        <v>1</v>
      </c>
      <c r="X28" s="354">
        <f>VLOOKUP($A28,'FuturesInfo (3)'!$A$2:$O$80,15)*V28</f>
        <v>1343565.0719999999</v>
      </c>
      <c r="Y28" s="354">
        <f>VLOOKUP(A28,'FuturesInfo (3)'!$A$2:$AI$80,35)*V28</f>
        <v>13313.07</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28" t="s">
        <v>320</v>
      </c>
      <c r="B29" s="329" t="s">
        <v>564</v>
      </c>
      <c r="C29" s="330" t="s">
        <v>1285</v>
      </c>
      <c r="E29" s="201">
        <f>'0815'!H29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s="354">
        <f>IF(C29&lt;&gt;"offline",VLOOKUP($A29,'FuturesInfo (3)'!$A$2:$V$80,22),0)</f>
        <v>0</v>
      </c>
      <c r="W29" s="354">
        <v>1</v>
      </c>
      <c r="X29" s="354">
        <f>VLOOKUP($A29,'FuturesInfo (3)'!$A$2:$O$80,15)*V29</f>
        <v>0</v>
      </c>
      <c r="Y29" s="354">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28" t="s">
        <v>323</v>
      </c>
      <c r="B30" s="329" t="s">
        <v>581</v>
      </c>
      <c r="C30" s="330" t="s">
        <v>1285</v>
      </c>
      <c r="E30" s="201">
        <f>'0815'!H30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s="354">
        <f>IF(C30&lt;&gt;"offline",VLOOKUP($A30,'FuturesInfo (3)'!$A$2:$V$80,22),0)</f>
        <v>0</v>
      </c>
      <c r="W30" s="354">
        <v>1</v>
      </c>
      <c r="X30" s="354">
        <f>VLOOKUP($A30,'FuturesInfo (3)'!$A$2:$O$80,15)*V30</f>
        <v>0</v>
      </c>
      <c r="Y30" s="354">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'0815'!H31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s="354">
        <f>IF(C31&lt;&gt;"offline",VLOOKUP($A31,'FuturesInfo (3)'!$A$2:$V$80,22),0)</f>
        <v>2</v>
      </c>
      <c r="W31" s="354">
        <v>1</v>
      </c>
      <c r="X31" s="354">
        <f>VLOOKUP($A31,'FuturesInfo (3)'!$A$2:$O$80,15)*V31</f>
        <v>311120</v>
      </c>
      <c r="Y31" s="354">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'0815'!H32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s="354">
        <f>IF(C32&lt;&gt;"offline",VLOOKUP($A32,'FuturesInfo (3)'!$A$2:$V$80,22),0)</f>
        <v>3</v>
      </c>
      <c r="W32" s="354">
        <v>1</v>
      </c>
      <c r="X32" s="354">
        <f>VLOOKUP($A32,'FuturesInfo (3)'!$A$2:$O$80,15)*V32</f>
        <v>327037.5</v>
      </c>
      <c r="Y32" s="354">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'0815'!H33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s="354">
        <f>IF(C33&lt;&gt;"offline",VLOOKUP($A33,'FuturesInfo (3)'!$A$2:$V$80,22),0)</f>
        <v>2</v>
      </c>
      <c r="W33" s="354">
        <v>1</v>
      </c>
      <c r="X33" s="354">
        <f>VLOOKUP($A33,'FuturesInfo (3)'!$A$2:$O$80,15)*V33</f>
        <v>144250</v>
      </c>
      <c r="Y33" s="354">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'0815'!H34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s="354">
        <f>IF(C34&lt;&gt;"offline",VLOOKUP($A34,'FuturesInfo (3)'!$A$2:$V$80,22),0)</f>
        <v>4</v>
      </c>
      <c r="W34" s="354">
        <v>1</v>
      </c>
      <c r="X34" s="354">
        <f>VLOOKUP($A34,'FuturesInfo (3)'!$A$2:$O$80,15)*V34</f>
        <v>200974.32800000001</v>
      </c>
      <c r="Y34" s="354">
        <f>VLOOKUP(A34,'FuturesInfo (3)'!$A$2:$AI$80,35)*V34</f>
        <v>2447.1487999999999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'0815'!H35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s="354">
        <f>IF(C35&lt;&gt;"offline",VLOOKUP($A35,'FuturesInfo (3)'!$A$2:$V$80,22),0)</f>
        <v>3</v>
      </c>
      <c r="W35" s="354">
        <v>1</v>
      </c>
      <c r="X35" s="354">
        <f>VLOOKUP($A35,'FuturesInfo (3)'!$A$2:$O$80,15)*V35</f>
        <v>179466.88200000001</v>
      </c>
      <c r="Y35" s="354">
        <f>VLOOKUP(A35,'FuturesInfo (3)'!$A$2:$AI$80,35)*V35</f>
        <v>17415.84</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28" t="s">
        <v>335</v>
      </c>
      <c r="B36" s="329" t="s">
        <v>568</v>
      </c>
      <c r="C36" s="330" t="s">
        <v>1285</v>
      </c>
      <c r="E36" s="201">
        <f>'0815'!H36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s="354">
        <f>IF(C36&lt;&gt;"offline",VLOOKUP($A36,'FuturesInfo (3)'!$A$2:$V$80,22),0)</f>
        <v>0</v>
      </c>
      <c r="W36" s="354">
        <v>1</v>
      </c>
      <c r="X36" s="354">
        <f>VLOOKUP($A36,'FuturesInfo (3)'!$A$2:$O$80,15)*V36</f>
        <v>0</v>
      </c>
      <c r="Y36" s="354">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'0815'!H37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s="354">
        <f>IF(C37&lt;&gt;"offline",VLOOKUP($A37,'FuturesInfo (3)'!$A$2:$V$80,22),0)</f>
        <v>3</v>
      </c>
      <c r="W37" s="354">
        <v>1</v>
      </c>
      <c r="X37" s="354">
        <f>VLOOKUP($A37,'FuturesInfo (3)'!$A$2:$O$80,15)*V37</f>
        <v>267557.98800000001</v>
      </c>
      <c r="Y37" s="354">
        <f>VLOOKUP(A37,'FuturesInfo (3)'!$A$2:$AI$80,35)*V37</f>
        <v>16499.054400000001</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'0815'!H38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s="354">
        <f>IF(C38&lt;&gt;"offline",VLOOKUP($A38,'FuturesInfo (3)'!$A$2:$V$80,22),0)</f>
        <v>3</v>
      </c>
      <c r="W38" s="354">
        <v>1</v>
      </c>
      <c r="X38" s="354">
        <f>VLOOKUP($A38,'FuturesInfo (3)'!$A$2:$O$80,15)*V38</f>
        <v>514095.35999999999</v>
      </c>
      <c r="Y38" s="354">
        <f>VLOOKUP(A38,'FuturesInfo (3)'!$A$2:$AI$80,35)*V38</f>
        <v>15240.9144</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28" t="s">
        <v>341</v>
      </c>
      <c r="B39" s="329" t="s">
        <v>453</v>
      </c>
      <c r="C39" s="330" t="s">
        <v>1285</v>
      </c>
      <c r="E39" s="201">
        <f>'0815'!H39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s="354">
        <f>IF(C39&lt;&gt;"offline",VLOOKUP($A39,'FuturesInfo (3)'!$A$2:$V$80,22),0)</f>
        <v>0</v>
      </c>
      <c r="W39" s="354">
        <v>1</v>
      </c>
      <c r="X39" s="354">
        <f>VLOOKUP($A39,'FuturesInfo (3)'!$A$2:$O$80,15)*V39</f>
        <v>0</v>
      </c>
      <c r="Y39" s="354">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'0815'!H40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s="354">
        <f>IF(C40&lt;&gt;"offline",VLOOKUP($A40,'FuturesInfo (3)'!$A$2:$V$80,22),0)</f>
        <v>7</v>
      </c>
      <c r="W40" s="354">
        <v>1</v>
      </c>
      <c r="X40" s="354">
        <f>VLOOKUP($A40,'FuturesInfo (3)'!$A$2:$O$80,15)*V40</f>
        <v>851867.1875</v>
      </c>
      <c r="Y40" s="354">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'0815'!H41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s="354">
        <f>IF(C41&lt;&gt;"offline",VLOOKUP($A41,'FuturesInfo (3)'!$A$2:$V$80,22),0)</f>
        <v>2</v>
      </c>
      <c r="W41" s="354">
        <v>1</v>
      </c>
      <c r="X41" s="354">
        <f>VLOOKUP($A41,'FuturesInfo (3)'!$A$2:$O$80,15)*V41</f>
        <v>268640</v>
      </c>
      <c r="Y41" s="354">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'0815'!H42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s="354">
        <f>IF(C42&lt;&gt;"offline",VLOOKUP($A42,'FuturesInfo (3)'!$A$2:$V$80,22),0)</f>
        <v>3</v>
      </c>
      <c r="W42" s="354">
        <v>1</v>
      </c>
      <c r="X42" s="354">
        <f>VLOOKUP($A42,'FuturesInfo (3)'!$A$2:$O$80,15)*V42</f>
        <v>184523.19587628866</v>
      </c>
      <c r="Y42" s="354">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'0815'!H43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s="354">
        <f>IF(C43&lt;&gt;"offline",VLOOKUP($A43,'FuturesInfo (3)'!$A$2:$V$80,22),0)</f>
        <v>2</v>
      </c>
      <c r="W43" s="354">
        <v>1</v>
      </c>
      <c r="X43" s="354">
        <f>VLOOKUP($A43,'FuturesInfo (3)'!$A$2:$O$80,15)*V43</f>
        <v>107575</v>
      </c>
      <c r="Y43" s="354">
        <f>VLOOKUP(A43,'FuturesInfo (3)'!$A$2:$AI$80,35)*V43</f>
        <v>5750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'0815'!H44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s="354">
        <f>IF(C44&lt;&gt;"offline",VLOOKUP($A44,'FuturesInfo (3)'!$A$2:$V$80,22),0)</f>
        <v>2</v>
      </c>
      <c r="W44" s="354">
        <v>1</v>
      </c>
      <c r="X44" s="354">
        <f>VLOOKUP($A44,'FuturesInfo (3)'!$A$2:$O$80,15)*V44</f>
        <v>293260.3092783505</v>
      </c>
      <c r="Y44" s="354">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'0815'!H45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s="354">
        <f>IF(C45&lt;&gt;"offline",VLOOKUP($A45,'FuturesInfo (3)'!$A$2:$V$80,22),0)</f>
        <v>2</v>
      </c>
      <c r="W45" s="354">
        <v>1</v>
      </c>
      <c r="X45" s="354">
        <f>VLOOKUP($A45,'FuturesInfo (3)'!$A$2:$O$80,15)*V45</f>
        <v>118322.40000000001</v>
      </c>
      <c r="Y45" s="354">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'0815'!H46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s="354">
        <f>IF(C46&lt;&gt;"offline",VLOOKUP($A46,'FuturesInfo (3)'!$A$2:$V$80,22),0)</f>
        <v>2</v>
      </c>
      <c r="W46" s="354">
        <v>1</v>
      </c>
      <c r="X46" s="354">
        <f>VLOOKUP($A46,'FuturesInfo (3)'!$A$2:$O$80,15)*V46</f>
        <v>247225</v>
      </c>
      <c r="Y46" s="354">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'0815'!H47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s="354">
        <f>IF(C47&lt;&gt;"offline",VLOOKUP($A47,'FuturesInfo (3)'!$A$2:$V$80,22),0)</f>
        <v>2</v>
      </c>
      <c r="W47" s="354">
        <v>1</v>
      </c>
      <c r="X47" s="354">
        <f>VLOOKUP($A47,'FuturesInfo (3)'!$A$2:$O$80,15)*V47</f>
        <v>105262.5</v>
      </c>
      <c r="Y47" s="354">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'0815'!H48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s="354">
        <f>IF(C48&lt;&gt;"offline",VLOOKUP($A48,'FuturesInfo (3)'!$A$2:$V$80,22),0)</f>
        <v>4</v>
      </c>
      <c r="W48" s="354">
        <v>1</v>
      </c>
      <c r="X48" s="354">
        <f>VLOOKUP($A48,'FuturesInfo (3)'!$A$2:$O$80,15)*V48</f>
        <v>83250</v>
      </c>
      <c r="Y48" s="354">
        <f>VLOOKUP(A48,'FuturesInfo (3)'!$A$2:$AI$80,35)*V48</f>
        <v>7000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328" t="s">
        <v>359</v>
      </c>
      <c r="B49" s="329" t="s">
        <v>708</v>
      </c>
      <c r="C49" s="330" t="s">
        <v>1285</v>
      </c>
      <c r="E49" s="201">
        <f>'0815'!H49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s="354">
        <f>IF(C49&lt;&gt;"offline",VLOOKUP($A49,'FuturesInfo (3)'!$A$2:$V$80,22),0)</f>
        <v>0</v>
      </c>
      <c r="W49" s="354">
        <v>1</v>
      </c>
      <c r="X49" s="354">
        <f>VLOOKUP($A49,'FuturesInfo (3)'!$A$2:$O$80,15)*V49</f>
        <v>0</v>
      </c>
      <c r="Y49" s="354">
        <f>VLOOKUP(A49,'FuturesInfo (3)'!$A$2:$AI$80,35)*V49</f>
        <v>0</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'0815'!H50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s="354">
        <f>IF(C50&lt;&gt;"offline",VLOOKUP($A50,'FuturesInfo (3)'!$A$2:$V$80,22),0)</f>
        <v>3</v>
      </c>
      <c r="W50" s="354">
        <v>1</v>
      </c>
      <c r="X50" s="354">
        <f>VLOOKUP($A50,'FuturesInfo (3)'!$A$2:$O$80,15)*V50</f>
        <v>137430</v>
      </c>
      <c r="Y50" s="354">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'0815'!H51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s="354">
        <f>IF(C51&lt;&gt;"offline",VLOOKUP($A51,'FuturesInfo (3)'!$A$2:$V$80,22),0)</f>
        <v>2</v>
      </c>
      <c r="W51" s="354">
        <v>1</v>
      </c>
      <c r="X51" s="354">
        <f>VLOOKUP($A51,'FuturesInfo (3)'!$A$2:$O$80,15)*V51</f>
        <v>95420</v>
      </c>
      <c r="Y51" s="354">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'0815'!H52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s="354">
        <f>IF(C52&lt;&gt;"offline",VLOOKUP($A52,'FuturesInfo (3)'!$A$2:$V$80,22),0)</f>
        <v>2</v>
      </c>
      <c r="W52" s="354">
        <v>1</v>
      </c>
      <c r="X52" s="354">
        <f>VLOOKUP($A52,'FuturesInfo (3)'!$A$2:$O$80,15)*V52</f>
        <v>81900</v>
      </c>
      <c r="Y52" s="354">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'0815'!H53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s="354">
        <f>IF(C53&lt;&gt;"offline",VLOOKUP($A53,'FuturesInfo (3)'!$A$2:$V$80,22),0)</f>
        <v>3</v>
      </c>
      <c r="W53" s="354">
        <v>1</v>
      </c>
      <c r="X53" s="354">
        <f>VLOOKUP($A53,'FuturesInfo (3)'!$A$2:$O$80,15)*V53</f>
        <v>72000</v>
      </c>
      <c r="Y53" s="354">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'0815'!H54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s="354">
        <f>IF(C54&lt;&gt;"offline",VLOOKUP($A54,'FuturesInfo (3)'!$A$2:$V$80,22),0)</f>
        <v>10</v>
      </c>
      <c r="W54" s="354">
        <v>1</v>
      </c>
      <c r="X54" s="354">
        <f>VLOOKUP($A54,'FuturesInfo (3)'!$A$2:$O$80,15)*V54</f>
        <v>180300</v>
      </c>
      <c r="Y54" s="354">
        <f>VLOOKUP(A54,'FuturesInfo (3)'!$A$2:$AI$80,35)*V54</f>
        <v>19550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'0815'!H55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s="354">
        <f>IF(C55&lt;&gt;"offline",VLOOKUP($A55,'FuturesInfo (3)'!$A$2:$V$80,22),0)</f>
        <v>4</v>
      </c>
      <c r="W55" s="354">
        <v>1</v>
      </c>
      <c r="X55" s="354">
        <f>VLOOKUP($A55,'FuturesInfo (3)'!$A$2:$O$80,15)*V55</f>
        <v>106820</v>
      </c>
      <c r="Y55" s="354">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'0815'!H56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s="354">
        <f>IF(C56&lt;&gt;"offline",VLOOKUP($A56,'FuturesInfo (3)'!$A$2:$V$80,22),0)</f>
        <v>4</v>
      </c>
      <c r="W56" s="354">
        <v>1</v>
      </c>
      <c r="X56" s="354">
        <f>VLOOKUP($A56,'FuturesInfo (3)'!$A$2:$O$80,15)*V56</f>
        <v>182420</v>
      </c>
      <c r="Y56" s="354">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'0815'!H57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s="354">
        <f>IF(C57&lt;&gt;"offline",VLOOKUP($A57,'FuturesInfo (3)'!$A$2:$V$80,22),0)</f>
        <v>2</v>
      </c>
      <c r="W57" s="354">
        <v>1</v>
      </c>
      <c r="X57" s="354">
        <f>VLOOKUP($A57,'FuturesInfo (3)'!$A$2:$O$80,15)*V57</f>
        <v>194588.52</v>
      </c>
      <c r="Y57" s="354">
        <f>VLOOKUP(A57,'FuturesInfo (3)'!$A$2:$AI$80,35)*V57</f>
        <v>25119</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'0815'!H58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s="354">
        <f>IF(C58&lt;&gt;"offline",VLOOKUP($A58,'FuturesInfo (3)'!$A$2:$V$80,22),0)</f>
        <v>8</v>
      </c>
      <c r="W58" s="354">
        <v>1</v>
      </c>
      <c r="X58" s="354">
        <f>VLOOKUP($A58,'FuturesInfo (3)'!$A$2:$O$80,15)*V58</f>
        <v>218480</v>
      </c>
      <c r="Y58" s="354">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'0815'!H59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s="354">
        <f>IF(C59&lt;&gt;"offline",VLOOKUP($A59,'FuturesInfo (3)'!$A$2:$V$80,22),0)</f>
        <v>5</v>
      </c>
      <c r="W59" s="354">
        <v>1</v>
      </c>
      <c r="X59" s="354">
        <f>VLOOKUP($A59,'FuturesInfo (3)'!$A$2:$O$80,15)*V59</f>
        <v>128437.5</v>
      </c>
      <c r="Y59" s="354">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'0815'!H60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s="354">
        <f>IF(C60&lt;&gt;"offline",VLOOKUP($A60,'FuturesInfo (3)'!$A$2:$V$80,22),0)</f>
        <v>3</v>
      </c>
      <c r="W60" s="354">
        <v>1</v>
      </c>
      <c r="X60" s="354">
        <f>VLOOKUP($A60,'FuturesInfo (3)'!$A$2:$O$80,15)*V60</f>
        <v>215550</v>
      </c>
      <c r="Y60" s="354">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'0815'!H61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s="354">
        <f>IF(C61&lt;&gt;"offline",VLOOKUP($A61,'FuturesInfo (3)'!$A$2:$V$80,22),0)</f>
        <v>3</v>
      </c>
      <c r="W61" s="354">
        <v>1</v>
      </c>
      <c r="X61" s="354">
        <f>VLOOKUP($A61,'FuturesInfo (3)'!$A$2:$O$80,15)*V61</f>
        <v>78780</v>
      </c>
      <c r="Y61" s="354">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'0815'!H62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s="354">
        <f>IF(C62&lt;&gt;"offline",VLOOKUP($A62,'FuturesInfo (3)'!$A$2:$V$80,22),0)</f>
        <v>2</v>
      </c>
      <c r="W62" s="354">
        <v>1</v>
      </c>
      <c r="X62" s="354">
        <f>VLOOKUP($A62,'FuturesInfo (3)'!$A$2:$O$80,15)*V62</f>
        <v>166057.49283809148</v>
      </c>
      <c r="Y62" s="354">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'0815'!H63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s="354">
        <f>IF(C63&lt;&gt;"offline",VLOOKUP($A63,'FuturesInfo (3)'!$A$2:$V$80,22),0)</f>
        <v>3</v>
      </c>
      <c r="W63" s="354">
        <v>1</v>
      </c>
      <c r="X63" s="354">
        <f>VLOOKUP($A63,'FuturesInfo (3)'!$A$2:$O$80,15)*V63</f>
        <v>288255</v>
      </c>
      <c r="Y63" s="354">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'0815'!H64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s="354">
        <f>IF(C64&lt;&gt;"offline",VLOOKUP($A64,'FuturesInfo (3)'!$A$2:$V$80,22),0)</f>
        <v>9</v>
      </c>
      <c r="W64" s="354">
        <v>1</v>
      </c>
      <c r="X64" s="354">
        <f>VLOOKUP($A64,'FuturesInfo (3)'!$A$2:$O$80,15)*V64</f>
        <v>81562.5</v>
      </c>
      <c r="Y64" s="354">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'0815'!H65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s="354">
        <f>IF(C65&lt;&gt;"offline",VLOOKUP($A65,'FuturesInfo (3)'!$A$2:$V$80,22),0)</f>
        <v>2</v>
      </c>
      <c r="W65" s="354">
        <v>1</v>
      </c>
      <c r="X65" s="354">
        <f>VLOOKUP($A65,'FuturesInfo (3)'!$A$2:$O$80,15)*V65</f>
        <v>54285</v>
      </c>
      <c r="Y65" s="354">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'0815'!H66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s="354">
        <f>IF(C66&lt;&gt;"offline",VLOOKUP($A66,'FuturesInfo (3)'!$A$2:$V$80,22),0)</f>
        <v>2</v>
      </c>
      <c r="W66" s="354">
        <v>1</v>
      </c>
      <c r="X66" s="354">
        <f>VLOOKUP($A66,'FuturesInfo (3)'!$A$2:$O$80,15)*V66</f>
        <v>138160</v>
      </c>
      <c r="Y66" s="354">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'0815'!H67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s="354">
        <f>IF(C67&lt;&gt;"offline",VLOOKUP($A67,'FuturesInfo (3)'!$A$2:$V$80,22),0)</f>
        <v>2</v>
      </c>
      <c r="W67" s="354">
        <v>1</v>
      </c>
      <c r="X67" s="354">
        <f>VLOOKUP($A67,'FuturesInfo (3)'!$A$2:$O$80,15)*V67</f>
        <v>112930</v>
      </c>
      <c r="Y67" s="354">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'0815'!H68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s="354">
        <f>IF(C68&lt;&gt;"offline",VLOOKUP($A68,'FuturesInfo (3)'!$A$2:$V$80,22),0)</f>
        <v>2</v>
      </c>
      <c r="W68" s="354">
        <v>1</v>
      </c>
      <c r="X68" s="354">
        <f>VLOOKUP($A68,'FuturesInfo (3)'!$A$2:$O$80,15)*V68</f>
        <v>115155.6</v>
      </c>
      <c r="Y68" s="354">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'0815'!H69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s="354">
        <f>IF(C69&lt;&gt;"offline",VLOOKUP($A69,'FuturesInfo (3)'!$A$2:$V$80,22),0)</f>
        <v>5</v>
      </c>
      <c r="W69" s="354">
        <v>1</v>
      </c>
      <c r="X69" s="354">
        <f>VLOOKUP($A69,'FuturesInfo (3)'!$A$2:$O$80,15)*V69</f>
        <v>96550</v>
      </c>
      <c r="Y69" s="354">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'0815'!H70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s="354">
        <f>IF(C70&lt;&gt;"offline",VLOOKUP($A70,'FuturesInfo (3)'!$A$2:$V$80,22),0)</f>
        <v>17</v>
      </c>
      <c r="W70" s="354">
        <v>1</v>
      </c>
      <c r="X70" s="354">
        <f>VLOOKUP($A70,'FuturesInfo (3)'!$A$2:$O$80,15)*V70</f>
        <v>121036.95702492092</v>
      </c>
      <c r="Y70" s="354">
        <f>VLOOKUP(A70,'FuturesInfo (3)'!$A$2:$AI$80,35)*V70</f>
        <v>4603.8114343029083</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'0815'!H71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s="354">
        <f>IF(C71&lt;&gt;"offline",VLOOKUP($A71,'FuturesInfo (3)'!$A$2:$V$80,22),0)</f>
        <v>2</v>
      </c>
      <c r="W71" s="354">
        <v>1</v>
      </c>
      <c r="X71" s="354">
        <f>VLOOKUP($A71,'FuturesInfo (3)'!$A$2:$O$80,15)*V71</f>
        <v>98175</v>
      </c>
      <c r="Y71" s="354">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'0815'!H72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s="354">
        <f>IF(C72&lt;&gt;"offline",VLOOKUP($A72,'FuturesInfo (3)'!$A$2:$V$80,22),0)</f>
        <v>4</v>
      </c>
      <c r="W72" s="354">
        <v>1</v>
      </c>
      <c r="X72" s="354">
        <f>VLOOKUP($A72,'FuturesInfo (3)'!$A$2:$O$80,15)*V72</f>
        <v>88300.800000000003</v>
      </c>
      <c r="Y72" s="354">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'0815'!H73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s="354">
        <f>IF(C73&lt;&gt;"offline",VLOOKUP($A73,'FuturesInfo (3)'!$A$2:$V$80,22),0)</f>
        <v>3</v>
      </c>
      <c r="W73" s="354">
        <v>1</v>
      </c>
      <c r="X73" s="354">
        <f>VLOOKUP($A73,'FuturesInfo (3)'!$A$2:$O$80,15)*V73</f>
        <v>385275.00000000006</v>
      </c>
      <c r="Y73" s="354">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'0815'!H74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s="354">
        <f>IF(C74&lt;&gt;"offline",VLOOKUP($A74,'FuturesInfo (3)'!$A$2:$V$80,22),0)</f>
        <v>1</v>
      </c>
      <c r="W74" s="354">
        <v>1</v>
      </c>
      <c r="X74" s="354">
        <f>VLOOKUP($A74,'FuturesInfo (3)'!$A$2:$O$80,15)*V74</f>
        <v>98515</v>
      </c>
      <c r="Y74" s="354">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'0815'!H75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s="354">
        <f>IF(C75&lt;&gt;"offline",VLOOKUP($A75,'FuturesInfo (3)'!$A$2:$V$80,22),0)</f>
        <v>12</v>
      </c>
      <c r="W75" s="354">
        <v>1</v>
      </c>
      <c r="X75" s="354">
        <f>VLOOKUP($A75,'FuturesInfo (3)'!$A$2:$O$80,15)*V75</f>
        <v>208188</v>
      </c>
      <c r="Y75" s="354">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'0815'!H76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s="354">
        <f>IF(C76&lt;&gt;"offline",VLOOKUP($A76,'FuturesInfo (3)'!$A$2:$V$80,22),0)</f>
        <v>5</v>
      </c>
      <c r="W76" s="354">
        <v>1</v>
      </c>
      <c r="X76" s="354">
        <f>VLOOKUP($A76,'FuturesInfo (3)'!$A$2:$O$80,15)*V76</f>
        <v>748740.49194902694</v>
      </c>
      <c r="Y76" s="354">
        <f>VLOOKUP(A76,'FuturesInfo (3)'!$A$2:$AI$80,35)*V76</f>
        <v>2469.6236293588854</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'0815'!H77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s="354">
        <f>IF(C77&lt;&gt;"offline",VLOOKUP($A77,'FuturesInfo (3)'!$A$2:$V$80,22),0)</f>
        <v>3</v>
      </c>
      <c r="W77" s="354">
        <v>1</v>
      </c>
      <c r="X77" s="354">
        <f>VLOOKUP($A77,'FuturesInfo (3)'!$A$2:$O$80,15)*V77</f>
        <v>98340</v>
      </c>
      <c r="Y77" s="354">
        <f>VLOOKUP(A77,'FuturesInfo (3)'!$A$2:$AI$80,35)*V77</f>
        <v>18000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'0815'!H78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s="354">
        <f>IF(C78&lt;&gt;"offline",VLOOKUP($A78,'FuturesInfo (3)'!$A$2:$V$80,22),0)</f>
        <v>3</v>
      </c>
      <c r="W78" s="354">
        <v>1</v>
      </c>
      <c r="X78" s="354">
        <f>VLOOKUP($A78,'FuturesInfo (3)'!$A$2:$O$80,15)*V78</f>
        <v>254904.57623640465</v>
      </c>
      <c r="Y78" s="354">
        <f>VLOOKUP(A78,'FuturesInfo (3)'!$A$2:$AI$80,35)*V78</f>
        <v>26352.349681920787</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'0815'!H79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s="354">
        <f>IF(C79&lt;&gt;"offline",VLOOKUP($A79,'FuturesInfo (3)'!$A$2:$V$80,22),0)</f>
        <v>4</v>
      </c>
      <c r="W79" s="354">
        <v>1</v>
      </c>
      <c r="X79" s="354">
        <f>VLOOKUP($A79,'FuturesInfo (3)'!$A$2:$O$80,15)*V79</f>
        <v>187641.7910447761</v>
      </c>
      <c r="Y79" s="354">
        <f>VLOOKUP(A79,'FuturesInfo (3)'!$A$2:$AI$80,35)*V79</f>
        <v>6193.9199999999992</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'0815'!H80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s="354">
        <f>IF(C80&lt;&gt;"offline",VLOOKUP($A80,'FuturesInfo (3)'!$A$2:$V$80,22),0)</f>
        <v>6</v>
      </c>
      <c r="W80" s="354">
        <v>1</v>
      </c>
      <c r="X80" s="354">
        <f>VLOOKUP($A80,'FuturesInfo (3)'!$A$2:$O$80,15)*V80</f>
        <v>204540</v>
      </c>
      <c r="Y80" s="354">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'0815'!H81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s="354">
        <f>IF(C81&lt;&gt;"offline",VLOOKUP($A81,'FuturesInfo (3)'!$A$2:$V$80,22),0)</f>
        <v>5</v>
      </c>
      <c r="W81" s="354">
        <v>1</v>
      </c>
      <c r="X81" s="354">
        <f>VLOOKUP($A81,'FuturesInfo (3)'!$A$2:$O$80,15)*V81</f>
        <v>170027.72</v>
      </c>
      <c r="Y81" s="354">
        <f>VLOOKUP(A81,'FuturesInfo (3)'!$A$2:$AI$80,35)*V81</f>
        <v>16187.8</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'0815'!H82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s="354">
        <f>IF(C82&lt;&gt;"offline",VLOOKUP($A82,'FuturesInfo (3)'!$A$2:$V$80,22),0)</f>
        <v>2</v>
      </c>
      <c r="W82" s="354">
        <v>1</v>
      </c>
      <c r="X82" s="354">
        <f>VLOOKUP($A82,'FuturesInfo (3)'!$A$2:$O$80,15)*V82</f>
        <v>245440</v>
      </c>
      <c r="Y82" s="354">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'0815'!H83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s="354">
        <f>IF(C83&lt;&gt;"offline",VLOOKUP($A83,'FuturesInfo (3)'!$A$2:$V$80,22),0)</f>
        <v>11</v>
      </c>
      <c r="W83" s="354">
        <v>1</v>
      </c>
      <c r="X83" s="354">
        <f>VLOOKUP($A83,'FuturesInfo (3)'!$A$2:$O$80,15)*V83</f>
        <v>2407109.375</v>
      </c>
      <c r="Y83" s="354">
        <f>VLOOKUP(A83,'FuturesInfo (3)'!$A$2:$AI$80,35)*V83</f>
        <v>7557</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'0815'!H84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s="354">
        <f>IF(C84&lt;&gt;"offline",VLOOKUP($A84,'FuturesInfo (3)'!$A$2:$V$80,22),0)</f>
        <v>4</v>
      </c>
      <c r="W84" s="354">
        <v>1</v>
      </c>
      <c r="X84" s="354">
        <f>VLOOKUP($A84,'FuturesInfo (3)'!$A$2:$O$80,15)*V84</f>
        <v>530125</v>
      </c>
      <c r="Y84" s="354">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'0815'!H85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s="354">
        <f>IF(C85&lt;&gt;"offline",VLOOKUP($A85,'FuturesInfo (3)'!$A$2:$V$80,22),0)</f>
        <v>2</v>
      </c>
      <c r="W85" s="354">
        <v>1</v>
      </c>
      <c r="X85" s="354">
        <f>VLOOKUP($A85,'FuturesInfo (3)'!$A$2:$O$80,15)*V85</f>
        <v>345937.5</v>
      </c>
      <c r="Y85" s="354">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'0815'!H86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s="354">
        <f>IF(C86&lt;&gt;"offline",VLOOKUP($A86,'FuturesInfo (3)'!$A$2:$V$80,22),0)</f>
        <v>3</v>
      </c>
      <c r="W86" s="354">
        <v>1</v>
      </c>
      <c r="X86" s="354">
        <f>VLOOKUP($A86,'FuturesInfo (3)'!$A$2:$O$80,15)*V86</f>
        <v>44925</v>
      </c>
      <c r="Y86" s="354">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'0815'!H87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s="354">
        <f>IF(C87&lt;&gt;"offline",VLOOKUP($A87,'FuturesInfo (3)'!$A$2:$V$80,22),0)</f>
        <v>4</v>
      </c>
      <c r="W87" s="354">
        <v>1</v>
      </c>
      <c r="X87" s="354">
        <f>VLOOKUP($A87,'FuturesInfo (3)'!$A$2:$O$80,15)*V87</f>
        <v>88000</v>
      </c>
      <c r="Y87" s="354">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'0815'!H88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s="354">
        <f>IF(C88&lt;&gt;"offline",VLOOKUP($A88,'FuturesInfo (3)'!$A$2:$V$80,22),0)</f>
        <v>3</v>
      </c>
      <c r="W88" s="354">
        <v>1</v>
      </c>
      <c r="X88" s="354">
        <f>VLOOKUP($A88,'FuturesInfo (3)'!$A$2:$O$80,15)*V88</f>
        <v>314701.875</v>
      </c>
      <c r="Y88" s="354">
        <f>VLOOKUP(A88,'FuturesInfo (3)'!$A$2:$AI$80,35)*V88</f>
        <v>19362.915000000001</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28" t="s">
        <v>1054</v>
      </c>
      <c r="B89" s="329" t="s">
        <v>463</v>
      </c>
      <c r="C89" s="330" t="s">
        <v>1285</v>
      </c>
      <c r="D89"/>
      <c r="E89" s="201">
        <f>'0815'!H89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s="354">
        <f>IF(C89&lt;&gt;"offline",VLOOKUP($A89,'FuturesInfo (3)'!$A$2:$V$80,22),0)</f>
        <v>0</v>
      </c>
      <c r="W89" s="354">
        <v>1</v>
      </c>
      <c r="X89" s="354">
        <f>VLOOKUP($A89,'FuturesInfo (3)'!$A$2:$O$80,15)*V89</f>
        <v>0</v>
      </c>
      <c r="Y89" s="354">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'0815'!H90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s="354">
        <f>IF(C90&lt;&gt;"offline",VLOOKUP($A90,'FuturesInfo (3)'!$A$2:$V$80,22),0)</f>
        <v>4</v>
      </c>
      <c r="W90" s="354">
        <v>1</v>
      </c>
      <c r="X90" s="354">
        <f>VLOOKUP($A90,'FuturesInfo (3)'!$A$2:$O$80,15)*V90</f>
        <v>370460</v>
      </c>
      <c r="Y90" s="354">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'0815'!H91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s="354">
        <f>IF(C91&lt;&gt;"offline",VLOOKUP($A91,'FuturesInfo (3)'!$A$2:$V$80,22),0)</f>
        <v>16</v>
      </c>
      <c r="W91" s="354">
        <v>1</v>
      </c>
      <c r="X91" s="354">
        <f>VLOOKUP($A91,'FuturesInfo (3)'!$A$2:$O$80,15)*V91</f>
        <v>3379561.92</v>
      </c>
      <c r="Y91" s="354">
        <f>VLOOKUP(A91,'FuturesInfo (3)'!$A$2:$AI$80,35)*V91</f>
        <v>12240</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'0815'!H92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s="354">
        <f>IF(C92&lt;&gt;"offline",VLOOKUP($A92,'FuturesInfo (3)'!$A$2:$V$80,22),0)</f>
        <v>5</v>
      </c>
      <c r="W92" s="354">
        <v>1</v>
      </c>
      <c r="X92" s="354">
        <f>VLOOKUP($A92,'FuturesInfo (3)'!$A$2:$O$80,15)*V92</f>
        <v>3001248</v>
      </c>
      <c r="Y92" s="354">
        <f>VLOOKUP(A92,'FuturesInfo (3)'!$A$2:$AI$80,35)*V92</f>
        <v>12431.25</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3">
      <colorScale>
        <cfvo type="min"/>
        <cfvo type="percentile" val="50"/>
        <cfvo type="max"/>
        <color rgb="FFF8696B"/>
        <color rgb="FFFFEB84"/>
        <color rgb="FF63BE7B"/>
      </colorScale>
    </cfRule>
  </conditionalFormatting>
  <conditionalFormatting sqref="S10:T10">
    <cfRule type="colorScale" priority="22">
      <colorScale>
        <cfvo type="min"/>
        <cfvo type="percentile" val="50"/>
        <cfvo type="max"/>
        <color rgb="FFF8696B"/>
        <color rgb="FFFFEB84"/>
        <color rgb="FF63BE7B"/>
      </colorScale>
    </cfRule>
  </conditionalFormatting>
  <conditionalFormatting sqref="W2:W10">
    <cfRule type="colorScale" priority="21">
      <colorScale>
        <cfvo type="min"/>
        <cfvo type="percentile" val="50"/>
        <cfvo type="max"/>
        <color rgb="FFF8696B"/>
        <color rgb="FFFFEB84"/>
        <color rgb="FF63BE7B"/>
      </colorScale>
    </cfRule>
  </conditionalFormatting>
  <conditionalFormatting sqref="AN14:AP92">
    <cfRule type="colorScale" priority="20">
      <colorScale>
        <cfvo type="min"/>
        <cfvo type="percentile" val="50"/>
        <cfvo type="max"/>
        <color rgb="FFF8696B"/>
        <color rgb="FFFFEB84"/>
        <color rgb="FF63BE7B"/>
      </colorScale>
    </cfRule>
  </conditionalFormatting>
  <conditionalFormatting sqref="Q14:Q92">
    <cfRule type="colorScale" priority="19">
      <colorScale>
        <cfvo type="min"/>
        <cfvo type="percentile" val="50"/>
        <cfvo type="max"/>
        <color rgb="FFF8696B"/>
        <color rgb="FFFFEB84"/>
        <color rgb="FF63BE7B"/>
      </colorScale>
    </cfRule>
  </conditionalFormatting>
  <conditionalFormatting sqref="AL14:AL92">
    <cfRule type="colorScale" priority="18">
      <colorScale>
        <cfvo type="min"/>
        <cfvo type="percentile" val="50"/>
        <cfvo type="max"/>
        <color rgb="FFF8696B"/>
        <color rgb="FFFFEB84"/>
        <color rgb="FF63BE7B"/>
      </colorScale>
    </cfRule>
  </conditionalFormatting>
  <conditionalFormatting sqref="S14:T92">
    <cfRule type="colorScale" priority="17">
      <colorScale>
        <cfvo type="min"/>
        <cfvo type="percentile" val="50"/>
        <cfvo type="max"/>
        <color rgb="FFF8696B"/>
        <color rgb="FFFFEB84"/>
        <color rgb="FF63BE7B"/>
      </colorScale>
    </cfRule>
  </conditionalFormatting>
  <conditionalFormatting sqref="P14:P92">
    <cfRule type="colorScale" priority="16">
      <colorScale>
        <cfvo type="min"/>
        <cfvo type="percentile" val="50"/>
        <cfvo type="max"/>
        <color rgb="FFF8696B"/>
        <color rgb="FFFFEB84"/>
        <color rgb="FF63BE7B"/>
      </colorScale>
    </cfRule>
  </conditionalFormatting>
  <conditionalFormatting sqref="AH14:AI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H82:H92 H14:H24 I14:I21">
    <cfRule type="colorScale" priority="12">
      <colorScale>
        <cfvo type="min"/>
        <cfvo type="percentile" val="50"/>
        <cfvo type="max"/>
        <color rgb="FFF8696B"/>
        <color rgb="FFFFEB84"/>
        <color rgb="FF63BE7B"/>
      </colorScale>
    </cfRule>
  </conditionalFormatting>
  <conditionalFormatting sqref="H25:H81">
    <cfRule type="colorScale" priority="13">
      <colorScale>
        <cfvo type="min"/>
        <cfvo type="percentile" val="50"/>
        <cfvo type="max"/>
        <color rgb="FFF8696B"/>
        <color rgb="FFFFEB84"/>
        <color rgb="FF63BE7B"/>
      </colorScale>
    </cfRule>
  </conditionalFormatting>
  <conditionalFormatting sqref="H14">
    <cfRule type="colorScale" priority="11">
      <colorScale>
        <cfvo type="min"/>
        <cfvo type="percentile" val="50"/>
        <cfvo type="max"/>
        <color rgb="FFF8696B"/>
        <color rgb="FFFFEB84"/>
        <color rgb="FF63BE7B"/>
      </colorScale>
    </cfRule>
  </conditionalFormatting>
  <conditionalFormatting sqref="H14:H92">
    <cfRule type="colorScale" priority="10">
      <colorScale>
        <cfvo type="min"/>
        <cfvo type="percentile" val="50"/>
        <cfvo type="max"/>
        <color rgb="FFF8696B"/>
        <color rgb="FFFFEB84"/>
        <color rgb="FF63BE7B"/>
      </colorScale>
    </cfRule>
  </conditionalFormatting>
  <conditionalFormatting sqref="AB14:AB92">
    <cfRule type="colorScale" priority="9">
      <colorScale>
        <cfvo type="min"/>
        <cfvo type="percentile" val="50"/>
        <cfvo type="max"/>
        <color rgb="FFF8696B"/>
        <color rgb="FFFFEB84"/>
        <color rgb="FF63BE7B"/>
      </colorScale>
    </cfRule>
  </conditionalFormatting>
  <conditionalFormatting sqref="R14:R92">
    <cfRule type="colorScale" priority="8">
      <colorScale>
        <cfvo type="min"/>
        <cfvo type="percentile" val="50"/>
        <cfvo type="max"/>
        <color rgb="FFF8696B"/>
        <color rgb="FFFFEB84"/>
        <color rgb="FF63BE7B"/>
      </colorScale>
    </cfRule>
  </conditionalFormatting>
  <conditionalFormatting sqref="K2:T9 J10">
    <cfRule type="colorScale" priority="7">
      <colorScale>
        <cfvo type="min"/>
        <cfvo type="percentile" val="50"/>
        <cfvo type="max"/>
        <color rgb="FFF8696B"/>
        <color rgb="FFFFEB84"/>
        <color rgb="FF63BE7B"/>
      </colorScale>
    </cfRule>
  </conditionalFormatting>
  <conditionalFormatting sqref="I2:I10">
    <cfRule type="colorScale" priority="6">
      <colorScale>
        <cfvo type="min"/>
        <cfvo type="percentile" val="50"/>
        <cfvo type="max"/>
        <color rgb="FFF8696B"/>
        <color rgb="FFFFEB84"/>
        <color rgb="FF63BE7B"/>
      </colorScale>
    </cfRule>
  </conditionalFormatting>
  <conditionalFormatting sqref="F14:F92">
    <cfRule type="colorScale" priority="5">
      <colorScale>
        <cfvo type="min"/>
        <cfvo type="percentile" val="50"/>
        <cfvo type="max"/>
        <color rgb="FFF8696B"/>
        <color rgb="FFFFEB84"/>
        <color rgb="FF63BE7B"/>
      </colorScale>
    </cfRule>
  </conditionalFormatting>
  <conditionalFormatting sqref="U10">
    <cfRule type="colorScale" priority="4">
      <colorScale>
        <cfvo type="min"/>
        <cfvo type="percentile" val="50"/>
        <cfvo type="max"/>
        <color rgb="FFF8696B"/>
        <color rgb="FFFFEB84"/>
        <color rgb="FF63BE7B"/>
      </colorScale>
    </cfRule>
  </conditionalFormatting>
  <conditionalFormatting sqref="U14:U92">
    <cfRule type="colorScale" priority="3">
      <colorScale>
        <cfvo type="min"/>
        <cfvo type="percentile" val="50"/>
        <cfvo type="max"/>
        <color rgb="FFF8696B"/>
        <color rgb="FFFFEB84"/>
        <color rgb="FF63BE7B"/>
      </colorScale>
    </cfRule>
  </conditionalFormatting>
  <conditionalFormatting sqref="U2:V9">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AM13" activePane="bottomRight" state="frozen"/>
      <selection activeCell="Y25" sqref="Y25"/>
      <selection pane="topRight" activeCell="Y25" sqref="Y25"/>
      <selection pane="bottomLeft" activeCell="Y25" sqref="Y25"/>
      <selection pane="bottomRight" activeCell="BI1" sqref="BI1"/>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20160815</v>
      </c>
      <c r="F1" t="s">
        <v>1256</v>
      </c>
      <c r="G1" t="s">
        <v>1060</v>
      </c>
      <c r="H1" s="197" t="s">
        <v>1188</v>
      </c>
      <c r="I1" t="s">
        <v>1294</v>
      </c>
      <c r="K1" s="6" t="str">
        <f>E12&amp;" l% "&amp;ROUND(E13*100,2)&amp;"%"</f>
        <v>prev ACT l% 53.16%</v>
      </c>
      <c r="L1" s="265" t="str">
        <f>I12&amp;" l% "&amp;ROUND(I13*100,2)&amp;"%"</f>
        <v>50/50 l% 62.03%</v>
      </c>
      <c r="M1" s="265" t="str">
        <f>J12&amp;" l% "&amp;ROUND(J13*100,2)&amp;"%"</f>
        <v>&gt;equity l% 49.37%</v>
      </c>
      <c r="N1" s="265" t="str">
        <f>K12&amp;" l% "&amp;ROUND(K13*100,2)&amp;"%"</f>
        <v>&lt;equity l% 67.09%</v>
      </c>
      <c r="O1" s="265" t="str">
        <f>L12&amp;" l% "&amp;ROUND(L13*100,2)&amp;"%"</f>
        <v>SEA1 l% 58.23%</v>
      </c>
      <c r="P1" s="265" t="str">
        <f t="shared" ref="P1:V1" si="0">O12&amp;" l% "&amp;ROUND(O13*100,2)&amp;"%"</f>
        <v>SEA-ADJ l% 54.43%</v>
      </c>
      <c r="Q1" s="265" t="str">
        <f t="shared" si="0"/>
        <v>v1 l% 59.49%</v>
      </c>
      <c r="R1" s="265" t="str">
        <f t="shared" si="0"/>
        <v>v2 l% 55.7%</v>
      </c>
      <c r="S1" s="265" t="str">
        <f t="shared" si="0"/>
        <v>v3 l% 48.1%</v>
      </c>
      <c r="T1" s="265" t="str">
        <f t="shared" si="0"/>
        <v>v4 l% 51.9%</v>
      </c>
      <c r="U1" s="265" t="str">
        <f t="shared" si="0"/>
        <v>v5 l% 39.24%</v>
      </c>
      <c r="V1" s="265" t="str">
        <f t="shared" si="0"/>
        <v>v6 l% 44.3%</v>
      </c>
      <c r="W1" s="6"/>
      <c r="X1" s="285"/>
      <c r="Z1" s="331" t="str">
        <f t="shared" ref="Z1:AP1" si="1">Z12</f>
        <v>MAX ACC 0% PNL 0</v>
      </c>
      <c r="AA1" s="332" t="str">
        <f t="shared" si="1"/>
        <v>RISK-ON ACC 0% PNL 0</v>
      </c>
      <c r="AB1" s="332" t="str">
        <f t="shared" si="1"/>
        <v>RISK-OFF ACC 0% PNL 0</v>
      </c>
      <c r="AC1" s="332" t="str">
        <f t="shared" si="1"/>
        <v>Previous ACC 0% PNL 0</v>
      </c>
      <c r="AD1" s="295" t="str">
        <f t="shared" si="1"/>
        <v>Anti-Previous ACC 0% PNL 0</v>
      </c>
      <c r="AE1" s="333" t="str">
        <f t="shared" si="1"/>
        <v>&gt;equity ACC 0% PNL 0</v>
      </c>
      <c r="AF1" s="333" t="str">
        <f t="shared" si="1"/>
        <v>50/50 ACC 0% PNL 0</v>
      </c>
      <c r="AG1" s="333" t="str">
        <f t="shared" si="1"/>
        <v>&lt;equity ACC 0% PNL 0</v>
      </c>
      <c r="AH1" s="334" t="str">
        <f t="shared" si="1"/>
        <v>SEASONALITY ACC 0% PNL 0</v>
      </c>
      <c r="AI1" s="334" t="str">
        <f t="shared" si="1"/>
        <v>ANTI-SEASONALITY ACC 0% PNL 0</v>
      </c>
      <c r="AJ1" s="334" t="str">
        <f t="shared" si="1"/>
        <v>ADJ_SEASONALITY ACC 0% PNL 0</v>
      </c>
      <c r="AK1" s="335" t="str">
        <f t="shared" si="1"/>
        <v>V1 ACC 0% PNL 0</v>
      </c>
      <c r="AL1" s="335" t="str">
        <f t="shared" si="1"/>
        <v>V2 ACC 0% PNL 0</v>
      </c>
      <c r="AM1" s="335" t="str">
        <f t="shared" si="1"/>
        <v>V3 ACC 0% PNL 0</v>
      </c>
      <c r="AN1" s="335" t="str">
        <f t="shared" si="1"/>
        <v>V4 ACC 0% PNL 0</v>
      </c>
      <c r="AO1" s="335" t="str">
        <f t="shared" si="1"/>
        <v>V5 ACC 0% PNL 0</v>
      </c>
      <c r="AP1" s="335" t="str">
        <f t="shared" si="1"/>
        <v>V6 ACC 0% PNL 0</v>
      </c>
      <c r="BI1" t="str">
        <f>"NET POSITION BY SYSTEM FOR "&amp;A1</f>
        <v>NET POSITION BY SYSTEM FOR 20160815</v>
      </c>
    </row>
    <row r="2" spans="1:61" outlineLevel="1" x14ac:dyDescent="0.25">
      <c r="A2" t="s">
        <v>1121</v>
      </c>
      <c r="B2" s="95">
        <f>COUNTIF($C$14:$C$92,A2)</f>
        <v>9</v>
      </c>
      <c r="C2" s="193">
        <f>B2/$B$10</f>
        <v>0.12676056338028169</v>
      </c>
      <c r="F2" s="294">
        <f t="shared" ref="F2:F9" si="2">SUMIFS(H$14:H$92,H$14:H$92,1,$C$14:$C$92,A2)/$B2</f>
        <v>0</v>
      </c>
      <c r="G2" s="137">
        <f t="shared" ref="G2:G9" si="3">SUMIF($C$14:$C$92,A2,Z$14:Z$92)</f>
        <v>0</v>
      </c>
      <c r="H2" s="143">
        <f t="shared" ref="H2:H10" si="4">G2/$B2</f>
        <v>0</v>
      </c>
      <c r="I2" s="186">
        <f>SUMIF($C$14:$C$92,A2,F$14:F$92)/B2</f>
        <v>0</v>
      </c>
      <c r="J2" t="str">
        <f t="shared" ref="J2:J9" si="5">A2</f>
        <v>currency</v>
      </c>
      <c r="K2" s="342">
        <f t="shared" ref="K2:K9" si="6">SUMIF($C$14:$C$92,$A2,E$14:E$92)/$B2</f>
        <v>-0.33333333333333331</v>
      </c>
      <c r="L2" s="342">
        <f t="shared" ref="L2:O9" si="7">SUMIF($C$14:$C$92,$A2,I$14:I$92)/$B2</f>
        <v>0.33333333333333331</v>
      </c>
      <c r="M2" s="342">
        <f t="shared" si="7"/>
        <v>-0.1111111111111111</v>
      </c>
      <c r="N2" s="342">
        <f t="shared" si="7"/>
        <v>0.55555555555555558</v>
      </c>
      <c r="O2" s="342">
        <f t="shared" si="7"/>
        <v>-0.33333333333333331</v>
      </c>
      <c r="P2" s="342">
        <f t="shared" ref="P2:V9" si="8">SUMIF($C$14:$C$92,$A2,O$14:O$92)/$B2</f>
        <v>0.55555555555555558</v>
      </c>
      <c r="Q2" s="342">
        <f t="shared" si="8"/>
        <v>0.33333333333333331</v>
      </c>
      <c r="R2" s="342">
        <f t="shared" si="8"/>
        <v>0.77777777777777779</v>
      </c>
      <c r="S2" s="342">
        <f t="shared" si="8"/>
        <v>0.55555555555555558</v>
      </c>
      <c r="T2" s="342">
        <f t="shared" si="8"/>
        <v>0.77777777777777779</v>
      </c>
      <c r="U2" s="342">
        <f t="shared" si="8"/>
        <v>-0.55555555555555558</v>
      </c>
      <c r="V2" s="342">
        <f t="shared" si="8"/>
        <v>0.33333333333333331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61" outlineLevel="1" x14ac:dyDescent="0.25">
      <c r="A3" s="1" t="s">
        <v>288</v>
      </c>
      <c r="B3" s="95">
        <f t="shared" ref="B3:B9" si="10">COUNTIF($C$14:$C$92,A3)</f>
        <v>6</v>
      </c>
      <c r="C3" s="193">
        <f t="shared" ref="C3:C10" si="11">B3/$B$10</f>
        <v>8.4507042253521125E-2</v>
      </c>
      <c r="F3" s="294">
        <f t="shared" si="2"/>
        <v>0</v>
      </c>
      <c r="G3" s="137">
        <f t="shared" si="3"/>
        <v>0</v>
      </c>
      <c r="H3" s="143">
        <f t="shared" si="4"/>
        <v>0</v>
      </c>
      <c r="I3" s="186">
        <f t="shared" ref="I3:I9" si="12">SUMIF($C$14:$C$92,A3,F$14:F$92)/B3</f>
        <v>0</v>
      </c>
      <c r="J3" t="str">
        <f t="shared" si="5"/>
        <v>energy</v>
      </c>
      <c r="K3" s="342">
        <f t="shared" si="6"/>
        <v>1</v>
      </c>
      <c r="L3" s="342">
        <f t="shared" si="7"/>
        <v>0.33333333333333331</v>
      </c>
      <c r="M3" s="342">
        <f t="shared" si="7"/>
        <v>0.33333333333333331</v>
      </c>
      <c r="N3" s="342">
        <f t="shared" si="7"/>
        <v>0.33333333333333331</v>
      </c>
      <c r="O3" s="342">
        <f t="shared" si="7"/>
        <v>-0.66666666666666663</v>
      </c>
      <c r="P3" s="342">
        <f t="shared" si="8"/>
        <v>0</v>
      </c>
      <c r="Q3" s="342">
        <f t="shared" si="8"/>
        <v>1</v>
      </c>
      <c r="R3" s="342">
        <f t="shared" si="8"/>
        <v>-0.33333333333333331</v>
      </c>
      <c r="S3" s="342">
        <f t="shared" si="8"/>
        <v>0</v>
      </c>
      <c r="T3" s="342">
        <f t="shared" si="8"/>
        <v>0</v>
      </c>
      <c r="U3" s="342">
        <f t="shared" si="8"/>
        <v>0</v>
      </c>
      <c r="V3" s="342">
        <f t="shared" si="8"/>
        <v>0.33333333333333331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61" outlineLevel="1" x14ac:dyDescent="0.25">
      <c r="A4" s="1" t="s">
        <v>297</v>
      </c>
      <c r="B4" s="95">
        <f t="shared" si="10"/>
        <v>10</v>
      </c>
      <c r="C4" s="193">
        <f t="shared" si="11"/>
        <v>0.14084507042253522</v>
      </c>
      <c r="F4" s="294">
        <f t="shared" si="2"/>
        <v>0</v>
      </c>
      <c r="G4" s="137">
        <f t="shared" si="3"/>
        <v>0</v>
      </c>
      <c r="H4" s="143">
        <f t="shared" si="4"/>
        <v>0</v>
      </c>
      <c r="I4" s="186">
        <f t="shared" si="12"/>
        <v>0</v>
      </c>
      <c r="J4" t="str">
        <f t="shared" si="5"/>
        <v>grain</v>
      </c>
      <c r="K4" s="342">
        <f t="shared" si="6"/>
        <v>0.2</v>
      </c>
      <c r="L4" s="342">
        <f t="shared" si="7"/>
        <v>0</v>
      </c>
      <c r="M4" s="342">
        <f t="shared" si="7"/>
        <v>0</v>
      </c>
      <c r="N4" s="342">
        <f t="shared" si="7"/>
        <v>0.2</v>
      </c>
      <c r="O4" s="342">
        <f t="shared" si="7"/>
        <v>0.8</v>
      </c>
      <c r="P4" s="342">
        <f t="shared" si="8"/>
        <v>0.2</v>
      </c>
      <c r="Q4" s="342">
        <f t="shared" si="8"/>
        <v>0</v>
      </c>
      <c r="R4" s="342">
        <f t="shared" si="8"/>
        <v>-0.2</v>
      </c>
      <c r="S4" s="342">
        <f t="shared" si="8"/>
        <v>-0.6</v>
      </c>
      <c r="T4" s="342">
        <f t="shared" si="8"/>
        <v>-0.6</v>
      </c>
      <c r="U4" s="342">
        <f t="shared" si="8"/>
        <v>-0.4</v>
      </c>
      <c r="V4" s="342">
        <f t="shared" si="8"/>
        <v>-0.4</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61" outlineLevel="1" x14ac:dyDescent="0.25">
      <c r="A5" s="1" t="s">
        <v>294</v>
      </c>
      <c r="B5" s="95">
        <f t="shared" si="10"/>
        <v>21</v>
      </c>
      <c r="C5" s="193">
        <f t="shared" si="11"/>
        <v>0.29577464788732394</v>
      </c>
      <c r="F5" s="294">
        <f t="shared" si="2"/>
        <v>0</v>
      </c>
      <c r="G5" s="137">
        <f t="shared" si="3"/>
        <v>0</v>
      </c>
      <c r="H5" s="143">
        <f>G5/$B5</f>
        <v>0</v>
      </c>
      <c r="I5" s="186">
        <f t="shared" si="12"/>
        <v>0</v>
      </c>
      <c r="J5" t="str">
        <f t="shared" si="5"/>
        <v>index</v>
      </c>
      <c r="K5" s="342">
        <f t="shared" si="6"/>
        <v>-4.7619047619047616E-2</v>
      </c>
      <c r="L5" s="342">
        <f t="shared" si="7"/>
        <v>0.42857142857142855</v>
      </c>
      <c r="M5" s="342">
        <f t="shared" si="7"/>
        <v>-0.14285714285714285</v>
      </c>
      <c r="N5" s="342">
        <f t="shared" si="7"/>
        <v>0.42857142857142855</v>
      </c>
      <c r="O5" s="342">
        <f t="shared" si="7"/>
        <v>4.7619047619047616E-2</v>
      </c>
      <c r="P5" s="342">
        <f t="shared" si="8"/>
        <v>0.33333333333333331</v>
      </c>
      <c r="Q5" s="342">
        <f t="shared" si="8"/>
        <v>0.42857142857142855</v>
      </c>
      <c r="R5" s="342">
        <f t="shared" si="8"/>
        <v>0.23809523809523808</v>
      </c>
      <c r="S5" s="342">
        <f t="shared" si="8"/>
        <v>-4.7619047619047616E-2</v>
      </c>
      <c r="T5" s="342">
        <f t="shared" si="8"/>
        <v>0.14285714285714285</v>
      </c>
      <c r="U5" s="342">
        <f t="shared" si="8"/>
        <v>-0.33333333333333331</v>
      </c>
      <c r="V5" s="342">
        <f t="shared" si="8"/>
        <v>-4.7619047619047616E-2</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61" outlineLevel="1" x14ac:dyDescent="0.25">
      <c r="A6" s="1" t="s">
        <v>313</v>
      </c>
      <c r="B6" s="95">
        <f t="shared" si="10"/>
        <v>3</v>
      </c>
      <c r="C6" s="193">
        <f t="shared" si="11"/>
        <v>4.2253521126760563E-2</v>
      </c>
      <c r="F6" s="294">
        <f t="shared" si="2"/>
        <v>0</v>
      </c>
      <c r="G6" s="137">
        <f t="shared" si="3"/>
        <v>0</v>
      </c>
      <c r="H6" s="143">
        <f t="shared" si="4"/>
        <v>0</v>
      </c>
      <c r="I6" s="186">
        <f t="shared" si="12"/>
        <v>0</v>
      </c>
      <c r="J6" t="str">
        <f t="shared" si="5"/>
        <v>meat</v>
      </c>
      <c r="K6" s="342">
        <f t="shared" si="6"/>
        <v>0.33333333333333331</v>
      </c>
      <c r="L6" s="342">
        <f t="shared" si="7"/>
        <v>0.33333333333333331</v>
      </c>
      <c r="M6" s="342">
        <f t="shared" si="7"/>
        <v>-0.33333333333333331</v>
      </c>
      <c r="N6" s="342">
        <f t="shared" si="7"/>
        <v>0.33333333333333331</v>
      </c>
      <c r="O6" s="342">
        <f t="shared" si="7"/>
        <v>-1</v>
      </c>
      <c r="P6" s="342">
        <f t="shared" si="8"/>
        <v>-1</v>
      </c>
      <c r="Q6" s="342">
        <f t="shared" si="8"/>
        <v>0.33333333333333331</v>
      </c>
      <c r="R6" s="342">
        <f t="shared" si="8"/>
        <v>-0.33333333333333331</v>
      </c>
      <c r="S6" s="342">
        <f t="shared" si="8"/>
        <v>1</v>
      </c>
      <c r="T6" s="342">
        <f t="shared" si="8"/>
        <v>1</v>
      </c>
      <c r="U6" s="342">
        <f t="shared" si="8"/>
        <v>1</v>
      </c>
      <c r="V6" s="342">
        <f t="shared" si="8"/>
        <v>-0.33333333333333331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61" outlineLevel="1" x14ac:dyDescent="0.25">
      <c r="A7" s="1" t="s">
        <v>347</v>
      </c>
      <c r="B7" s="95">
        <f t="shared" si="10"/>
        <v>5</v>
      </c>
      <c r="C7" s="193">
        <f t="shared" si="11"/>
        <v>7.0422535211267609E-2</v>
      </c>
      <c r="F7" s="294">
        <f t="shared" si="2"/>
        <v>0</v>
      </c>
      <c r="G7" s="137">
        <f t="shared" si="3"/>
        <v>0</v>
      </c>
      <c r="H7" s="143">
        <f t="shared" si="4"/>
        <v>0</v>
      </c>
      <c r="I7" s="186">
        <f t="shared" si="12"/>
        <v>0</v>
      </c>
      <c r="J7" t="str">
        <f t="shared" si="5"/>
        <v>metal</v>
      </c>
      <c r="K7" s="342">
        <f t="shared" si="6"/>
        <v>-1</v>
      </c>
      <c r="L7" s="342">
        <f t="shared" si="7"/>
        <v>-0.2</v>
      </c>
      <c r="M7" s="342">
        <f t="shared" si="7"/>
        <v>0.2</v>
      </c>
      <c r="N7" s="342">
        <f t="shared" si="7"/>
        <v>-0.2</v>
      </c>
      <c r="O7" s="342">
        <f t="shared" si="7"/>
        <v>-0.6</v>
      </c>
      <c r="P7" s="342">
        <f t="shared" si="8"/>
        <v>-1</v>
      </c>
      <c r="Q7" s="342">
        <f t="shared" si="8"/>
        <v>-0.2</v>
      </c>
      <c r="R7" s="342">
        <f t="shared" si="8"/>
        <v>0.2</v>
      </c>
      <c r="S7" s="342">
        <f t="shared" si="8"/>
        <v>0.6</v>
      </c>
      <c r="T7" s="342">
        <f t="shared" si="8"/>
        <v>0.2</v>
      </c>
      <c r="U7" s="342">
        <f t="shared" si="8"/>
        <v>0.2</v>
      </c>
      <c r="V7" s="342">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61" outlineLevel="1" x14ac:dyDescent="0.25">
      <c r="A8" s="1" t="s">
        <v>1122</v>
      </c>
      <c r="B8" s="95">
        <f t="shared" si="10"/>
        <v>10</v>
      </c>
      <c r="C8" s="193">
        <f t="shared" si="11"/>
        <v>0.14084507042253522</v>
      </c>
      <c r="F8" s="294">
        <f t="shared" si="2"/>
        <v>0</v>
      </c>
      <c r="G8" s="137">
        <f t="shared" si="3"/>
        <v>0</v>
      </c>
      <c r="H8" s="143">
        <f t="shared" si="4"/>
        <v>0</v>
      </c>
      <c r="I8" s="186">
        <f t="shared" si="12"/>
        <v>0</v>
      </c>
      <c r="J8" t="str">
        <f t="shared" si="5"/>
        <v>rates</v>
      </c>
      <c r="K8" s="342">
        <f t="shared" si="6"/>
        <v>0.4</v>
      </c>
      <c r="L8" s="342">
        <f t="shared" si="7"/>
        <v>0</v>
      </c>
      <c r="M8" s="342">
        <f t="shared" si="7"/>
        <v>0</v>
      </c>
      <c r="N8" s="342">
        <f t="shared" si="7"/>
        <v>0.4</v>
      </c>
      <c r="O8" s="342">
        <f t="shared" si="7"/>
        <v>1</v>
      </c>
      <c r="P8" s="342">
        <f t="shared" si="8"/>
        <v>0.2</v>
      </c>
      <c r="Q8" s="342">
        <f t="shared" si="8"/>
        <v>0</v>
      </c>
      <c r="R8" s="342">
        <f t="shared" si="8"/>
        <v>0</v>
      </c>
      <c r="S8" s="342">
        <f t="shared" si="8"/>
        <v>-0.8</v>
      </c>
      <c r="T8" s="342">
        <f t="shared" si="8"/>
        <v>-0.6</v>
      </c>
      <c r="U8" s="342">
        <f t="shared" si="8"/>
        <v>-0.2</v>
      </c>
      <c r="V8" s="342">
        <f t="shared" si="8"/>
        <v>-0.8</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61" outlineLevel="1" x14ac:dyDescent="0.25">
      <c r="A9" s="17" t="s">
        <v>304</v>
      </c>
      <c r="B9" s="295">
        <f t="shared" si="10"/>
        <v>7</v>
      </c>
      <c r="C9" s="200">
        <f t="shared" si="11"/>
        <v>9.8591549295774641E-2</v>
      </c>
      <c r="D9" s="126"/>
      <c r="F9" s="294">
        <f t="shared" si="2"/>
        <v>0</v>
      </c>
      <c r="G9" s="199">
        <f t="shared" si="3"/>
        <v>0</v>
      </c>
      <c r="H9" s="143">
        <f t="shared" si="4"/>
        <v>0</v>
      </c>
      <c r="I9" s="186">
        <f t="shared" si="12"/>
        <v>0</v>
      </c>
      <c r="J9" t="str">
        <f t="shared" si="5"/>
        <v>soft</v>
      </c>
      <c r="K9" s="342">
        <f t="shared" si="6"/>
        <v>-0.42857142857142855</v>
      </c>
      <c r="L9" s="342">
        <f t="shared" si="7"/>
        <v>0.14285714285714285</v>
      </c>
      <c r="M9" s="342">
        <f t="shared" si="7"/>
        <v>-0.14285714285714285</v>
      </c>
      <c r="N9" s="342">
        <f t="shared" si="7"/>
        <v>0.14285714285714285</v>
      </c>
      <c r="O9" s="342">
        <f t="shared" si="7"/>
        <v>0.42857142857142855</v>
      </c>
      <c r="P9" s="342">
        <f t="shared" si="8"/>
        <v>-0.14285714285714285</v>
      </c>
      <c r="Q9" s="342">
        <f t="shared" si="8"/>
        <v>-0.42857142857142855</v>
      </c>
      <c r="R9" s="342">
        <f t="shared" si="8"/>
        <v>0.14285714285714285</v>
      </c>
      <c r="S9" s="342">
        <f t="shared" si="8"/>
        <v>0.14285714285714285</v>
      </c>
      <c r="T9" s="342">
        <f t="shared" si="8"/>
        <v>-0.14285714285714285</v>
      </c>
      <c r="U9" s="342">
        <f t="shared" si="8"/>
        <v>-0.42857142857142855</v>
      </c>
      <c r="V9" s="342">
        <f t="shared" si="8"/>
        <v>-0.14285714285714285</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61" outlineLevel="1" x14ac:dyDescent="0.25">
      <c r="B10">
        <f>SUM(B2:B9)</f>
        <v>71</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61" outlineLevel="1" x14ac:dyDescent="0.25">
      <c r="H11" t="s">
        <v>1158</v>
      </c>
      <c r="I11" s="95">
        <v>0.75</v>
      </c>
      <c r="J11">
        <v>0.5</v>
      </c>
      <c r="K11">
        <v>1</v>
      </c>
      <c r="V11" s="354"/>
      <c r="W11" s="354"/>
      <c r="X11" s="112" t="s">
        <v>1281</v>
      </c>
      <c r="Y11" s="352">
        <f>SUMIF('FuturesInfo (3)'!$W$2:$W$80,"&gt;0")/COUNTIF('FuturesInfo (3)'!$W$2:$W$80,"&gt;0")</f>
        <v>2505.8825765419137</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s="112" t="s">
        <v>776</v>
      </c>
      <c r="W12" s="112" t="s">
        <v>1257</v>
      </c>
      <c r="X12" s="112" t="s">
        <v>1152</v>
      </c>
      <c r="Y12" s="112" t="s">
        <v>1313</v>
      </c>
      <c r="Z12" s="336" t="str">
        <f t="shared" ref="Z12:AP12" si="14">Z93&amp;" ACC "&amp;ROUND(Z94,2)*100&amp;"% PNL "&amp;ROUND(Z10,0)</f>
        <v>MAX ACC 0% PNL 0</v>
      </c>
      <c r="AA12" s="308" t="str">
        <f t="shared" si="14"/>
        <v>RISK-ON ACC 0% PNL 0</v>
      </c>
      <c r="AB12" s="308" t="str">
        <f t="shared" si="14"/>
        <v>RISK-OFF ACC 0% PNL 0</v>
      </c>
      <c r="AC12" s="308" t="str">
        <f t="shared" si="14"/>
        <v>Previous ACC 0% PNL 0</v>
      </c>
      <c r="AD12" s="337" t="str">
        <f t="shared" si="14"/>
        <v>Anti-Previous ACC 0% PNL 0</v>
      </c>
      <c r="AE12" s="338" t="str">
        <f t="shared" si="14"/>
        <v>&gt;equity ACC 0% PNL 0</v>
      </c>
      <c r="AF12" s="338" t="str">
        <f t="shared" si="14"/>
        <v>50/50 ACC 0% PNL 0</v>
      </c>
      <c r="AG12" s="338" t="str">
        <f t="shared" si="14"/>
        <v>&lt;equity ACC 0% PNL 0</v>
      </c>
      <c r="AH12" s="339" t="str">
        <f t="shared" si="14"/>
        <v>SEASONALITY ACC 0% PNL 0</v>
      </c>
      <c r="AI12" s="339" t="str">
        <f t="shared" si="14"/>
        <v>ANTI-SEASONALITY ACC 0% PNL 0</v>
      </c>
      <c r="AJ12" s="339" t="str">
        <f t="shared" si="14"/>
        <v>ADJ_SEASONALITY ACC 0% PNL 0</v>
      </c>
      <c r="AK12" s="340" t="str">
        <f t="shared" si="14"/>
        <v>V1 ACC 0% PNL 0</v>
      </c>
      <c r="AL12" s="340" t="str">
        <f t="shared" si="14"/>
        <v>V2 ACC 0% PNL 0</v>
      </c>
      <c r="AM12" s="340" t="str">
        <f t="shared" si="14"/>
        <v>V3 ACC 0% PNL 0</v>
      </c>
      <c r="AN12" s="340" t="str">
        <f t="shared" si="14"/>
        <v>V4 ACC 0% PNL 0</v>
      </c>
      <c r="AO12" s="340" t="str">
        <f t="shared" si="14"/>
        <v>V5 ACC 0% PNL 0</v>
      </c>
      <c r="AP12" s="340" t="str">
        <f t="shared" si="14"/>
        <v>V6 ACC 0% PNL 0</v>
      </c>
    </row>
    <row r="13" spans="1:61" ht="15.75" thickBot="1" x14ac:dyDescent="0.3">
      <c r="A13" s="3"/>
      <c r="B13" s="164"/>
      <c r="C13" s="164"/>
      <c r="E13" s="240">
        <f>COUNTIF(E14:E92,1)/COUNT(E14:E92)</f>
        <v>0.53164556962025311</v>
      </c>
      <c r="H13" s="240" t="e">
        <f>COUNTIF(H14:H92,1)/COUNT(H14:H92)</f>
        <v>#DIV/0!</v>
      </c>
      <c r="I13" s="240">
        <f>COUNTIF(I14:I92,1)/COUNT(I14:I92)</f>
        <v>0.620253164556962</v>
      </c>
      <c r="J13" s="240">
        <f t="shared" ref="J13:L13" si="15">COUNTIF(J14:J92,1)/COUNT(J14:J92)</f>
        <v>0.49367088607594939</v>
      </c>
      <c r="K13" s="240">
        <f t="shared" si="15"/>
        <v>0.67088607594936711</v>
      </c>
      <c r="L13" s="240">
        <f t="shared" si="15"/>
        <v>0.58227848101265822</v>
      </c>
      <c r="M13" s="240"/>
      <c r="O13" s="240">
        <f t="shared" ref="O13:U13" si="16">COUNTIF(O14:O92,1)/COUNT(O14:O92)</f>
        <v>0.54430379746835444</v>
      </c>
      <c r="P13" s="240">
        <f t="shared" si="16"/>
        <v>0.59493670886075944</v>
      </c>
      <c r="Q13" s="240">
        <f t="shared" si="16"/>
        <v>0.55696202531645567</v>
      </c>
      <c r="R13" s="240">
        <f t="shared" si="16"/>
        <v>0.48101265822784811</v>
      </c>
      <c r="S13" s="240">
        <f t="shared" si="16"/>
        <v>0.51898734177215189</v>
      </c>
      <c r="T13" s="240">
        <f t="shared" si="16"/>
        <v>0.39240506329113922</v>
      </c>
      <c r="U13" s="240">
        <f t="shared" si="16"/>
        <v>0.44303797468354428</v>
      </c>
      <c r="V13" s="353"/>
      <c r="W13" s="353"/>
      <c r="X13" s="353">
        <f t="shared" ref="X13" si="17">SUM(X14:X92)</f>
        <v>24543947.96774786</v>
      </c>
      <c r="Y13" s="353">
        <f>SUM(Y14:Y92)</f>
        <v>861779.10664455185</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61" ht="15.75" thickBot="1" x14ac:dyDescent="0.3">
      <c r="A14" s="328" t="s">
        <v>287</v>
      </c>
      <c r="B14" s="329" t="s">
        <v>558</v>
      </c>
      <c r="C14" s="330" t="s">
        <v>1285</v>
      </c>
      <c r="E14" s="201">
        <f>'0812'!H14</f>
        <v>-1</v>
      </c>
      <c r="F14" s="186">
        <f t="shared" ref="F14:F77" si="19">G14*X14</f>
        <v>0</v>
      </c>
      <c r="G14" s="201"/>
      <c r="H14" s="202"/>
      <c r="I14" s="202">
        <v>1</v>
      </c>
      <c r="J14" s="225">
        <v>1</v>
      </c>
      <c r="K14" s="225">
        <v>1</v>
      </c>
      <c r="L14" s="201">
        <v>1</v>
      </c>
      <c r="M14" s="226">
        <v>-8</v>
      </c>
      <c r="N14" s="287">
        <v>42584</v>
      </c>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s="354">
        <f>IF(C14&lt;&gt;"offline",VLOOKUP($A14,'FuturesInfo (3)'!$A$2:$V$80,22),0)</f>
        <v>0</v>
      </c>
      <c r="W14" s="354">
        <v>1</v>
      </c>
      <c r="X14" s="354">
        <f>VLOOKUP($A14,'FuturesInfo (3)'!$A$2:$O$80,15)*V14</f>
        <v>0</v>
      </c>
      <c r="Y14" s="354">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61" ht="15.75" thickBot="1" x14ac:dyDescent="0.3">
      <c r="A15" s="1" t="s">
        <v>290</v>
      </c>
      <c r="B15" s="149" t="s">
        <v>470</v>
      </c>
      <c r="C15" s="192" t="s">
        <v>1121</v>
      </c>
      <c r="E15" s="201">
        <f>'0812'!H15</f>
        <v>-1</v>
      </c>
      <c r="F15" s="186">
        <f t="shared" si="19"/>
        <v>0</v>
      </c>
      <c r="G15" s="202"/>
      <c r="H15" s="202"/>
      <c r="I15" s="202">
        <v>1</v>
      </c>
      <c r="J15" s="227">
        <v>-1</v>
      </c>
      <c r="K15" s="227">
        <v>1</v>
      </c>
      <c r="L15" s="202">
        <v>-1</v>
      </c>
      <c r="M15" s="228">
        <v>-15</v>
      </c>
      <c r="N15" s="288">
        <v>42573</v>
      </c>
      <c r="O15">
        <f t="shared" si="20"/>
        <v>1</v>
      </c>
      <c r="P15">
        <f t="shared" ref="P15:P78" si="33">IF(E15+K15-L15&gt;0,1,-1)</f>
        <v>1</v>
      </c>
      <c r="Q15">
        <f t="shared" si="21"/>
        <v>1</v>
      </c>
      <c r="R15">
        <f t="shared" si="22"/>
        <v>1</v>
      </c>
      <c r="S15">
        <f t="shared" si="23"/>
        <v>1</v>
      </c>
      <c r="T15">
        <f t="shared" si="24"/>
        <v>-1</v>
      </c>
      <c r="U15">
        <f t="shared" ref="U15:U78" si="34">IF(-E15+J15-L15&lt;0,-1,1)</f>
        <v>1</v>
      </c>
      <c r="V15" s="354">
        <f>IF(C15&lt;&gt;"offline",VLOOKUP($A15,'FuturesInfo (3)'!$A$2:$V$80,22),0)</f>
        <v>3</v>
      </c>
      <c r="W15" s="354">
        <v>1</v>
      </c>
      <c r="X15" s="354">
        <f>VLOOKUP($A15,'FuturesInfo (3)'!$A$2:$O$80,15)*V15</f>
        <v>229230</v>
      </c>
      <c r="Y15" s="354">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61" ht="15.75" thickBot="1" x14ac:dyDescent="0.3">
      <c r="A16" s="1" t="s">
        <v>292</v>
      </c>
      <c r="B16" s="149" t="s">
        <v>292</v>
      </c>
      <c r="C16" s="192" t="s">
        <v>294</v>
      </c>
      <c r="E16" s="201">
        <f>'0812'!H16</f>
        <v>-1</v>
      </c>
      <c r="F16" s="186">
        <f t="shared" si="19"/>
        <v>0</v>
      </c>
      <c r="G16" s="202"/>
      <c r="H16" s="202"/>
      <c r="I16" s="202">
        <v>1</v>
      </c>
      <c r="J16" s="227">
        <v>-1</v>
      </c>
      <c r="K16" s="227">
        <v>1</v>
      </c>
      <c r="L16" s="202">
        <v>-1</v>
      </c>
      <c r="M16" s="228">
        <v>-8</v>
      </c>
      <c r="N16" s="288">
        <v>42584</v>
      </c>
      <c r="O16">
        <f t="shared" si="20"/>
        <v>1</v>
      </c>
      <c r="P16">
        <f t="shared" si="33"/>
        <v>1</v>
      </c>
      <c r="Q16">
        <f t="shared" si="21"/>
        <v>1</v>
      </c>
      <c r="R16">
        <f t="shared" si="22"/>
        <v>1</v>
      </c>
      <c r="S16">
        <f t="shared" si="23"/>
        <v>1</v>
      </c>
      <c r="T16">
        <f t="shared" si="24"/>
        <v>-1</v>
      </c>
      <c r="U16">
        <f t="shared" si="34"/>
        <v>1</v>
      </c>
      <c r="V16" s="354">
        <f>IF(C16&lt;&gt;"offline",VLOOKUP($A16,'FuturesInfo (3)'!$A$2:$V$80,22),0)</f>
        <v>2</v>
      </c>
      <c r="W16" s="354">
        <v>1</v>
      </c>
      <c r="X16" s="354">
        <f>VLOOKUP($A16,'FuturesInfo (3)'!$A$2:$O$80,15)*V16</f>
        <v>202626.6</v>
      </c>
      <c r="Y16" s="354">
        <f>VLOOKUP(A16,'FuturesInfo (3)'!$A$2:$AI$80,35)*V16</f>
        <v>21702.815999999999</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'0812'!H17</f>
        <v>1</v>
      </c>
      <c r="F17" s="186">
        <f t="shared" si="19"/>
        <v>0</v>
      </c>
      <c r="G17" s="202"/>
      <c r="H17" s="202"/>
      <c r="I17" s="202">
        <v>1</v>
      </c>
      <c r="J17" s="227">
        <v>-1</v>
      </c>
      <c r="K17" s="227">
        <v>1</v>
      </c>
      <c r="L17" s="202">
        <v>-1</v>
      </c>
      <c r="M17" s="228">
        <v>-8</v>
      </c>
      <c r="N17" s="288">
        <v>42584</v>
      </c>
      <c r="O17">
        <f t="shared" si="20"/>
        <v>1</v>
      </c>
      <c r="P17">
        <f t="shared" si="33"/>
        <v>1</v>
      </c>
      <c r="Q17">
        <f t="shared" si="21"/>
        <v>-1</v>
      </c>
      <c r="R17">
        <f t="shared" si="22"/>
        <v>1</v>
      </c>
      <c r="S17">
        <f t="shared" si="23"/>
        <v>1</v>
      </c>
      <c r="T17">
        <f t="shared" si="24"/>
        <v>-1</v>
      </c>
      <c r="U17">
        <f t="shared" si="34"/>
        <v>-1</v>
      </c>
      <c r="V17" s="354">
        <f>IF(C17&lt;&gt;"offline",VLOOKUP($A17,'FuturesInfo (3)'!$A$2:$V$80,22),0)</f>
        <v>5</v>
      </c>
      <c r="W17" s="354">
        <v>1</v>
      </c>
      <c r="X17" s="354">
        <f>VLOOKUP($A17,'FuturesInfo (3)'!$A$2:$O$80,15)*V17</f>
        <v>97350</v>
      </c>
      <c r="Y17" s="354">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'0812'!H18</f>
        <v>-1</v>
      </c>
      <c r="F18" s="186">
        <f t="shared" si="19"/>
        <v>0</v>
      </c>
      <c r="G18" s="202"/>
      <c r="H18" s="202"/>
      <c r="I18" s="202">
        <v>-1</v>
      </c>
      <c r="J18" s="227">
        <v>1</v>
      </c>
      <c r="K18" s="227">
        <v>-1</v>
      </c>
      <c r="L18" s="202">
        <v>-1</v>
      </c>
      <c r="M18" s="228">
        <v>8</v>
      </c>
      <c r="N18" s="288">
        <v>42584</v>
      </c>
      <c r="O18">
        <f t="shared" si="20"/>
        <v>-1</v>
      </c>
      <c r="P18">
        <f t="shared" si="33"/>
        <v>-1</v>
      </c>
      <c r="Q18">
        <f t="shared" si="21"/>
        <v>1</v>
      </c>
      <c r="R18">
        <f t="shared" si="22"/>
        <v>1</v>
      </c>
      <c r="S18">
        <f t="shared" si="23"/>
        <v>1</v>
      </c>
      <c r="T18">
        <f t="shared" si="24"/>
        <v>1</v>
      </c>
      <c r="U18">
        <f t="shared" si="34"/>
        <v>1</v>
      </c>
      <c r="V18" s="354">
        <f>IF(C18&lt;&gt;"offline",VLOOKUP($A18,'FuturesInfo (3)'!$A$2:$V$80,22),0)</f>
        <v>3</v>
      </c>
      <c r="W18" s="354">
        <v>1</v>
      </c>
      <c r="X18" s="354">
        <f>VLOOKUP($A18,'FuturesInfo (3)'!$A$2:$O$80,15)*V18</f>
        <v>242325</v>
      </c>
      <c r="Y18" s="354">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'0812'!H19</f>
        <v>1</v>
      </c>
      <c r="F19" s="186">
        <f t="shared" si="19"/>
        <v>0</v>
      </c>
      <c r="G19" s="202"/>
      <c r="H19" s="202"/>
      <c r="I19" s="202">
        <v>-1</v>
      </c>
      <c r="J19" s="227">
        <v>-1</v>
      </c>
      <c r="K19" s="227">
        <v>-1</v>
      </c>
      <c r="L19" s="202">
        <v>1</v>
      </c>
      <c r="M19" s="228">
        <v>-11</v>
      </c>
      <c r="N19" s="288">
        <v>42579</v>
      </c>
      <c r="O19">
        <f t="shared" si="20"/>
        <v>-1</v>
      </c>
      <c r="P19">
        <f t="shared" si="33"/>
        <v>-1</v>
      </c>
      <c r="Q19">
        <f t="shared" si="21"/>
        <v>-1</v>
      </c>
      <c r="R19">
        <f t="shared" si="22"/>
        <v>-1</v>
      </c>
      <c r="S19">
        <f t="shared" si="23"/>
        <v>-1</v>
      </c>
      <c r="T19">
        <f t="shared" si="24"/>
        <v>1</v>
      </c>
      <c r="U19">
        <f t="shared" si="34"/>
        <v>-1</v>
      </c>
      <c r="V19" s="354">
        <f>IF(C19&lt;&gt;"offline",VLOOKUP($A19,'FuturesInfo (3)'!$A$2:$V$80,22),0)</f>
        <v>6</v>
      </c>
      <c r="W19" s="354">
        <v>1</v>
      </c>
      <c r="X19" s="354">
        <f>VLOOKUP($A19,'FuturesInfo (3)'!$A$2:$O$80,15)*V19</f>
        <v>99900</v>
      </c>
      <c r="Y19" s="354">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'0812'!H20</f>
        <v>-1</v>
      </c>
      <c r="F20" s="186">
        <f t="shared" si="19"/>
        <v>0</v>
      </c>
      <c r="G20" s="202"/>
      <c r="H20" s="202"/>
      <c r="I20" s="202">
        <v>1</v>
      </c>
      <c r="J20" s="227">
        <v>-1</v>
      </c>
      <c r="K20" s="227">
        <v>1</v>
      </c>
      <c r="L20" s="202">
        <v>1</v>
      </c>
      <c r="M20" s="228">
        <v>-10</v>
      </c>
      <c r="N20" s="288">
        <v>42580</v>
      </c>
      <c r="O20">
        <f t="shared" si="20"/>
        <v>-1</v>
      </c>
      <c r="P20">
        <f t="shared" si="33"/>
        <v>-1</v>
      </c>
      <c r="Q20">
        <f t="shared" si="21"/>
        <v>-1</v>
      </c>
      <c r="R20">
        <f t="shared" si="22"/>
        <v>1</v>
      </c>
      <c r="S20">
        <f t="shared" si="23"/>
        <v>-1</v>
      </c>
      <c r="T20">
        <f t="shared" si="24"/>
        <v>-1</v>
      </c>
      <c r="U20">
        <f t="shared" si="34"/>
        <v>-1</v>
      </c>
      <c r="V20" s="354">
        <f>IF(C20&lt;&gt;"offline",VLOOKUP($A20,'FuturesInfo (3)'!$A$2:$V$80,22),0)</f>
        <v>4</v>
      </c>
      <c r="W20" s="354">
        <v>1</v>
      </c>
      <c r="X20" s="354">
        <f>VLOOKUP($A20,'FuturesInfo (3)'!$A$2:$O$80,15)*V20</f>
        <v>119240</v>
      </c>
      <c r="Y20" s="354">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'0812'!H21</f>
        <v>1</v>
      </c>
      <c r="F21" s="186">
        <f t="shared" si="19"/>
        <v>0</v>
      </c>
      <c r="G21" s="202"/>
      <c r="H21" s="202"/>
      <c r="I21" s="202">
        <v>1</v>
      </c>
      <c r="J21" s="227">
        <v>1</v>
      </c>
      <c r="K21" s="227">
        <v>1</v>
      </c>
      <c r="L21" s="202">
        <v>-1</v>
      </c>
      <c r="M21" s="228">
        <v>-4</v>
      </c>
      <c r="N21" s="288">
        <v>42590</v>
      </c>
      <c r="O21">
        <f t="shared" si="20"/>
        <v>1</v>
      </c>
      <c r="P21">
        <f t="shared" si="33"/>
        <v>1</v>
      </c>
      <c r="Q21">
        <f t="shared" si="21"/>
        <v>1</v>
      </c>
      <c r="R21">
        <f t="shared" si="22"/>
        <v>1</v>
      </c>
      <c r="S21">
        <f t="shared" si="23"/>
        <v>1</v>
      </c>
      <c r="T21">
        <f t="shared" si="24"/>
        <v>-1</v>
      </c>
      <c r="U21">
        <f t="shared" si="34"/>
        <v>1</v>
      </c>
      <c r="V21" s="354">
        <f>IF(C21&lt;&gt;"offline",VLOOKUP($A21,'FuturesInfo (3)'!$A$2:$V$80,22),0)</f>
        <v>4</v>
      </c>
      <c r="W21" s="354">
        <v>1</v>
      </c>
      <c r="X21" s="354">
        <f>VLOOKUP($A21,'FuturesInfo (3)'!$A$2:$O$80,15)*V21</f>
        <v>308860</v>
      </c>
      <c r="Y21" s="354">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28" t="s">
        <v>307</v>
      </c>
      <c r="B22" s="329" t="s">
        <v>484</v>
      </c>
      <c r="C22" s="330" t="s">
        <v>1285</v>
      </c>
      <c r="E22" s="201">
        <f>'0812'!H22</f>
        <v>1</v>
      </c>
      <c r="F22" s="186">
        <f t="shared" si="19"/>
        <v>0</v>
      </c>
      <c r="G22" s="202"/>
      <c r="H22" s="202"/>
      <c r="I22" s="227">
        <v>-1</v>
      </c>
      <c r="J22" s="227">
        <v>1</v>
      </c>
      <c r="K22" s="227">
        <v>-1</v>
      </c>
      <c r="L22" s="202">
        <v>1</v>
      </c>
      <c r="M22" s="228">
        <v>7</v>
      </c>
      <c r="N22" s="288">
        <v>42585</v>
      </c>
      <c r="O22">
        <f t="shared" si="20"/>
        <v>1</v>
      </c>
      <c r="P22">
        <f t="shared" si="33"/>
        <v>-1</v>
      </c>
      <c r="Q22">
        <f t="shared" si="21"/>
        <v>1</v>
      </c>
      <c r="R22">
        <f t="shared" si="22"/>
        <v>-1</v>
      </c>
      <c r="S22">
        <f t="shared" si="23"/>
        <v>-1</v>
      </c>
      <c r="T22">
        <f t="shared" si="24"/>
        <v>1</v>
      </c>
      <c r="U22">
        <f t="shared" si="34"/>
        <v>-1</v>
      </c>
      <c r="V22" s="354">
        <f>IF(C22&lt;&gt;"offline",VLOOKUP($A22,'FuturesInfo (3)'!$A$2:$V$80,22),0)</f>
        <v>0</v>
      </c>
      <c r="W22" s="354">
        <v>1</v>
      </c>
      <c r="X22" s="354">
        <f>VLOOKUP($A22,'FuturesInfo (3)'!$A$2:$O$80,15)*V22</f>
        <v>0</v>
      </c>
      <c r="Y22" s="354">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'0812'!H23</f>
        <v>1</v>
      </c>
      <c r="F23" s="186">
        <f t="shared" si="19"/>
        <v>0</v>
      </c>
      <c r="G23" s="202"/>
      <c r="H23" s="202"/>
      <c r="I23" s="227">
        <v>1</v>
      </c>
      <c r="J23" s="227">
        <v>1</v>
      </c>
      <c r="K23" s="227">
        <v>1</v>
      </c>
      <c r="L23" s="202">
        <v>-1</v>
      </c>
      <c r="M23" s="228">
        <v>-8</v>
      </c>
      <c r="N23" s="288">
        <v>42584</v>
      </c>
      <c r="O23">
        <f t="shared" si="20"/>
        <v>1</v>
      </c>
      <c r="P23">
        <f t="shared" si="33"/>
        <v>1</v>
      </c>
      <c r="Q23">
        <f t="shared" si="21"/>
        <v>1</v>
      </c>
      <c r="R23">
        <f t="shared" si="22"/>
        <v>1</v>
      </c>
      <c r="S23">
        <f t="shared" si="23"/>
        <v>1</v>
      </c>
      <c r="T23">
        <f t="shared" si="24"/>
        <v>-1</v>
      </c>
      <c r="U23">
        <f t="shared" si="34"/>
        <v>1</v>
      </c>
      <c r="V23" s="354">
        <f>IF(C23&lt;&gt;"offline",VLOOKUP($A23,'FuturesInfo (3)'!$A$2:$V$80,22),0)</f>
        <v>2</v>
      </c>
      <c r="W23" s="354">
        <v>1</v>
      </c>
      <c r="X23" s="354">
        <f>VLOOKUP($A23,'FuturesInfo (3)'!$A$2:$O$80,15)*V23</f>
        <v>90360</v>
      </c>
      <c r="Y23" s="354">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'0812'!H24</f>
        <v>-1</v>
      </c>
      <c r="F24" s="186">
        <f t="shared" si="19"/>
        <v>0</v>
      </c>
      <c r="G24" s="202"/>
      <c r="H24" s="233"/>
      <c r="I24" s="229">
        <v>-1</v>
      </c>
      <c r="J24" s="229">
        <v>1</v>
      </c>
      <c r="K24" s="229">
        <v>-1</v>
      </c>
      <c r="L24" s="202">
        <v>1</v>
      </c>
      <c r="M24" s="228">
        <v>5</v>
      </c>
      <c r="N24" s="288">
        <v>42587</v>
      </c>
      <c r="O24">
        <f t="shared" si="20"/>
        <v>1</v>
      </c>
      <c r="P24">
        <f t="shared" si="33"/>
        <v>-1</v>
      </c>
      <c r="Q24">
        <f t="shared" si="21"/>
        <v>1</v>
      </c>
      <c r="R24">
        <f t="shared" si="22"/>
        <v>-1</v>
      </c>
      <c r="S24">
        <f t="shared" si="23"/>
        <v>-1</v>
      </c>
      <c r="T24">
        <f t="shared" si="24"/>
        <v>-1</v>
      </c>
      <c r="U24">
        <f t="shared" si="34"/>
        <v>1</v>
      </c>
      <c r="V24" s="354">
        <f>IF(C24&lt;&gt;"offline",VLOOKUP($A24,'FuturesInfo (3)'!$A$2:$V$80,22),0)</f>
        <v>3</v>
      </c>
      <c r="W24" s="354">
        <v>1</v>
      </c>
      <c r="X24" s="354">
        <f>VLOOKUP($A24,'FuturesInfo (3)'!$A$2:$O$80,15)*V24</f>
        <v>105975</v>
      </c>
      <c r="Y24" s="354">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'0812'!H25</f>
        <v>1</v>
      </c>
      <c r="F25" s="186">
        <f t="shared" si="19"/>
        <v>0</v>
      </c>
      <c r="G25" s="202"/>
      <c r="H25" s="202"/>
      <c r="I25" s="227">
        <v>-1</v>
      </c>
      <c r="J25" s="227">
        <v>-1</v>
      </c>
      <c r="K25" s="227">
        <v>1</v>
      </c>
      <c r="L25" s="202">
        <v>1</v>
      </c>
      <c r="M25" s="228">
        <v>-8</v>
      </c>
      <c r="N25" s="288">
        <v>42584</v>
      </c>
      <c r="O25">
        <f t="shared" si="20"/>
        <v>-1</v>
      </c>
      <c r="P25">
        <f t="shared" si="33"/>
        <v>1</v>
      </c>
      <c r="Q25">
        <f t="shared" si="21"/>
        <v>-1</v>
      </c>
      <c r="R25">
        <f t="shared" si="22"/>
        <v>-1</v>
      </c>
      <c r="S25">
        <f t="shared" si="23"/>
        <v>-1</v>
      </c>
      <c r="T25">
        <f t="shared" si="24"/>
        <v>1</v>
      </c>
      <c r="U25">
        <f t="shared" si="34"/>
        <v>-1</v>
      </c>
      <c r="V25" s="354">
        <f>IF(C25&lt;&gt;"offline",VLOOKUP($A25,'FuturesInfo (3)'!$A$2:$V$80,22),0)</f>
        <v>3</v>
      </c>
      <c r="W25" s="354">
        <v>1</v>
      </c>
      <c r="X25" s="354">
        <f>VLOOKUP($A25,'FuturesInfo (3)'!$A$2:$O$80,15)*V25</f>
        <v>419156.25</v>
      </c>
      <c r="Y25" s="354">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'0812'!H26</f>
        <v>-1</v>
      </c>
      <c r="F26" s="186">
        <f t="shared" si="19"/>
        <v>0</v>
      </c>
      <c r="G26" s="202"/>
      <c r="H26" s="202"/>
      <c r="I26" s="227">
        <v>-1</v>
      </c>
      <c r="J26" s="227">
        <v>-1</v>
      </c>
      <c r="K26" s="227">
        <v>-1</v>
      </c>
      <c r="L26" s="202">
        <v>-1</v>
      </c>
      <c r="M26" s="228">
        <v>-8</v>
      </c>
      <c r="N26" s="288">
        <v>42584</v>
      </c>
      <c r="O26">
        <f t="shared" si="20"/>
        <v>1</v>
      </c>
      <c r="P26">
        <f t="shared" si="33"/>
        <v>-1</v>
      </c>
      <c r="Q26">
        <f t="shared" si="21"/>
        <v>1</v>
      </c>
      <c r="R26">
        <f t="shared" si="22"/>
        <v>1</v>
      </c>
      <c r="S26">
        <f t="shared" si="23"/>
        <v>1</v>
      </c>
      <c r="T26">
        <f t="shared" si="24"/>
        <v>-1</v>
      </c>
      <c r="U26">
        <f t="shared" si="34"/>
        <v>1</v>
      </c>
      <c r="V26" s="354">
        <f>IF(C26&lt;&gt;"offline",VLOOKUP($A26,'FuturesInfo (3)'!$A$2:$V$80,22),0)</f>
        <v>4</v>
      </c>
      <c r="W26" s="354">
        <v>1</v>
      </c>
      <c r="X26" s="354">
        <f>VLOOKUP($A26,'FuturesInfo (3)'!$A$2:$O$80,15)*V26</f>
        <v>382728</v>
      </c>
      <c r="Y26" s="354">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'0812'!H27</f>
        <v>1</v>
      </c>
      <c r="F27" s="186">
        <f t="shared" si="19"/>
        <v>0</v>
      </c>
      <c r="G27" s="202"/>
      <c r="H27" s="202"/>
      <c r="I27" s="227">
        <v>1</v>
      </c>
      <c r="J27" s="227">
        <v>-1</v>
      </c>
      <c r="K27" s="227">
        <v>1</v>
      </c>
      <c r="L27" s="202">
        <v>1</v>
      </c>
      <c r="M27" s="228">
        <v>8</v>
      </c>
      <c r="N27" s="288">
        <v>42584</v>
      </c>
      <c r="O27">
        <f t="shared" si="20"/>
        <v>1</v>
      </c>
      <c r="P27">
        <f t="shared" si="33"/>
        <v>1</v>
      </c>
      <c r="Q27">
        <f t="shared" si="21"/>
        <v>-1</v>
      </c>
      <c r="R27">
        <f t="shared" si="22"/>
        <v>-1</v>
      </c>
      <c r="S27">
        <f t="shared" si="23"/>
        <v>-1</v>
      </c>
      <c r="T27">
        <f t="shared" si="24"/>
        <v>-1</v>
      </c>
      <c r="U27">
        <f t="shared" si="34"/>
        <v>-1</v>
      </c>
      <c r="V27" s="354">
        <f>IF(C27&lt;&gt;"offline",VLOOKUP($A27,'FuturesInfo (3)'!$A$2:$V$80,22),0)</f>
        <v>3</v>
      </c>
      <c r="W27" s="354">
        <v>1</v>
      </c>
      <c r="X27" s="354">
        <f>VLOOKUP($A27,'FuturesInfo (3)'!$A$2:$O$80,15)*V27</f>
        <v>561928.77600000007</v>
      </c>
      <c r="Y27" s="354">
        <f>VLOOKUP(A27,'FuturesInfo (3)'!$A$2:$AI$80,35)*V27</f>
        <v>12978.150000000001</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'0812'!H28</f>
        <v>1</v>
      </c>
      <c r="F28" s="186">
        <f t="shared" si="19"/>
        <v>0</v>
      </c>
      <c r="G28" s="202"/>
      <c r="H28" s="202"/>
      <c r="I28" s="227">
        <v>-1</v>
      </c>
      <c r="J28" s="227">
        <v>1</v>
      </c>
      <c r="K28" s="227">
        <v>-1</v>
      </c>
      <c r="L28" s="202">
        <v>1</v>
      </c>
      <c r="M28" s="228">
        <v>8</v>
      </c>
      <c r="N28" s="288">
        <v>42584</v>
      </c>
      <c r="O28">
        <f t="shared" si="20"/>
        <v>1</v>
      </c>
      <c r="P28">
        <f t="shared" si="33"/>
        <v>-1</v>
      </c>
      <c r="Q28">
        <f t="shared" si="21"/>
        <v>1</v>
      </c>
      <c r="R28">
        <f t="shared" si="22"/>
        <v>-1</v>
      </c>
      <c r="S28">
        <f t="shared" si="23"/>
        <v>-1</v>
      </c>
      <c r="T28">
        <f t="shared" si="24"/>
        <v>1</v>
      </c>
      <c r="U28">
        <f t="shared" si="34"/>
        <v>-1</v>
      </c>
      <c r="V28" s="354">
        <f>IF(C28&lt;&gt;"offline",VLOOKUP($A28,'FuturesInfo (3)'!$A$2:$V$80,22),0)</f>
        <v>9</v>
      </c>
      <c r="W28" s="354">
        <v>1</v>
      </c>
      <c r="X28" s="354">
        <f>VLOOKUP($A28,'FuturesInfo (3)'!$A$2:$O$80,15)*V28</f>
        <v>1343565.0719999999</v>
      </c>
      <c r="Y28" s="354">
        <f>VLOOKUP(A28,'FuturesInfo (3)'!$A$2:$AI$80,35)*V28</f>
        <v>13313.07</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28" t="s">
        <v>320</v>
      </c>
      <c r="B29" s="329" t="s">
        <v>564</v>
      </c>
      <c r="C29" s="330" t="s">
        <v>1285</v>
      </c>
      <c r="E29" s="201">
        <f>'0812'!H29</f>
        <v>-1</v>
      </c>
      <c r="F29" s="186">
        <f t="shared" si="19"/>
        <v>0</v>
      </c>
      <c r="G29" s="202"/>
      <c r="H29" s="202"/>
      <c r="I29" s="227">
        <v>1</v>
      </c>
      <c r="J29" s="227">
        <v>1</v>
      </c>
      <c r="K29" s="227">
        <v>1</v>
      </c>
      <c r="L29" s="202">
        <v>1</v>
      </c>
      <c r="M29" s="228">
        <v>8</v>
      </c>
      <c r="N29" s="288">
        <v>42584</v>
      </c>
      <c r="O29">
        <f t="shared" si="20"/>
        <v>1</v>
      </c>
      <c r="P29">
        <f t="shared" si="33"/>
        <v>-1</v>
      </c>
      <c r="Q29">
        <f t="shared" si="21"/>
        <v>1</v>
      </c>
      <c r="R29">
        <f t="shared" si="22"/>
        <v>1</v>
      </c>
      <c r="S29">
        <f t="shared" si="23"/>
        <v>1</v>
      </c>
      <c r="T29">
        <f t="shared" si="24"/>
        <v>-1</v>
      </c>
      <c r="U29">
        <f t="shared" si="34"/>
        <v>1</v>
      </c>
      <c r="V29" s="354">
        <f>IF(C29&lt;&gt;"offline",VLOOKUP($A29,'FuturesInfo (3)'!$A$2:$V$80,22),0)</f>
        <v>0</v>
      </c>
      <c r="W29" s="354">
        <v>1</v>
      </c>
      <c r="X29" s="354">
        <f>VLOOKUP($A29,'FuturesInfo (3)'!$A$2:$O$80,15)*V29</f>
        <v>0</v>
      </c>
      <c r="Y29" s="354">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28" t="s">
        <v>323</v>
      </c>
      <c r="B30" s="329" t="s">
        <v>581</v>
      </c>
      <c r="C30" s="330" t="s">
        <v>1285</v>
      </c>
      <c r="E30" s="201">
        <f>'0812'!H30</f>
        <v>1</v>
      </c>
      <c r="F30" s="186">
        <f t="shared" si="19"/>
        <v>0</v>
      </c>
      <c r="G30" s="202"/>
      <c r="H30" s="202"/>
      <c r="I30" s="227">
        <v>1</v>
      </c>
      <c r="J30" s="227">
        <v>-1</v>
      </c>
      <c r="K30" s="227">
        <v>1</v>
      </c>
      <c r="L30" s="202">
        <v>-1</v>
      </c>
      <c r="M30" s="228">
        <v>3</v>
      </c>
      <c r="N30" s="288">
        <v>42580</v>
      </c>
      <c r="O30">
        <f t="shared" si="20"/>
        <v>-1</v>
      </c>
      <c r="P30">
        <f t="shared" si="33"/>
        <v>1</v>
      </c>
      <c r="Q30">
        <f t="shared" si="21"/>
        <v>-1</v>
      </c>
      <c r="R30">
        <f t="shared" si="22"/>
        <v>1</v>
      </c>
      <c r="S30">
        <f t="shared" si="23"/>
        <v>1</v>
      </c>
      <c r="T30">
        <f t="shared" si="24"/>
        <v>1</v>
      </c>
      <c r="U30">
        <f t="shared" si="34"/>
        <v>-1</v>
      </c>
      <c r="V30" s="354">
        <f>IF(C30&lt;&gt;"offline",VLOOKUP($A30,'FuturesInfo (3)'!$A$2:$V$80,22),0)</f>
        <v>0</v>
      </c>
      <c r="W30" s="354">
        <v>1</v>
      </c>
      <c r="X30" s="354">
        <f>VLOOKUP($A30,'FuturesInfo (3)'!$A$2:$O$80,15)*V30</f>
        <v>0</v>
      </c>
      <c r="Y30" s="354">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'0812'!H31</f>
        <v>-1</v>
      </c>
      <c r="F31" s="186">
        <f t="shared" si="19"/>
        <v>0</v>
      </c>
      <c r="G31" s="202"/>
      <c r="H31" s="202"/>
      <c r="I31" s="227">
        <v>-1</v>
      </c>
      <c r="J31" s="227">
        <v>1</v>
      </c>
      <c r="K31" s="227">
        <v>-1</v>
      </c>
      <c r="L31" s="202">
        <v>1</v>
      </c>
      <c r="M31" s="228">
        <v>-22</v>
      </c>
      <c r="N31" s="288">
        <v>42564</v>
      </c>
      <c r="O31">
        <f t="shared" si="20"/>
        <v>-1</v>
      </c>
      <c r="P31">
        <f t="shared" si="33"/>
        <v>-1</v>
      </c>
      <c r="Q31">
        <f t="shared" si="21"/>
        <v>1</v>
      </c>
      <c r="R31">
        <f t="shared" si="22"/>
        <v>-1</v>
      </c>
      <c r="S31">
        <f t="shared" si="23"/>
        <v>-1</v>
      </c>
      <c r="T31">
        <f t="shared" si="24"/>
        <v>1</v>
      </c>
      <c r="U31">
        <f t="shared" si="34"/>
        <v>1</v>
      </c>
      <c r="V31" s="354">
        <f>IF(C31&lt;&gt;"offline",VLOOKUP($A31,'FuturesInfo (3)'!$A$2:$V$80,22),0)</f>
        <v>2</v>
      </c>
      <c r="W31" s="354">
        <v>1</v>
      </c>
      <c r="X31" s="354">
        <f>VLOOKUP($A31,'FuturesInfo (3)'!$A$2:$O$80,15)*V31</f>
        <v>311120</v>
      </c>
      <c r="Y31" s="354">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'0812'!H32</f>
        <v>-1</v>
      </c>
      <c r="F32" s="186">
        <f t="shared" si="19"/>
        <v>0</v>
      </c>
      <c r="G32" s="202"/>
      <c r="H32" s="202"/>
      <c r="I32" s="227">
        <v>1</v>
      </c>
      <c r="J32" s="227">
        <v>-1</v>
      </c>
      <c r="K32" s="227">
        <v>1</v>
      </c>
      <c r="L32" s="202">
        <v>-1</v>
      </c>
      <c r="M32" s="228">
        <v>-20</v>
      </c>
      <c r="N32" s="288">
        <v>42566</v>
      </c>
      <c r="O32">
        <f t="shared" si="20"/>
        <v>1</v>
      </c>
      <c r="P32">
        <f t="shared" si="33"/>
        <v>1</v>
      </c>
      <c r="Q32">
        <f t="shared" si="21"/>
        <v>1</v>
      </c>
      <c r="R32">
        <f t="shared" si="22"/>
        <v>1</v>
      </c>
      <c r="S32">
        <f t="shared" si="23"/>
        <v>1</v>
      </c>
      <c r="T32">
        <f t="shared" si="24"/>
        <v>-1</v>
      </c>
      <c r="U32">
        <f t="shared" si="34"/>
        <v>1</v>
      </c>
      <c r="V32" s="354">
        <f>IF(C32&lt;&gt;"offline",VLOOKUP($A32,'FuturesInfo (3)'!$A$2:$V$80,22),0)</f>
        <v>3</v>
      </c>
      <c r="W32" s="354">
        <v>1</v>
      </c>
      <c r="X32" s="354">
        <f>VLOOKUP($A32,'FuturesInfo (3)'!$A$2:$O$80,15)*V32</f>
        <v>327037.5</v>
      </c>
      <c r="Y32" s="354">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'0812'!H33</f>
        <v>1</v>
      </c>
      <c r="F33" s="186">
        <f t="shared" si="19"/>
        <v>0</v>
      </c>
      <c r="G33" s="202"/>
      <c r="H33" s="234"/>
      <c r="I33" s="230">
        <v>1</v>
      </c>
      <c r="J33" s="230">
        <v>-1</v>
      </c>
      <c r="K33" s="230">
        <v>1</v>
      </c>
      <c r="L33" s="202">
        <v>-1</v>
      </c>
      <c r="M33" s="228">
        <v>16</v>
      </c>
      <c r="N33" s="288">
        <v>42572</v>
      </c>
      <c r="O33">
        <f t="shared" si="20"/>
        <v>-1</v>
      </c>
      <c r="P33">
        <f t="shared" si="33"/>
        <v>1</v>
      </c>
      <c r="Q33">
        <f t="shared" si="21"/>
        <v>-1</v>
      </c>
      <c r="R33">
        <f t="shared" si="22"/>
        <v>1</v>
      </c>
      <c r="S33">
        <f t="shared" si="23"/>
        <v>1</v>
      </c>
      <c r="T33">
        <f t="shared" si="24"/>
        <v>1</v>
      </c>
      <c r="U33">
        <f t="shared" si="34"/>
        <v>-1</v>
      </c>
      <c r="V33" s="354">
        <f>IF(C33&lt;&gt;"offline",VLOOKUP($A33,'FuturesInfo (3)'!$A$2:$V$80,22),0)</f>
        <v>2</v>
      </c>
      <c r="W33" s="354">
        <v>1</v>
      </c>
      <c r="X33" s="354">
        <f>VLOOKUP($A33,'FuturesInfo (3)'!$A$2:$O$80,15)*V33</f>
        <v>144250</v>
      </c>
      <c r="Y33" s="354">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'0812'!H34</f>
        <v>-1</v>
      </c>
      <c r="F34" s="186">
        <f t="shared" si="19"/>
        <v>0</v>
      </c>
      <c r="G34" s="202"/>
      <c r="H34" s="202"/>
      <c r="I34" s="227">
        <v>1</v>
      </c>
      <c r="J34" s="227">
        <v>-1</v>
      </c>
      <c r="K34" s="227">
        <v>1</v>
      </c>
      <c r="L34" s="202">
        <v>-1</v>
      </c>
      <c r="M34" s="228">
        <v>-7</v>
      </c>
      <c r="N34" s="288">
        <v>42585</v>
      </c>
      <c r="O34">
        <f t="shared" si="20"/>
        <v>1</v>
      </c>
      <c r="P34">
        <f t="shared" si="33"/>
        <v>1</v>
      </c>
      <c r="Q34">
        <f t="shared" si="21"/>
        <v>1</v>
      </c>
      <c r="R34">
        <f t="shared" si="22"/>
        <v>1</v>
      </c>
      <c r="S34">
        <f t="shared" si="23"/>
        <v>1</v>
      </c>
      <c r="T34">
        <f t="shared" si="24"/>
        <v>-1</v>
      </c>
      <c r="U34">
        <f t="shared" si="34"/>
        <v>1</v>
      </c>
      <c r="V34" s="354">
        <f>IF(C34&lt;&gt;"offline",VLOOKUP($A34,'FuturesInfo (3)'!$A$2:$V$80,22),0)</f>
        <v>4</v>
      </c>
      <c r="W34" s="354">
        <v>1</v>
      </c>
      <c r="X34" s="354">
        <f>VLOOKUP($A34,'FuturesInfo (3)'!$A$2:$O$80,15)*V34</f>
        <v>200974.32800000001</v>
      </c>
      <c r="Y34" s="354">
        <f>VLOOKUP(A34,'FuturesInfo (3)'!$A$2:$AI$80,35)*V34</f>
        <v>2447.1487999999999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'0812'!H35</f>
        <v>-1</v>
      </c>
      <c r="F35" s="186">
        <f t="shared" si="19"/>
        <v>0</v>
      </c>
      <c r="G35" s="202"/>
      <c r="H35" s="202"/>
      <c r="I35" s="227">
        <v>-1</v>
      </c>
      <c r="J35" s="227">
        <v>-1</v>
      </c>
      <c r="K35" s="227">
        <v>-1</v>
      </c>
      <c r="L35" s="202">
        <v>-1</v>
      </c>
      <c r="M35" s="228">
        <v>-21</v>
      </c>
      <c r="N35" s="288">
        <v>42565</v>
      </c>
      <c r="O35">
        <f t="shared" si="20"/>
        <v>1</v>
      </c>
      <c r="P35">
        <f t="shared" si="33"/>
        <v>-1</v>
      </c>
      <c r="Q35">
        <f t="shared" si="21"/>
        <v>1</v>
      </c>
      <c r="R35">
        <f t="shared" si="22"/>
        <v>1</v>
      </c>
      <c r="S35">
        <f t="shared" si="23"/>
        <v>1</v>
      </c>
      <c r="T35">
        <f t="shared" si="24"/>
        <v>-1</v>
      </c>
      <c r="U35">
        <f t="shared" si="34"/>
        <v>1</v>
      </c>
      <c r="V35" s="354">
        <f>IF(C35&lt;&gt;"offline",VLOOKUP($A35,'FuturesInfo (3)'!$A$2:$V$80,22),0)</f>
        <v>3</v>
      </c>
      <c r="W35" s="354">
        <v>1</v>
      </c>
      <c r="X35" s="354">
        <f>VLOOKUP($A35,'FuturesInfo (3)'!$A$2:$O$80,15)*V35</f>
        <v>179466.88200000001</v>
      </c>
      <c r="Y35" s="354">
        <f>VLOOKUP(A35,'FuturesInfo (3)'!$A$2:$AI$80,35)*V35</f>
        <v>17415.84</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28" t="s">
        <v>335</v>
      </c>
      <c r="B36" s="329" t="s">
        <v>568</v>
      </c>
      <c r="C36" s="330" t="s">
        <v>1285</v>
      </c>
      <c r="E36" s="201">
        <f>'0812'!H36</f>
        <v>1</v>
      </c>
      <c r="F36" s="186">
        <f t="shared" si="19"/>
        <v>0</v>
      </c>
      <c r="G36" s="291"/>
      <c r="H36" s="202"/>
      <c r="I36" s="227">
        <v>1</v>
      </c>
      <c r="J36" s="227">
        <v>1</v>
      </c>
      <c r="K36" s="227">
        <v>1</v>
      </c>
      <c r="L36" s="202">
        <v>1</v>
      </c>
      <c r="M36" s="228">
        <v>-16</v>
      </c>
      <c r="N36" s="288">
        <v>42572</v>
      </c>
      <c r="O36">
        <f t="shared" si="20"/>
        <v>-1</v>
      </c>
      <c r="P36">
        <f t="shared" si="33"/>
        <v>1</v>
      </c>
      <c r="Q36">
        <f t="shared" si="21"/>
        <v>-1</v>
      </c>
      <c r="R36">
        <f t="shared" si="22"/>
        <v>-1</v>
      </c>
      <c r="S36">
        <f t="shared" si="23"/>
        <v>-1</v>
      </c>
      <c r="T36">
        <f t="shared" si="24"/>
        <v>1</v>
      </c>
      <c r="U36">
        <f t="shared" si="34"/>
        <v>-1</v>
      </c>
      <c r="V36" s="354">
        <f>IF(C36&lt;&gt;"offline",VLOOKUP($A36,'FuturesInfo (3)'!$A$2:$V$80,22),0)</f>
        <v>0</v>
      </c>
      <c r="W36" s="354">
        <v>1</v>
      </c>
      <c r="X36" s="354">
        <f>VLOOKUP($A36,'FuturesInfo (3)'!$A$2:$O$80,15)*V36</f>
        <v>0</v>
      </c>
      <c r="Y36" s="354">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'0812'!H37</f>
        <v>1</v>
      </c>
      <c r="F37" s="186">
        <f t="shared" si="19"/>
        <v>0</v>
      </c>
      <c r="G37" s="202"/>
      <c r="H37" s="202"/>
      <c r="I37" s="227">
        <v>1</v>
      </c>
      <c r="J37" s="227">
        <v>1</v>
      </c>
      <c r="K37" s="227">
        <v>1</v>
      </c>
      <c r="L37" s="202">
        <v>1</v>
      </c>
      <c r="M37" s="228">
        <v>13</v>
      </c>
      <c r="N37" s="288">
        <v>42577</v>
      </c>
      <c r="O37">
        <f t="shared" si="20"/>
        <v>1</v>
      </c>
      <c r="P37">
        <f t="shared" si="33"/>
        <v>1</v>
      </c>
      <c r="Q37">
        <f t="shared" si="21"/>
        <v>1</v>
      </c>
      <c r="R37">
        <f t="shared" si="22"/>
        <v>-1</v>
      </c>
      <c r="S37">
        <f t="shared" si="23"/>
        <v>1</v>
      </c>
      <c r="T37">
        <f t="shared" si="24"/>
        <v>-1</v>
      </c>
      <c r="U37">
        <f t="shared" si="34"/>
        <v>-1</v>
      </c>
      <c r="V37" s="354">
        <f>IF(C37&lt;&gt;"offline",VLOOKUP($A37,'FuturesInfo (3)'!$A$2:$V$80,22),0)</f>
        <v>3</v>
      </c>
      <c r="W37" s="354">
        <v>1</v>
      </c>
      <c r="X37" s="354">
        <f>VLOOKUP($A37,'FuturesInfo (3)'!$A$2:$O$80,15)*V37</f>
        <v>267557.98800000001</v>
      </c>
      <c r="Y37" s="354">
        <f>VLOOKUP(A37,'FuturesInfo (3)'!$A$2:$AI$80,35)*V37</f>
        <v>16499.054400000001</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'0812'!H38</f>
        <v>1</v>
      </c>
      <c r="F38" s="186">
        <f t="shared" si="19"/>
        <v>0</v>
      </c>
      <c r="G38" s="202"/>
      <c r="H38" s="202"/>
      <c r="I38" s="227">
        <v>-1</v>
      </c>
      <c r="J38" s="227">
        <v>-1</v>
      </c>
      <c r="K38" s="227">
        <v>1</v>
      </c>
      <c r="L38" s="202">
        <v>1</v>
      </c>
      <c r="M38" s="228">
        <v>8</v>
      </c>
      <c r="N38" s="288">
        <v>42584</v>
      </c>
      <c r="O38">
        <f t="shared" si="20"/>
        <v>1</v>
      </c>
      <c r="P38">
        <f t="shared" si="33"/>
        <v>1</v>
      </c>
      <c r="Q38">
        <f t="shared" si="21"/>
        <v>-1</v>
      </c>
      <c r="R38">
        <f t="shared" si="22"/>
        <v>-1</v>
      </c>
      <c r="S38">
        <f t="shared" si="23"/>
        <v>-1</v>
      </c>
      <c r="T38">
        <f t="shared" si="24"/>
        <v>-1</v>
      </c>
      <c r="U38">
        <f t="shared" si="34"/>
        <v>-1</v>
      </c>
      <c r="V38" s="354">
        <f>IF(C38&lt;&gt;"offline",VLOOKUP($A38,'FuturesInfo (3)'!$A$2:$V$80,22),0)</f>
        <v>3</v>
      </c>
      <c r="W38" s="354">
        <v>1</v>
      </c>
      <c r="X38" s="354">
        <f>VLOOKUP($A38,'FuturesInfo (3)'!$A$2:$O$80,15)*V38</f>
        <v>514095.35999999999</v>
      </c>
      <c r="Y38" s="354">
        <f>VLOOKUP(A38,'FuturesInfo (3)'!$A$2:$AI$80,35)*V38</f>
        <v>15240.9144</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28" t="s">
        <v>341</v>
      </c>
      <c r="B39" s="329" t="s">
        <v>453</v>
      </c>
      <c r="C39" s="330" t="s">
        <v>1285</v>
      </c>
      <c r="E39" s="201">
        <f>'0812'!H39</f>
        <v>1</v>
      </c>
      <c r="F39" s="186">
        <f t="shared" si="19"/>
        <v>0</v>
      </c>
      <c r="G39" s="202"/>
      <c r="H39" s="202"/>
      <c r="I39" s="227">
        <v>1</v>
      </c>
      <c r="J39" s="227">
        <v>1</v>
      </c>
      <c r="K39" s="227">
        <v>1</v>
      </c>
      <c r="L39" s="202">
        <v>1</v>
      </c>
      <c r="M39" s="228">
        <v>7</v>
      </c>
      <c r="N39" s="288">
        <v>42585</v>
      </c>
      <c r="O39">
        <f t="shared" si="20"/>
        <v>1</v>
      </c>
      <c r="P39">
        <f t="shared" si="33"/>
        <v>1</v>
      </c>
      <c r="Q39">
        <f t="shared" si="21"/>
        <v>1</v>
      </c>
      <c r="R39">
        <f t="shared" si="22"/>
        <v>-1</v>
      </c>
      <c r="S39">
        <f t="shared" si="23"/>
        <v>1</v>
      </c>
      <c r="T39">
        <f t="shared" si="24"/>
        <v>-1</v>
      </c>
      <c r="U39">
        <f t="shared" si="34"/>
        <v>-1</v>
      </c>
      <c r="V39" s="354">
        <f>IF(C39&lt;&gt;"offline",VLOOKUP($A39,'FuturesInfo (3)'!$A$2:$V$80,22),0)</f>
        <v>0</v>
      </c>
      <c r="W39" s="354">
        <v>1</v>
      </c>
      <c r="X39" s="354">
        <f>VLOOKUP($A39,'FuturesInfo (3)'!$A$2:$O$80,15)*V39</f>
        <v>0</v>
      </c>
      <c r="Y39" s="354">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'0812'!H40</f>
        <v>1</v>
      </c>
      <c r="F40" s="186">
        <f t="shared" si="19"/>
        <v>0</v>
      </c>
      <c r="G40" s="202"/>
      <c r="H40" s="202"/>
      <c r="I40" s="227">
        <v>-1</v>
      </c>
      <c r="J40" s="227">
        <v>-1</v>
      </c>
      <c r="K40" s="227">
        <v>-1</v>
      </c>
      <c r="L40" s="202">
        <v>1</v>
      </c>
      <c r="M40" s="228">
        <v>-6</v>
      </c>
      <c r="N40" s="288">
        <v>42586</v>
      </c>
      <c r="O40">
        <f t="shared" si="20"/>
        <v>-1</v>
      </c>
      <c r="P40">
        <f t="shared" si="33"/>
        <v>-1</v>
      </c>
      <c r="Q40">
        <f t="shared" si="21"/>
        <v>-1</v>
      </c>
      <c r="R40">
        <f t="shared" si="22"/>
        <v>-1</v>
      </c>
      <c r="S40">
        <f t="shared" si="23"/>
        <v>-1</v>
      </c>
      <c r="T40">
        <f t="shared" si="24"/>
        <v>1</v>
      </c>
      <c r="U40">
        <f t="shared" si="34"/>
        <v>-1</v>
      </c>
      <c r="V40" s="354">
        <f>IF(C40&lt;&gt;"offline",VLOOKUP($A40,'FuturesInfo (3)'!$A$2:$V$80,22),0)</f>
        <v>7</v>
      </c>
      <c r="W40" s="354">
        <v>1</v>
      </c>
      <c r="X40" s="354">
        <f>VLOOKUP($A40,'FuturesInfo (3)'!$A$2:$O$80,15)*V40</f>
        <v>851867.1875</v>
      </c>
      <c r="Y40" s="354">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'0812'!H41</f>
        <v>-1</v>
      </c>
      <c r="F41" s="186">
        <f t="shared" si="19"/>
        <v>0</v>
      </c>
      <c r="G41" s="202"/>
      <c r="H41" s="202"/>
      <c r="I41" s="227">
        <v>-1</v>
      </c>
      <c r="J41" s="227">
        <v>1</v>
      </c>
      <c r="K41" s="227">
        <v>-1</v>
      </c>
      <c r="L41" s="202">
        <v>1</v>
      </c>
      <c r="M41" s="228">
        <v>-8</v>
      </c>
      <c r="N41" s="288">
        <v>42584</v>
      </c>
      <c r="O41">
        <f t="shared" si="20"/>
        <v>-1</v>
      </c>
      <c r="P41">
        <f t="shared" si="33"/>
        <v>-1</v>
      </c>
      <c r="Q41">
        <f t="shared" si="21"/>
        <v>1</v>
      </c>
      <c r="R41">
        <f t="shared" si="22"/>
        <v>-1</v>
      </c>
      <c r="S41">
        <f t="shared" si="23"/>
        <v>-1</v>
      </c>
      <c r="T41">
        <f t="shared" si="24"/>
        <v>1</v>
      </c>
      <c r="U41">
        <f t="shared" si="34"/>
        <v>1</v>
      </c>
      <c r="V41" s="354">
        <f>IF(C41&lt;&gt;"offline",VLOOKUP($A41,'FuturesInfo (3)'!$A$2:$V$80,22),0)</f>
        <v>2</v>
      </c>
      <c r="W41" s="354">
        <v>1</v>
      </c>
      <c r="X41" s="354">
        <f>VLOOKUP($A41,'FuturesInfo (3)'!$A$2:$O$80,15)*V41</f>
        <v>268640</v>
      </c>
      <c r="Y41" s="354">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'0812'!H42</f>
        <v>1</v>
      </c>
      <c r="F42" s="186">
        <f t="shared" si="19"/>
        <v>0</v>
      </c>
      <c r="G42" s="202"/>
      <c r="H42" s="202"/>
      <c r="I42" s="227">
        <v>-1</v>
      </c>
      <c r="J42" s="227">
        <v>-1</v>
      </c>
      <c r="K42" s="227">
        <v>-1</v>
      </c>
      <c r="L42" s="202">
        <v>-1</v>
      </c>
      <c r="M42" s="228">
        <v>-8</v>
      </c>
      <c r="N42" s="288">
        <v>42583</v>
      </c>
      <c r="O42">
        <f t="shared" si="20"/>
        <v>1</v>
      </c>
      <c r="P42">
        <f t="shared" si="33"/>
        <v>1</v>
      </c>
      <c r="Q42">
        <f t="shared" si="21"/>
        <v>-1</v>
      </c>
      <c r="R42">
        <f t="shared" si="22"/>
        <v>-1</v>
      </c>
      <c r="S42">
        <f t="shared" si="23"/>
        <v>-1</v>
      </c>
      <c r="T42">
        <f t="shared" si="24"/>
        <v>1</v>
      </c>
      <c r="U42">
        <f t="shared" si="34"/>
        <v>-1</v>
      </c>
      <c r="V42" s="354">
        <f>IF(C42&lt;&gt;"offline",VLOOKUP($A42,'FuturesInfo (3)'!$A$2:$V$80,22),0)</f>
        <v>3</v>
      </c>
      <c r="W42" s="354">
        <v>1</v>
      </c>
      <c r="X42" s="354">
        <f>VLOOKUP($A42,'FuturesInfo (3)'!$A$2:$O$80,15)*V42</f>
        <v>184523.19587628866</v>
      </c>
      <c r="Y42" s="354">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'0812'!H43</f>
        <v>-1</v>
      </c>
      <c r="F43" s="186">
        <f t="shared" si="19"/>
        <v>0</v>
      </c>
      <c r="G43" s="202"/>
      <c r="H43" s="202"/>
      <c r="I43" s="227">
        <v>1</v>
      </c>
      <c r="J43" s="227">
        <v>1</v>
      </c>
      <c r="K43" s="227">
        <v>-1</v>
      </c>
      <c r="L43" s="202">
        <v>-1</v>
      </c>
      <c r="M43" s="228">
        <v>10</v>
      </c>
      <c r="N43" s="288">
        <v>42580</v>
      </c>
      <c r="O43">
        <f t="shared" si="20"/>
        <v>-1</v>
      </c>
      <c r="P43">
        <f t="shared" si="33"/>
        <v>-1</v>
      </c>
      <c r="Q43">
        <f t="shared" si="21"/>
        <v>1</v>
      </c>
      <c r="R43">
        <f t="shared" si="22"/>
        <v>1</v>
      </c>
      <c r="S43">
        <f t="shared" si="23"/>
        <v>1</v>
      </c>
      <c r="T43">
        <f t="shared" si="24"/>
        <v>1</v>
      </c>
      <c r="U43">
        <f t="shared" si="34"/>
        <v>1</v>
      </c>
      <c r="V43" s="354">
        <f>IF(C43&lt;&gt;"offline",VLOOKUP($A43,'FuturesInfo (3)'!$A$2:$V$80,22),0)</f>
        <v>2</v>
      </c>
      <c r="W43" s="354">
        <v>1</v>
      </c>
      <c r="X43" s="354">
        <f>VLOOKUP($A43,'FuturesInfo (3)'!$A$2:$O$80,15)*V43</f>
        <v>107575</v>
      </c>
      <c r="Y43" s="354">
        <f>VLOOKUP(A43,'FuturesInfo (3)'!$A$2:$AI$80,35)*V43</f>
        <v>5750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'0812'!H44</f>
        <v>1</v>
      </c>
      <c r="F44" s="186">
        <f t="shared" si="19"/>
        <v>0</v>
      </c>
      <c r="G44" s="202"/>
      <c r="H44" s="202"/>
      <c r="I44" s="227">
        <v>1</v>
      </c>
      <c r="J44" s="227">
        <v>-1</v>
      </c>
      <c r="K44" s="227">
        <v>1</v>
      </c>
      <c r="L44" s="202">
        <v>-1</v>
      </c>
      <c r="M44" s="228">
        <v>-8</v>
      </c>
      <c r="N44" s="288">
        <v>42583</v>
      </c>
      <c r="O44">
        <f t="shared" si="20"/>
        <v>1</v>
      </c>
      <c r="P44">
        <f t="shared" si="33"/>
        <v>1</v>
      </c>
      <c r="Q44">
        <f t="shared" si="21"/>
        <v>-1</v>
      </c>
      <c r="R44">
        <f t="shared" si="22"/>
        <v>1</v>
      </c>
      <c r="S44">
        <f t="shared" si="23"/>
        <v>1</v>
      </c>
      <c r="T44">
        <f t="shared" si="24"/>
        <v>-1</v>
      </c>
      <c r="U44">
        <f t="shared" si="34"/>
        <v>-1</v>
      </c>
      <c r="V44" s="354">
        <f>IF(C44&lt;&gt;"offline",VLOOKUP($A44,'FuturesInfo (3)'!$A$2:$V$80,22),0)</f>
        <v>2</v>
      </c>
      <c r="W44" s="354">
        <v>1</v>
      </c>
      <c r="X44" s="354">
        <f>VLOOKUP($A44,'FuturesInfo (3)'!$A$2:$O$80,15)*V44</f>
        <v>293260.3092783505</v>
      </c>
      <c r="Y44" s="354">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'0812'!H45</f>
        <v>1</v>
      </c>
      <c r="F45" s="186">
        <f t="shared" si="19"/>
        <v>0</v>
      </c>
      <c r="G45" s="202"/>
      <c r="H45" s="202"/>
      <c r="I45" s="227">
        <v>1</v>
      </c>
      <c r="J45" s="227">
        <v>-1</v>
      </c>
      <c r="K45" s="227">
        <v>1</v>
      </c>
      <c r="L45" s="202">
        <v>1</v>
      </c>
      <c r="M45" s="228">
        <v>9</v>
      </c>
      <c r="N45" s="288">
        <v>42583</v>
      </c>
      <c r="O45">
        <f t="shared" si="20"/>
        <v>1</v>
      </c>
      <c r="P45">
        <f t="shared" si="33"/>
        <v>1</v>
      </c>
      <c r="Q45">
        <f t="shared" si="21"/>
        <v>-1</v>
      </c>
      <c r="R45">
        <f t="shared" si="22"/>
        <v>-1</v>
      </c>
      <c r="S45">
        <f t="shared" si="23"/>
        <v>-1</v>
      </c>
      <c r="T45">
        <f t="shared" si="24"/>
        <v>-1</v>
      </c>
      <c r="U45">
        <f t="shared" si="34"/>
        <v>-1</v>
      </c>
      <c r="V45" s="354">
        <f>IF(C45&lt;&gt;"offline",VLOOKUP($A45,'FuturesInfo (3)'!$A$2:$V$80,22),0)</f>
        <v>2</v>
      </c>
      <c r="W45" s="354">
        <v>1</v>
      </c>
      <c r="X45" s="354">
        <f>VLOOKUP($A45,'FuturesInfo (3)'!$A$2:$O$80,15)*V45</f>
        <v>118322.40000000001</v>
      </c>
      <c r="Y45" s="354">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'0812'!H46</f>
        <v>1</v>
      </c>
      <c r="F46" s="186">
        <f t="shared" si="19"/>
        <v>0</v>
      </c>
      <c r="G46" s="202"/>
      <c r="H46" s="202"/>
      <c r="I46" s="227">
        <v>1</v>
      </c>
      <c r="J46" s="227">
        <v>1</v>
      </c>
      <c r="K46" s="227">
        <v>1</v>
      </c>
      <c r="L46" s="202">
        <v>1</v>
      </c>
      <c r="M46" s="228">
        <v>4</v>
      </c>
      <c r="N46" s="288">
        <v>42590</v>
      </c>
      <c r="O46">
        <f t="shared" si="20"/>
        <v>1</v>
      </c>
      <c r="P46">
        <f t="shared" si="33"/>
        <v>1</v>
      </c>
      <c r="Q46">
        <f t="shared" si="21"/>
        <v>1</v>
      </c>
      <c r="R46">
        <f t="shared" si="22"/>
        <v>-1</v>
      </c>
      <c r="S46">
        <f t="shared" si="23"/>
        <v>1</v>
      </c>
      <c r="T46">
        <f t="shared" si="24"/>
        <v>-1</v>
      </c>
      <c r="U46">
        <f t="shared" si="34"/>
        <v>-1</v>
      </c>
      <c r="V46" s="354">
        <f>IF(C46&lt;&gt;"offline",VLOOKUP($A46,'FuturesInfo (3)'!$A$2:$V$80,22),0)</f>
        <v>2</v>
      </c>
      <c r="W46" s="354">
        <v>1</v>
      </c>
      <c r="X46" s="354">
        <f>VLOOKUP($A46,'FuturesInfo (3)'!$A$2:$O$80,15)*V46</f>
        <v>247225</v>
      </c>
      <c r="Y46" s="354">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'0812'!H47</f>
        <v>-1</v>
      </c>
      <c r="F47" s="186">
        <f t="shared" si="19"/>
        <v>0</v>
      </c>
      <c r="G47" s="202"/>
      <c r="H47" s="202"/>
      <c r="I47" s="227">
        <v>-1</v>
      </c>
      <c r="J47" s="227">
        <v>1</v>
      </c>
      <c r="K47" s="227">
        <v>-1</v>
      </c>
      <c r="L47" s="202">
        <v>1</v>
      </c>
      <c r="M47" s="228">
        <v>4</v>
      </c>
      <c r="N47" s="288">
        <v>42590</v>
      </c>
      <c r="O47">
        <f t="shared" si="20"/>
        <v>1</v>
      </c>
      <c r="P47">
        <f t="shared" si="33"/>
        <v>-1</v>
      </c>
      <c r="Q47">
        <f t="shared" si="21"/>
        <v>1</v>
      </c>
      <c r="R47">
        <f t="shared" si="22"/>
        <v>-1</v>
      </c>
      <c r="S47">
        <f t="shared" si="23"/>
        <v>-1</v>
      </c>
      <c r="T47">
        <f t="shared" si="24"/>
        <v>-1</v>
      </c>
      <c r="U47">
        <f t="shared" si="34"/>
        <v>1</v>
      </c>
      <c r="V47" s="354">
        <f>IF(C47&lt;&gt;"offline",VLOOKUP($A47,'FuturesInfo (3)'!$A$2:$V$80,22),0)</f>
        <v>2</v>
      </c>
      <c r="W47" s="354">
        <v>1</v>
      </c>
      <c r="X47" s="354">
        <f>VLOOKUP($A47,'FuturesInfo (3)'!$A$2:$O$80,15)*V47</f>
        <v>105262.5</v>
      </c>
      <c r="Y47" s="354">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'0812'!H48</f>
        <v>1</v>
      </c>
      <c r="F48" s="186">
        <f t="shared" si="19"/>
        <v>0</v>
      </c>
      <c r="G48" s="202"/>
      <c r="H48" s="202"/>
      <c r="I48" s="227">
        <v>1</v>
      </c>
      <c r="J48" s="227">
        <v>-1</v>
      </c>
      <c r="K48" s="227">
        <v>1</v>
      </c>
      <c r="L48" s="202">
        <v>1</v>
      </c>
      <c r="M48" s="228">
        <v>6</v>
      </c>
      <c r="N48" s="288">
        <v>42586</v>
      </c>
      <c r="O48">
        <f t="shared" si="20"/>
        <v>1</v>
      </c>
      <c r="P48">
        <f t="shared" si="33"/>
        <v>1</v>
      </c>
      <c r="Q48">
        <f t="shared" si="21"/>
        <v>-1</v>
      </c>
      <c r="R48">
        <f t="shared" si="22"/>
        <v>-1</v>
      </c>
      <c r="S48">
        <f t="shared" si="23"/>
        <v>-1</v>
      </c>
      <c r="T48">
        <f t="shared" si="24"/>
        <v>-1</v>
      </c>
      <c r="U48">
        <f t="shared" si="34"/>
        <v>-1</v>
      </c>
      <c r="V48" s="354">
        <f>IF(C48&lt;&gt;"offline",VLOOKUP($A48,'FuturesInfo (3)'!$A$2:$V$80,22),0)</f>
        <v>4</v>
      </c>
      <c r="W48" s="354">
        <v>1</v>
      </c>
      <c r="X48" s="354">
        <f>VLOOKUP($A48,'FuturesInfo (3)'!$A$2:$O$80,15)*V48</f>
        <v>83250</v>
      </c>
      <c r="Y48" s="354">
        <f>VLOOKUP(A48,'FuturesInfo (3)'!$A$2:$AI$80,35)*V48</f>
        <v>7000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328" t="s">
        <v>359</v>
      </c>
      <c r="B49" s="329" t="s">
        <v>708</v>
      </c>
      <c r="C49" s="330" t="s">
        <v>1285</v>
      </c>
      <c r="E49" s="201">
        <f>'0812'!H49</f>
        <v>1</v>
      </c>
      <c r="F49" s="186">
        <f t="shared" si="19"/>
        <v>0</v>
      </c>
      <c r="G49" s="202"/>
      <c r="H49" s="234"/>
      <c r="I49" s="230">
        <v>-1</v>
      </c>
      <c r="J49" s="230">
        <v>-1</v>
      </c>
      <c r="K49" s="230">
        <v>-1</v>
      </c>
      <c r="L49" s="202">
        <v>1</v>
      </c>
      <c r="M49" s="228">
        <v>-3</v>
      </c>
      <c r="N49" s="288">
        <v>42583</v>
      </c>
      <c r="O49">
        <f t="shared" si="20"/>
        <v>-1</v>
      </c>
      <c r="P49">
        <f t="shared" si="33"/>
        <v>-1</v>
      </c>
      <c r="Q49">
        <f t="shared" si="21"/>
        <v>-1</v>
      </c>
      <c r="R49">
        <f t="shared" si="22"/>
        <v>-1</v>
      </c>
      <c r="S49">
        <f t="shared" si="23"/>
        <v>-1</v>
      </c>
      <c r="T49">
        <f t="shared" si="24"/>
        <v>1</v>
      </c>
      <c r="U49">
        <f t="shared" si="34"/>
        <v>-1</v>
      </c>
      <c r="V49" s="354">
        <f>IF(C49&lt;&gt;"offline",VLOOKUP($A49,'FuturesInfo (3)'!$A$2:$V$80,22),0)</f>
        <v>0</v>
      </c>
      <c r="W49" s="354">
        <v>1</v>
      </c>
      <c r="X49" s="354">
        <f>VLOOKUP($A49,'FuturesInfo (3)'!$A$2:$O$80,15)*V49</f>
        <v>0</v>
      </c>
      <c r="Y49" s="354">
        <f>VLOOKUP(A49,'FuturesInfo (3)'!$A$2:$AI$80,35)*V49</f>
        <v>0</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'0812'!H50</f>
        <v>-1</v>
      </c>
      <c r="F50" s="186">
        <f t="shared" si="19"/>
        <v>0</v>
      </c>
      <c r="G50" s="202"/>
      <c r="H50" s="202"/>
      <c r="I50" s="227">
        <v>-1</v>
      </c>
      <c r="J50" s="227">
        <v>1</v>
      </c>
      <c r="K50" s="227">
        <v>-1</v>
      </c>
      <c r="L50" s="202">
        <v>-1</v>
      </c>
      <c r="M50" s="228">
        <v>16</v>
      </c>
      <c r="N50" s="288">
        <v>42572</v>
      </c>
      <c r="O50">
        <f t="shared" si="20"/>
        <v>-1</v>
      </c>
      <c r="P50">
        <f t="shared" si="33"/>
        <v>-1</v>
      </c>
      <c r="Q50">
        <f t="shared" si="21"/>
        <v>1</v>
      </c>
      <c r="R50">
        <f t="shared" si="22"/>
        <v>1</v>
      </c>
      <c r="S50">
        <f t="shared" si="23"/>
        <v>1</v>
      </c>
      <c r="T50">
        <f t="shared" si="24"/>
        <v>1</v>
      </c>
      <c r="U50">
        <f t="shared" si="34"/>
        <v>1</v>
      </c>
      <c r="V50" s="354">
        <f>IF(C50&lt;&gt;"offline",VLOOKUP($A50,'FuturesInfo (3)'!$A$2:$V$80,22),0)</f>
        <v>3</v>
      </c>
      <c r="W50" s="354">
        <v>1</v>
      </c>
      <c r="X50" s="354">
        <f>VLOOKUP($A50,'FuturesInfo (3)'!$A$2:$O$80,15)*V50</f>
        <v>137430</v>
      </c>
      <c r="Y50" s="354">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'0812'!H51</f>
        <v>1</v>
      </c>
      <c r="F51" s="186">
        <f t="shared" si="19"/>
        <v>0</v>
      </c>
      <c r="G51" s="202"/>
      <c r="H51" s="202"/>
      <c r="I51" s="227">
        <v>1</v>
      </c>
      <c r="J51" s="227">
        <v>1</v>
      </c>
      <c r="K51" s="227">
        <v>1</v>
      </c>
      <c r="L51" s="202">
        <v>-1</v>
      </c>
      <c r="M51" s="228">
        <v>-8</v>
      </c>
      <c r="N51" s="288">
        <v>42584</v>
      </c>
      <c r="O51">
        <f t="shared" si="20"/>
        <v>1</v>
      </c>
      <c r="P51">
        <f t="shared" si="33"/>
        <v>1</v>
      </c>
      <c r="Q51">
        <f t="shared" si="21"/>
        <v>1</v>
      </c>
      <c r="R51">
        <f t="shared" si="22"/>
        <v>1</v>
      </c>
      <c r="S51">
        <f t="shared" si="23"/>
        <v>1</v>
      </c>
      <c r="T51">
        <f t="shared" si="24"/>
        <v>-1</v>
      </c>
      <c r="U51">
        <f t="shared" si="34"/>
        <v>1</v>
      </c>
      <c r="V51" s="354">
        <f>IF(C51&lt;&gt;"offline",VLOOKUP($A51,'FuturesInfo (3)'!$A$2:$V$80,22),0)</f>
        <v>2</v>
      </c>
      <c r="W51" s="354">
        <v>1</v>
      </c>
      <c r="X51" s="354">
        <f>VLOOKUP($A51,'FuturesInfo (3)'!$A$2:$O$80,15)*V51</f>
        <v>95420</v>
      </c>
      <c r="Y51" s="354">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'0812'!H52</f>
        <v>1</v>
      </c>
      <c r="F52" s="186">
        <f t="shared" si="19"/>
        <v>0</v>
      </c>
      <c r="G52" s="202"/>
      <c r="H52" s="202"/>
      <c r="I52" s="227">
        <v>-1</v>
      </c>
      <c r="J52" s="227">
        <v>-1</v>
      </c>
      <c r="K52" s="227">
        <v>1</v>
      </c>
      <c r="L52" s="202">
        <v>-1</v>
      </c>
      <c r="M52" s="228">
        <v>9</v>
      </c>
      <c r="N52" s="288">
        <v>42583</v>
      </c>
      <c r="O52">
        <f t="shared" si="20"/>
        <v>-1</v>
      </c>
      <c r="P52">
        <f t="shared" si="33"/>
        <v>1</v>
      </c>
      <c r="Q52">
        <f t="shared" si="21"/>
        <v>-1</v>
      </c>
      <c r="R52">
        <f t="shared" si="22"/>
        <v>-1</v>
      </c>
      <c r="S52">
        <f t="shared" si="23"/>
        <v>-1</v>
      </c>
      <c r="T52">
        <f t="shared" si="24"/>
        <v>1</v>
      </c>
      <c r="U52">
        <f t="shared" si="34"/>
        <v>-1</v>
      </c>
      <c r="V52" s="354">
        <f>IF(C52&lt;&gt;"offline",VLOOKUP($A52,'FuturesInfo (3)'!$A$2:$V$80,22),0)</f>
        <v>2</v>
      </c>
      <c r="W52" s="354">
        <v>1</v>
      </c>
      <c r="X52" s="354">
        <f>VLOOKUP($A52,'FuturesInfo (3)'!$A$2:$O$80,15)*V52</f>
        <v>81900</v>
      </c>
      <c r="Y52" s="354">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'0812'!H53</f>
        <v>1</v>
      </c>
      <c r="F53" s="186">
        <f t="shared" si="19"/>
        <v>0</v>
      </c>
      <c r="G53" s="202"/>
      <c r="H53" s="202"/>
      <c r="I53" s="227">
        <v>1</v>
      </c>
      <c r="J53" s="227">
        <v>-1</v>
      </c>
      <c r="K53" s="227">
        <v>1</v>
      </c>
      <c r="L53" s="202">
        <v>-1</v>
      </c>
      <c r="M53" s="228">
        <v>2</v>
      </c>
      <c r="N53" s="288">
        <v>42583</v>
      </c>
      <c r="O53">
        <f t="shared" si="20"/>
        <v>-1</v>
      </c>
      <c r="P53">
        <f t="shared" si="33"/>
        <v>1</v>
      </c>
      <c r="Q53">
        <f t="shared" si="21"/>
        <v>-1</v>
      </c>
      <c r="R53">
        <f t="shared" si="22"/>
        <v>1</v>
      </c>
      <c r="S53">
        <f t="shared" si="23"/>
        <v>1</v>
      </c>
      <c r="T53">
        <f t="shared" si="24"/>
        <v>1</v>
      </c>
      <c r="U53">
        <f t="shared" si="34"/>
        <v>-1</v>
      </c>
      <c r="V53" s="354">
        <f>IF(C53&lt;&gt;"offline",VLOOKUP($A53,'FuturesInfo (3)'!$A$2:$V$80,22),0)</f>
        <v>3</v>
      </c>
      <c r="W53" s="354">
        <v>1</v>
      </c>
      <c r="X53" s="354">
        <f>VLOOKUP($A53,'FuturesInfo (3)'!$A$2:$O$80,15)*V53</f>
        <v>72000</v>
      </c>
      <c r="Y53" s="354">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'0812'!H54</f>
        <v>-1</v>
      </c>
      <c r="F54" s="186">
        <f t="shared" si="19"/>
        <v>0</v>
      </c>
      <c r="G54" s="202"/>
      <c r="H54" s="202"/>
      <c r="I54" s="227">
        <v>1</v>
      </c>
      <c r="J54" s="227">
        <v>-1</v>
      </c>
      <c r="K54" s="227">
        <v>1</v>
      </c>
      <c r="L54" s="202">
        <v>1</v>
      </c>
      <c r="M54" s="228">
        <v>2</v>
      </c>
      <c r="N54" s="288">
        <v>42580</v>
      </c>
      <c r="O54">
        <f t="shared" si="20"/>
        <v>1</v>
      </c>
      <c r="P54">
        <f t="shared" si="33"/>
        <v>-1</v>
      </c>
      <c r="Q54">
        <f t="shared" si="21"/>
        <v>1</v>
      </c>
      <c r="R54">
        <f t="shared" si="22"/>
        <v>1</v>
      </c>
      <c r="S54">
        <f t="shared" si="23"/>
        <v>1</v>
      </c>
      <c r="T54">
        <f t="shared" si="24"/>
        <v>-1</v>
      </c>
      <c r="U54">
        <f t="shared" si="34"/>
        <v>-1</v>
      </c>
      <c r="V54" s="354">
        <f>IF(C54&lt;&gt;"offline",VLOOKUP($A54,'FuturesInfo (3)'!$A$2:$V$80,22),0)</f>
        <v>10</v>
      </c>
      <c r="W54" s="354">
        <v>1</v>
      </c>
      <c r="X54" s="354">
        <f>VLOOKUP($A54,'FuturesInfo (3)'!$A$2:$O$80,15)*V54</f>
        <v>180300</v>
      </c>
      <c r="Y54" s="354">
        <f>VLOOKUP(A54,'FuturesInfo (3)'!$A$2:$AI$80,35)*V54</f>
        <v>19550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'0812'!H55</f>
        <v>1</v>
      </c>
      <c r="F55" s="186">
        <f t="shared" si="19"/>
        <v>0</v>
      </c>
      <c r="G55" s="202"/>
      <c r="H55" s="202"/>
      <c r="I55" s="227">
        <v>-1</v>
      </c>
      <c r="J55" s="227">
        <v>-1</v>
      </c>
      <c r="K55" s="227">
        <v>-1</v>
      </c>
      <c r="L55" s="202">
        <v>-1</v>
      </c>
      <c r="M55" s="228">
        <v>4</v>
      </c>
      <c r="N55" s="288">
        <v>42590</v>
      </c>
      <c r="O55">
        <f t="shared" si="20"/>
        <v>-1</v>
      </c>
      <c r="P55">
        <f t="shared" si="33"/>
        <v>1</v>
      </c>
      <c r="Q55">
        <f t="shared" si="21"/>
        <v>-1</v>
      </c>
      <c r="R55">
        <f t="shared" si="22"/>
        <v>-1</v>
      </c>
      <c r="S55">
        <f t="shared" si="23"/>
        <v>-1</v>
      </c>
      <c r="T55">
        <f t="shared" si="24"/>
        <v>1</v>
      </c>
      <c r="U55">
        <f t="shared" si="34"/>
        <v>-1</v>
      </c>
      <c r="V55" s="354">
        <f>IF(C55&lt;&gt;"offline",VLOOKUP($A55,'FuturesInfo (3)'!$A$2:$V$80,22),0)</f>
        <v>4</v>
      </c>
      <c r="W55" s="354">
        <v>1</v>
      </c>
      <c r="X55" s="354">
        <f>VLOOKUP($A55,'FuturesInfo (3)'!$A$2:$O$80,15)*V55</f>
        <v>106820</v>
      </c>
      <c r="Y55" s="354">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'0812'!H56</f>
        <v>-1</v>
      </c>
      <c r="F56" s="186">
        <f t="shared" si="19"/>
        <v>0</v>
      </c>
      <c r="G56" s="202"/>
      <c r="H56" s="202"/>
      <c r="I56" s="227">
        <v>-1</v>
      </c>
      <c r="J56" s="227">
        <v>1</v>
      </c>
      <c r="K56" s="227">
        <v>-1</v>
      </c>
      <c r="L56" s="202">
        <v>-1</v>
      </c>
      <c r="M56" s="228">
        <v>-19</v>
      </c>
      <c r="N56" s="288">
        <v>42569</v>
      </c>
      <c r="O56">
        <f t="shared" si="20"/>
        <v>1</v>
      </c>
      <c r="P56">
        <f t="shared" si="33"/>
        <v>-1</v>
      </c>
      <c r="Q56">
        <f t="shared" si="21"/>
        <v>1</v>
      </c>
      <c r="R56">
        <f t="shared" si="22"/>
        <v>1</v>
      </c>
      <c r="S56">
        <f t="shared" si="23"/>
        <v>1</v>
      </c>
      <c r="T56">
        <f t="shared" si="24"/>
        <v>-1</v>
      </c>
      <c r="U56">
        <f t="shared" si="34"/>
        <v>1</v>
      </c>
      <c r="V56" s="354">
        <f>IF(C56&lt;&gt;"offline",VLOOKUP($A56,'FuturesInfo (3)'!$A$2:$V$80,22),0)</f>
        <v>4</v>
      </c>
      <c r="W56" s="354">
        <v>1</v>
      </c>
      <c r="X56" s="354">
        <f>VLOOKUP($A56,'FuturesInfo (3)'!$A$2:$O$80,15)*V56</f>
        <v>182420</v>
      </c>
      <c r="Y56" s="354">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'0812'!H57</f>
        <v>1</v>
      </c>
      <c r="F57" s="186">
        <f t="shared" si="19"/>
        <v>0</v>
      </c>
      <c r="G57" s="202"/>
      <c r="H57" s="202"/>
      <c r="I57" s="227">
        <v>1</v>
      </c>
      <c r="J57" s="227">
        <v>-1</v>
      </c>
      <c r="K57" s="227">
        <v>1</v>
      </c>
      <c r="L57" s="202">
        <v>1</v>
      </c>
      <c r="M57" s="228">
        <v>-1</v>
      </c>
      <c r="N57" s="288">
        <v>42585</v>
      </c>
      <c r="O57">
        <f t="shared" si="20"/>
        <v>-1</v>
      </c>
      <c r="P57">
        <f t="shared" si="33"/>
        <v>1</v>
      </c>
      <c r="Q57">
        <f t="shared" si="21"/>
        <v>-1</v>
      </c>
      <c r="R57">
        <f t="shared" si="22"/>
        <v>-1</v>
      </c>
      <c r="S57">
        <f t="shared" si="23"/>
        <v>-1</v>
      </c>
      <c r="T57">
        <f t="shared" si="24"/>
        <v>1</v>
      </c>
      <c r="U57">
        <f t="shared" si="34"/>
        <v>-1</v>
      </c>
      <c r="V57" s="354">
        <f>IF(C57&lt;&gt;"offline",VLOOKUP($A57,'FuturesInfo (3)'!$A$2:$V$80,22),0)</f>
        <v>2</v>
      </c>
      <c r="W57" s="354">
        <v>1</v>
      </c>
      <c r="X57" s="354">
        <f>VLOOKUP($A57,'FuturesInfo (3)'!$A$2:$O$80,15)*V57</f>
        <v>194588.52</v>
      </c>
      <c r="Y57" s="354">
        <f>VLOOKUP(A57,'FuturesInfo (3)'!$A$2:$AI$80,35)*V57</f>
        <v>25119</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'0812'!H58</f>
        <v>-1</v>
      </c>
      <c r="F58" s="186">
        <f t="shared" si="19"/>
        <v>0</v>
      </c>
      <c r="G58" s="202"/>
      <c r="H58" s="202"/>
      <c r="I58" s="227">
        <v>1</v>
      </c>
      <c r="J58" s="227">
        <v>-1</v>
      </c>
      <c r="K58" s="227">
        <v>1</v>
      </c>
      <c r="L58" s="202">
        <v>-1</v>
      </c>
      <c r="M58" s="228">
        <v>-8</v>
      </c>
      <c r="N58" s="288">
        <v>42584</v>
      </c>
      <c r="O58">
        <f t="shared" si="20"/>
        <v>1</v>
      </c>
      <c r="P58">
        <f t="shared" si="33"/>
        <v>1</v>
      </c>
      <c r="Q58">
        <f t="shared" si="21"/>
        <v>1</v>
      </c>
      <c r="R58">
        <f t="shared" si="22"/>
        <v>1</v>
      </c>
      <c r="S58">
        <f t="shared" si="23"/>
        <v>1</v>
      </c>
      <c r="T58">
        <f t="shared" si="24"/>
        <v>-1</v>
      </c>
      <c r="U58">
        <f t="shared" si="34"/>
        <v>1</v>
      </c>
      <c r="V58" s="354">
        <f>IF(C58&lt;&gt;"offline",VLOOKUP($A58,'FuturesInfo (3)'!$A$2:$V$80,22),0)</f>
        <v>8</v>
      </c>
      <c r="W58" s="354">
        <v>1</v>
      </c>
      <c r="X58" s="354">
        <f>VLOOKUP($A58,'FuturesInfo (3)'!$A$2:$O$80,15)*V58</f>
        <v>218480</v>
      </c>
      <c r="Y58" s="354">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'0812'!H59</f>
        <v>1</v>
      </c>
      <c r="F59" s="186">
        <f t="shared" si="19"/>
        <v>0</v>
      </c>
      <c r="G59" s="202"/>
      <c r="H59" s="202"/>
      <c r="I59" s="227">
        <v>1</v>
      </c>
      <c r="J59" s="227">
        <v>1</v>
      </c>
      <c r="K59" s="227">
        <v>1</v>
      </c>
      <c r="L59" s="202">
        <v>1</v>
      </c>
      <c r="M59" s="228">
        <v>-9</v>
      </c>
      <c r="N59" s="288">
        <v>42583</v>
      </c>
      <c r="O59">
        <f t="shared" si="20"/>
        <v>-1</v>
      </c>
      <c r="P59">
        <f t="shared" si="33"/>
        <v>1</v>
      </c>
      <c r="Q59">
        <f t="shared" si="21"/>
        <v>-1</v>
      </c>
      <c r="R59">
        <f t="shared" si="22"/>
        <v>-1</v>
      </c>
      <c r="S59">
        <f t="shared" si="23"/>
        <v>-1</v>
      </c>
      <c r="T59">
        <f t="shared" si="24"/>
        <v>1</v>
      </c>
      <c r="U59">
        <f t="shared" si="34"/>
        <v>-1</v>
      </c>
      <c r="V59" s="354">
        <f>IF(C59&lt;&gt;"offline",VLOOKUP($A59,'FuturesInfo (3)'!$A$2:$V$80,22),0)</f>
        <v>5</v>
      </c>
      <c r="W59" s="354">
        <v>1</v>
      </c>
      <c r="X59" s="354">
        <f>VLOOKUP($A59,'FuturesInfo (3)'!$A$2:$O$80,15)*V59</f>
        <v>128437.5</v>
      </c>
      <c r="Y59" s="354">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'0812'!H60</f>
        <v>-1</v>
      </c>
      <c r="F60" s="186">
        <f t="shared" si="19"/>
        <v>0</v>
      </c>
      <c r="G60" s="202"/>
      <c r="H60" s="202"/>
      <c r="I60" s="227">
        <v>1</v>
      </c>
      <c r="J60" s="227">
        <v>1</v>
      </c>
      <c r="K60" s="227">
        <v>1</v>
      </c>
      <c r="L60" s="202">
        <v>-1</v>
      </c>
      <c r="M60" s="228">
        <v>-16</v>
      </c>
      <c r="N60" s="288">
        <v>42572</v>
      </c>
      <c r="O60">
        <f t="shared" si="20"/>
        <v>1</v>
      </c>
      <c r="P60">
        <f t="shared" si="33"/>
        <v>1</v>
      </c>
      <c r="Q60">
        <f t="shared" si="21"/>
        <v>1</v>
      </c>
      <c r="R60">
        <f t="shared" si="22"/>
        <v>1</v>
      </c>
      <c r="S60">
        <f t="shared" si="23"/>
        <v>1</v>
      </c>
      <c r="T60">
        <f t="shared" si="24"/>
        <v>-1</v>
      </c>
      <c r="U60">
        <f t="shared" si="34"/>
        <v>1</v>
      </c>
      <c r="V60" s="354">
        <f>IF(C60&lt;&gt;"offline",VLOOKUP($A60,'FuturesInfo (3)'!$A$2:$V$80,22),0)</f>
        <v>3</v>
      </c>
      <c r="W60" s="354">
        <v>1</v>
      </c>
      <c r="X60" s="354">
        <f>VLOOKUP($A60,'FuturesInfo (3)'!$A$2:$O$80,15)*V60</f>
        <v>215550</v>
      </c>
      <c r="Y60" s="354">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'0812'!H61</f>
        <v>1</v>
      </c>
      <c r="F61" s="186">
        <f t="shared" si="19"/>
        <v>0</v>
      </c>
      <c r="G61" s="202"/>
      <c r="H61" s="202"/>
      <c r="I61" s="227">
        <v>-1</v>
      </c>
      <c r="J61" s="227">
        <v>1</v>
      </c>
      <c r="K61" s="227">
        <v>-1</v>
      </c>
      <c r="L61" s="202">
        <v>-1</v>
      </c>
      <c r="M61" s="228">
        <v>10</v>
      </c>
      <c r="N61" s="288">
        <v>42580</v>
      </c>
      <c r="O61">
        <f t="shared" si="20"/>
        <v>-1</v>
      </c>
      <c r="P61">
        <f t="shared" si="33"/>
        <v>1</v>
      </c>
      <c r="Q61">
        <f t="shared" si="21"/>
        <v>-1</v>
      </c>
      <c r="R61">
        <f t="shared" si="22"/>
        <v>-1</v>
      </c>
      <c r="S61">
        <f t="shared" si="23"/>
        <v>-1</v>
      </c>
      <c r="T61">
        <f t="shared" si="24"/>
        <v>1</v>
      </c>
      <c r="U61">
        <f t="shared" si="34"/>
        <v>1</v>
      </c>
      <c r="V61" s="354">
        <f>IF(C61&lt;&gt;"offline",VLOOKUP($A61,'FuturesInfo (3)'!$A$2:$V$80,22),0)</f>
        <v>3</v>
      </c>
      <c r="W61" s="354">
        <v>1</v>
      </c>
      <c r="X61" s="354">
        <f>VLOOKUP($A61,'FuturesInfo (3)'!$A$2:$O$80,15)*V61</f>
        <v>78780</v>
      </c>
      <c r="Y61" s="354">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'0812'!H62</f>
        <v>-1</v>
      </c>
      <c r="F62" s="186">
        <f t="shared" si="19"/>
        <v>0</v>
      </c>
      <c r="G62" s="202"/>
      <c r="H62" s="202"/>
      <c r="I62" s="227">
        <v>1</v>
      </c>
      <c r="J62" s="227">
        <v>-1</v>
      </c>
      <c r="K62" s="227">
        <v>1</v>
      </c>
      <c r="L62" s="202">
        <v>-1</v>
      </c>
      <c r="M62" s="228">
        <v>-7</v>
      </c>
      <c r="N62" s="288">
        <v>42585</v>
      </c>
      <c r="O62">
        <f t="shared" si="20"/>
        <v>1</v>
      </c>
      <c r="P62">
        <f t="shared" si="33"/>
        <v>1</v>
      </c>
      <c r="Q62">
        <f t="shared" si="21"/>
        <v>1</v>
      </c>
      <c r="R62">
        <f t="shared" si="22"/>
        <v>1</v>
      </c>
      <c r="S62">
        <f t="shared" si="23"/>
        <v>1</v>
      </c>
      <c r="T62">
        <f t="shared" si="24"/>
        <v>-1</v>
      </c>
      <c r="U62">
        <f t="shared" si="34"/>
        <v>1</v>
      </c>
      <c r="V62" s="354">
        <f>IF(C62&lt;&gt;"offline",VLOOKUP($A62,'FuturesInfo (3)'!$A$2:$V$80,22),0)</f>
        <v>2</v>
      </c>
      <c r="W62" s="354">
        <v>1</v>
      </c>
      <c r="X62" s="354">
        <f>VLOOKUP($A62,'FuturesInfo (3)'!$A$2:$O$80,15)*V62</f>
        <v>166057.49283809148</v>
      </c>
      <c r="Y62" s="354">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'0812'!H63</f>
        <v>1</v>
      </c>
      <c r="F63" s="186">
        <f t="shared" si="19"/>
        <v>0</v>
      </c>
      <c r="G63" s="202"/>
      <c r="H63" s="202"/>
      <c r="I63" s="227">
        <v>1</v>
      </c>
      <c r="J63" s="227">
        <v>-1</v>
      </c>
      <c r="K63" s="227">
        <v>1</v>
      </c>
      <c r="L63" s="202">
        <v>1</v>
      </c>
      <c r="M63" s="228">
        <v>-18</v>
      </c>
      <c r="N63" s="288">
        <v>42570</v>
      </c>
      <c r="O63">
        <f t="shared" si="20"/>
        <v>-1</v>
      </c>
      <c r="P63">
        <f t="shared" si="33"/>
        <v>1</v>
      </c>
      <c r="Q63">
        <f t="shared" si="21"/>
        <v>-1</v>
      </c>
      <c r="R63">
        <f t="shared" si="22"/>
        <v>-1</v>
      </c>
      <c r="S63">
        <f t="shared" si="23"/>
        <v>-1</v>
      </c>
      <c r="T63">
        <f t="shared" si="24"/>
        <v>1</v>
      </c>
      <c r="U63">
        <f t="shared" si="34"/>
        <v>-1</v>
      </c>
      <c r="V63" s="354">
        <f>IF(C63&lt;&gt;"offline",VLOOKUP($A63,'FuturesInfo (3)'!$A$2:$V$80,22),0)</f>
        <v>3</v>
      </c>
      <c r="W63" s="354">
        <v>1</v>
      </c>
      <c r="X63" s="354">
        <f>VLOOKUP($A63,'FuturesInfo (3)'!$A$2:$O$80,15)*V63</f>
        <v>288255</v>
      </c>
      <c r="Y63" s="354">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'0812'!H64</f>
        <v>-1</v>
      </c>
      <c r="F64" s="186">
        <f t="shared" si="19"/>
        <v>0</v>
      </c>
      <c r="G64" s="202"/>
      <c r="H64" s="202"/>
      <c r="I64" s="227">
        <v>-1</v>
      </c>
      <c r="J64" s="227">
        <v>1</v>
      </c>
      <c r="K64" s="227">
        <v>-1</v>
      </c>
      <c r="L64" s="202">
        <v>1</v>
      </c>
      <c r="M64" s="228">
        <v>-5</v>
      </c>
      <c r="N64" s="288">
        <v>42587</v>
      </c>
      <c r="O64">
        <f t="shared" si="20"/>
        <v>-1</v>
      </c>
      <c r="P64">
        <f t="shared" si="33"/>
        <v>-1</v>
      </c>
      <c r="Q64">
        <f t="shared" si="21"/>
        <v>1</v>
      </c>
      <c r="R64">
        <f t="shared" si="22"/>
        <v>-1</v>
      </c>
      <c r="S64">
        <f t="shared" si="23"/>
        <v>-1</v>
      </c>
      <c r="T64">
        <f t="shared" si="24"/>
        <v>1</v>
      </c>
      <c r="U64">
        <f t="shared" si="34"/>
        <v>1</v>
      </c>
      <c r="V64" s="354">
        <f>IF(C64&lt;&gt;"offline",VLOOKUP($A64,'FuturesInfo (3)'!$A$2:$V$80,22),0)</f>
        <v>9</v>
      </c>
      <c r="W64" s="354">
        <v>1</v>
      </c>
      <c r="X64" s="354">
        <f>VLOOKUP($A64,'FuturesInfo (3)'!$A$2:$O$80,15)*V64</f>
        <v>81562.5</v>
      </c>
      <c r="Y64" s="354">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'0812'!H65</f>
        <v>-1</v>
      </c>
      <c r="F65" s="186">
        <f t="shared" si="19"/>
        <v>0</v>
      </c>
      <c r="G65" s="202"/>
      <c r="H65" s="233"/>
      <c r="I65" s="229">
        <v>1</v>
      </c>
      <c r="J65" s="229">
        <v>1</v>
      </c>
      <c r="K65" s="229">
        <v>1</v>
      </c>
      <c r="L65" s="202">
        <v>1</v>
      </c>
      <c r="M65" s="228">
        <v>-4</v>
      </c>
      <c r="N65" s="288">
        <v>42590</v>
      </c>
      <c r="O65">
        <f t="shared" si="20"/>
        <v>-1</v>
      </c>
      <c r="P65">
        <f t="shared" si="33"/>
        <v>-1</v>
      </c>
      <c r="Q65">
        <f t="shared" si="21"/>
        <v>1</v>
      </c>
      <c r="R65">
        <f t="shared" si="22"/>
        <v>1</v>
      </c>
      <c r="S65">
        <f t="shared" si="23"/>
        <v>1</v>
      </c>
      <c r="T65">
        <f t="shared" si="24"/>
        <v>-1</v>
      </c>
      <c r="U65">
        <f t="shared" si="34"/>
        <v>1</v>
      </c>
      <c r="V65" s="354">
        <f>IF(C65&lt;&gt;"offline",VLOOKUP($A65,'FuturesInfo (3)'!$A$2:$V$80,22),0)</f>
        <v>2</v>
      </c>
      <c r="W65" s="354">
        <v>1</v>
      </c>
      <c r="X65" s="354">
        <f>VLOOKUP($A65,'FuturesInfo (3)'!$A$2:$O$80,15)*V65</f>
        <v>54285</v>
      </c>
      <c r="Y65" s="354">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'0812'!H66</f>
        <v>-1</v>
      </c>
      <c r="F66" s="186">
        <f t="shared" si="19"/>
        <v>0</v>
      </c>
      <c r="G66" s="202"/>
      <c r="H66" s="202"/>
      <c r="I66" s="227">
        <v>1</v>
      </c>
      <c r="J66" s="227">
        <v>1</v>
      </c>
      <c r="K66" s="227">
        <v>1</v>
      </c>
      <c r="L66" s="202">
        <v>-1</v>
      </c>
      <c r="M66" s="228">
        <v>2</v>
      </c>
      <c r="N66" s="288">
        <v>42590</v>
      </c>
      <c r="O66">
        <f t="shared" si="20"/>
        <v>-1</v>
      </c>
      <c r="P66">
        <f t="shared" si="33"/>
        <v>1</v>
      </c>
      <c r="Q66">
        <f t="shared" si="21"/>
        <v>1</v>
      </c>
      <c r="R66">
        <f t="shared" si="22"/>
        <v>1</v>
      </c>
      <c r="S66">
        <f t="shared" si="23"/>
        <v>1</v>
      </c>
      <c r="T66">
        <f t="shared" si="24"/>
        <v>-1</v>
      </c>
      <c r="U66">
        <f t="shared" si="34"/>
        <v>1</v>
      </c>
      <c r="V66" s="354">
        <f>IF(C66&lt;&gt;"offline",VLOOKUP($A66,'FuturesInfo (3)'!$A$2:$V$80,22),0)</f>
        <v>2</v>
      </c>
      <c r="W66" s="354">
        <v>1</v>
      </c>
      <c r="X66" s="354">
        <f>VLOOKUP($A66,'FuturesInfo (3)'!$A$2:$O$80,15)*V66</f>
        <v>138160</v>
      </c>
      <c r="Y66" s="354">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'0812'!H67</f>
        <v>-1</v>
      </c>
      <c r="F67" s="186">
        <f t="shared" si="19"/>
        <v>0</v>
      </c>
      <c r="G67" s="202"/>
      <c r="H67" s="202"/>
      <c r="I67" s="227">
        <v>-1</v>
      </c>
      <c r="J67" s="227">
        <v>-1</v>
      </c>
      <c r="K67" s="227">
        <v>1</v>
      </c>
      <c r="L67" s="202">
        <v>-1</v>
      </c>
      <c r="M67" s="228">
        <v>2</v>
      </c>
      <c r="N67" s="288">
        <v>42565</v>
      </c>
      <c r="O67">
        <f t="shared" si="20"/>
        <v>-1</v>
      </c>
      <c r="P67">
        <f t="shared" si="33"/>
        <v>1</v>
      </c>
      <c r="Q67">
        <f t="shared" si="21"/>
        <v>-1</v>
      </c>
      <c r="R67">
        <f t="shared" si="22"/>
        <v>1</v>
      </c>
      <c r="S67">
        <f t="shared" si="23"/>
        <v>1</v>
      </c>
      <c r="T67">
        <f t="shared" si="24"/>
        <v>-1</v>
      </c>
      <c r="U67">
        <f t="shared" si="34"/>
        <v>1</v>
      </c>
      <c r="V67" s="354">
        <f>IF(C67&lt;&gt;"offline",VLOOKUP($A67,'FuturesInfo (3)'!$A$2:$V$80,22),0)</f>
        <v>2</v>
      </c>
      <c r="W67" s="354">
        <v>1</v>
      </c>
      <c r="X67" s="354">
        <f>VLOOKUP($A67,'FuturesInfo (3)'!$A$2:$O$80,15)*V67</f>
        <v>112930</v>
      </c>
      <c r="Y67" s="354">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'0812'!H68</f>
        <v>1</v>
      </c>
      <c r="F68" s="186">
        <f t="shared" si="19"/>
        <v>0</v>
      </c>
      <c r="G68" s="202"/>
      <c r="H68" s="233"/>
      <c r="I68" s="229">
        <v>1</v>
      </c>
      <c r="J68" s="229">
        <v>1</v>
      </c>
      <c r="K68" s="229">
        <v>-1</v>
      </c>
      <c r="L68" s="202">
        <v>-1</v>
      </c>
      <c r="M68" s="228">
        <v>2</v>
      </c>
      <c r="N68" s="288">
        <v>42587</v>
      </c>
      <c r="O68">
        <f t="shared" si="20"/>
        <v>-1</v>
      </c>
      <c r="P68">
        <f t="shared" si="33"/>
        <v>1</v>
      </c>
      <c r="Q68">
        <f t="shared" si="21"/>
        <v>-1</v>
      </c>
      <c r="R68">
        <f t="shared" si="22"/>
        <v>1</v>
      </c>
      <c r="S68">
        <f t="shared" si="23"/>
        <v>1</v>
      </c>
      <c r="T68">
        <f t="shared" si="24"/>
        <v>1</v>
      </c>
      <c r="U68">
        <f t="shared" si="34"/>
        <v>1</v>
      </c>
      <c r="V68" s="354">
        <f>IF(C68&lt;&gt;"offline",VLOOKUP($A68,'FuturesInfo (3)'!$A$2:$V$80,22),0)</f>
        <v>2</v>
      </c>
      <c r="W68" s="354">
        <v>1</v>
      </c>
      <c r="X68" s="354">
        <f>VLOOKUP($A68,'FuturesInfo (3)'!$A$2:$O$80,15)*V68</f>
        <v>115155.6</v>
      </c>
      <c r="Y68" s="354">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'0812'!H69</f>
        <v>1</v>
      </c>
      <c r="F69" s="186">
        <f t="shared" si="19"/>
        <v>0</v>
      </c>
      <c r="G69" s="202"/>
      <c r="H69" s="202"/>
      <c r="I69" s="227">
        <v>1</v>
      </c>
      <c r="J69" s="227">
        <v>1</v>
      </c>
      <c r="K69" s="227">
        <v>1</v>
      </c>
      <c r="L69" s="202">
        <v>1</v>
      </c>
      <c r="M69" s="228">
        <v>1</v>
      </c>
      <c r="N69" s="288">
        <v>42590</v>
      </c>
      <c r="O69">
        <f t="shared" si="20"/>
        <v>1</v>
      </c>
      <c r="P69">
        <f t="shared" si="33"/>
        <v>1</v>
      </c>
      <c r="Q69">
        <f t="shared" si="21"/>
        <v>1</v>
      </c>
      <c r="R69">
        <f t="shared" si="22"/>
        <v>-1</v>
      </c>
      <c r="S69">
        <f t="shared" si="23"/>
        <v>1</v>
      </c>
      <c r="T69">
        <f t="shared" si="24"/>
        <v>-1</v>
      </c>
      <c r="U69">
        <f t="shared" si="34"/>
        <v>-1</v>
      </c>
      <c r="V69" s="354">
        <f>IF(C69&lt;&gt;"offline",VLOOKUP($A69,'FuturesInfo (3)'!$A$2:$V$80,22),0)</f>
        <v>5</v>
      </c>
      <c r="W69" s="354">
        <v>1</v>
      </c>
      <c r="X69" s="354">
        <f>VLOOKUP($A69,'FuturesInfo (3)'!$A$2:$O$80,15)*V69</f>
        <v>96550</v>
      </c>
      <c r="Y69" s="354">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'0812'!H70</f>
        <v>-1</v>
      </c>
      <c r="F70" s="186">
        <f t="shared" si="19"/>
        <v>0</v>
      </c>
      <c r="G70" s="202"/>
      <c r="H70" s="202"/>
      <c r="I70" s="227">
        <v>-1</v>
      </c>
      <c r="J70" s="227">
        <v>1</v>
      </c>
      <c r="K70" s="227">
        <v>-1</v>
      </c>
      <c r="L70" s="202">
        <v>1</v>
      </c>
      <c r="M70" s="228">
        <v>7</v>
      </c>
      <c r="N70" s="288">
        <v>42585</v>
      </c>
      <c r="O70">
        <f t="shared" si="20"/>
        <v>1</v>
      </c>
      <c r="P70">
        <f t="shared" si="33"/>
        <v>-1</v>
      </c>
      <c r="Q70">
        <f t="shared" si="21"/>
        <v>1</v>
      </c>
      <c r="R70">
        <f t="shared" si="22"/>
        <v>-1</v>
      </c>
      <c r="S70">
        <f t="shared" si="23"/>
        <v>-1</v>
      </c>
      <c r="T70">
        <f t="shared" si="24"/>
        <v>-1</v>
      </c>
      <c r="U70">
        <f t="shared" si="34"/>
        <v>1</v>
      </c>
      <c r="V70" s="354">
        <f>IF(C70&lt;&gt;"offline",VLOOKUP($A70,'FuturesInfo (3)'!$A$2:$V$80,22),0)</f>
        <v>17</v>
      </c>
      <c r="W70" s="354">
        <v>1</v>
      </c>
      <c r="X70" s="354">
        <f>VLOOKUP($A70,'FuturesInfo (3)'!$A$2:$O$80,15)*V70</f>
        <v>121036.95702492092</v>
      </c>
      <c r="Y70" s="354">
        <f>VLOOKUP(A70,'FuturesInfo (3)'!$A$2:$AI$80,35)*V70</f>
        <v>4603.8114343029083</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'0812'!H71</f>
        <v>-1</v>
      </c>
      <c r="F71" s="186">
        <f t="shared" si="19"/>
        <v>0</v>
      </c>
      <c r="G71" s="202"/>
      <c r="H71" s="202"/>
      <c r="I71" s="227">
        <v>1</v>
      </c>
      <c r="J71" s="227">
        <v>-1</v>
      </c>
      <c r="K71" s="227">
        <v>1</v>
      </c>
      <c r="L71" s="202">
        <v>1</v>
      </c>
      <c r="M71" s="228">
        <v>-8</v>
      </c>
      <c r="N71" s="288">
        <v>42584</v>
      </c>
      <c r="O71">
        <f t="shared" si="20"/>
        <v>-1</v>
      </c>
      <c r="P71">
        <f t="shared" si="33"/>
        <v>-1</v>
      </c>
      <c r="Q71">
        <f t="shared" si="21"/>
        <v>-1</v>
      </c>
      <c r="R71">
        <f t="shared" si="22"/>
        <v>1</v>
      </c>
      <c r="S71">
        <f t="shared" si="23"/>
        <v>-1</v>
      </c>
      <c r="T71">
        <f t="shared" si="24"/>
        <v>-1</v>
      </c>
      <c r="U71">
        <f t="shared" si="34"/>
        <v>-1</v>
      </c>
      <c r="V71" s="354">
        <f>IF(C71&lt;&gt;"offline",VLOOKUP($A71,'FuturesInfo (3)'!$A$2:$V$80,22),0)</f>
        <v>2</v>
      </c>
      <c r="W71" s="354">
        <v>1</v>
      </c>
      <c r="X71" s="354">
        <f>VLOOKUP($A71,'FuturesInfo (3)'!$A$2:$O$80,15)*V71</f>
        <v>98175</v>
      </c>
      <c r="Y71" s="354">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'0812'!H72</f>
        <v>1</v>
      </c>
      <c r="F72" s="186">
        <f t="shared" si="19"/>
        <v>0</v>
      </c>
      <c r="G72" s="202"/>
      <c r="H72" s="202"/>
      <c r="I72" s="227">
        <v>1</v>
      </c>
      <c r="J72" s="227">
        <v>-1</v>
      </c>
      <c r="K72" s="227">
        <v>1</v>
      </c>
      <c r="L72" s="202">
        <v>-1</v>
      </c>
      <c r="M72" s="228">
        <v>4</v>
      </c>
      <c r="N72" s="288">
        <v>42590</v>
      </c>
      <c r="O72">
        <f t="shared" si="20"/>
        <v>-1</v>
      </c>
      <c r="P72">
        <f t="shared" si="33"/>
        <v>1</v>
      </c>
      <c r="Q72">
        <f t="shared" si="21"/>
        <v>-1</v>
      </c>
      <c r="R72">
        <f t="shared" si="22"/>
        <v>1</v>
      </c>
      <c r="S72">
        <f t="shared" si="23"/>
        <v>1</v>
      </c>
      <c r="T72">
        <f t="shared" si="24"/>
        <v>1</v>
      </c>
      <c r="U72">
        <f t="shared" si="34"/>
        <v>-1</v>
      </c>
      <c r="V72" s="354">
        <f>IF(C72&lt;&gt;"offline",VLOOKUP($A72,'FuturesInfo (3)'!$A$2:$V$80,22),0)</f>
        <v>4</v>
      </c>
      <c r="W72" s="354">
        <v>1</v>
      </c>
      <c r="X72" s="354">
        <f>VLOOKUP($A72,'FuturesInfo (3)'!$A$2:$O$80,15)*V72</f>
        <v>88300.800000000003</v>
      </c>
      <c r="Y72" s="354">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'0812'!H73</f>
        <v>-1</v>
      </c>
      <c r="F73" s="186">
        <f t="shared" si="19"/>
        <v>0</v>
      </c>
      <c r="G73" s="202"/>
      <c r="H73" s="202"/>
      <c r="I73" s="227">
        <v>1</v>
      </c>
      <c r="J73" s="227">
        <v>-1</v>
      </c>
      <c r="K73" s="227">
        <v>1</v>
      </c>
      <c r="L73" s="202">
        <v>1</v>
      </c>
      <c r="M73" s="228">
        <v>13</v>
      </c>
      <c r="N73" s="288">
        <v>42584</v>
      </c>
      <c r="O73">
        <f t="shared" si="20"/>
        <v>1</v>
      </c>
      <c r="P73">
        <f t="shared" si="33"/>
        <v>-1</v>
      </c>
      <c r="Q73">
        <f t="shared" si="21"/>
        <v>1</v>
      </c>
      <c r="R73">
        <f t="shared" si="22"/>
        <v>1</v>
      </c>
      <c r="S73">
        <f t="shared" si="23"/>
        <v>1</v>
      </c>
      <c r="T73">
        <f t="shared" si="24"/>
        <v>-1</v>
      </c>
      <c r="U73">
        <f t="shared" si="34"/>
        <v>-1</v>
      </c>
      <c r="V73" s="354">
        <f>IF(C73&lt;&gt;"offline",VLOOKUP($A73,'FuturesInfo (3)'!$A$2:$V$80,22),0)</f>
        <v>3</v>
      </c>
      <c r="W73" s="354">
        <v>1</v>
      </c>
      <c r="X73" s="354">
        <f>VLOOKUP($A73,'FuturesInfo (3)'!$A$2:$O$80,15)*V73</f>
        <v>385275.00000000006</v>
      </c>
      <c r="Y73" s="354">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'0812'!H74</f>
        <v>-1</v>
      </c>
      <c r="F74" s="186">
        <f t="shared" si="19"/>
        <v>0</v>
      </c>
      <c r="G74" s="202"/>
      <c r="H74" s="202"/>
      <c r="I74" s="227">
        <v>-1</v>
      </c>
      <c r="J74" s="227">
        <v>-1</v>
      </c>
      <c r="K74" s="227">
        <v>-1</v>
      </c>
      <c r="L74" s="202">
        <v>-1</v>
      </c>
      <c r="M74" s="228">
        <v>17</v>
      </c>
      <c r="N74" s="288">
        <v>42584</v>
      </c>
      <c r="O74">
        <f t="shared" si="20"/>
        <v>-1</v>
      </c>
      <c r="P74">
        <f t="shared" si="33"/>
        <v>-1</v>
      </c>
      <c r="Q74">
        <f t="shared" si="21"/>
        <v>-1</v>
      </c>
      <c r="R74">
        <f t="shared" si="22"/>
        <v>1</v>
      </c>
      <c r="S74">
        <f t="shared" si="23"/>
        <v>-1</v>
      </c>
      <c r="T74">
        <f t="shared" si="24"/>
        <v>1</v>
      </c>
      <c r="U74">
        <f t="shared" si="34"/>
        <v>1</v>
      </c>
      <c r="V74" s="354">
        <f>IF(C74&lt;&gt;"offline",VLOOKUP($A74,'FuturesInfo (3)'!$A$2:$V$80,22),0)</f>
        <v>1</v>
      </c>
      <c r="W74" s="354">
        <v>1</v>
      </c>
      <c r="X74" s="354">
        <f>VLOOKUP($A74,'FuturesInfo (3)'!$A$2:$O$80,15)*V74</f>
        <v>98515</v>
      </c>
      <c r="Y74" s="354">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'0812'!H75</f>
        <v>1</v>
      </c>
      <c r="F75" s="186">
        <f t="shared" si="19"/>
        <v>0</v>
      </c>
      <c r="G75" s="291"/>
      <c r="H75" s="202"/>
      <c r="I75" s="227">
        <v>1</v>
      </c>
      <c r="J75" s="227">
        <v>1</v>
      </c>
      <c r="K75" s="227">
        <v>1</v>
      </c>
      <c r="L75" s="202">
        <v>1</v>
      </c>
      <c r="M75" s="228">
        <v>4</v>
      </c>
      <c r="N75" s="288">
        <v>42590</v>
      </c>
      <c r="O75">
        <f t="shared" si="20"/>
        <v>1</v>
      </c>
      <c r="P75">
        <f t="shared" si="33"/>
        <v>1</v>
      </c>
      <c r="Q75">
        <f t="shared" si="21"/>
        <v>1</v>
      </c>
      <c r="R75">
        <f t="shared" si="22"/>
        <v>-1</v>
      </c>
      <c r="S75">
        <f t="shared" si="23"/>
        <v>1</v>
      </c>
      <c r="T75">
        <f t="shared" si="24"/>
        <v>-1</v>
      </c>
      <c r="U75">
        <f t="shared" si="34"/>
        <v>-1</v>
      </c>
      <c r="V75" s="354">
        <f>IF(C75&lt;&gt;"offline",VLOOKUP($A75,'FuturesInfo (3)'!$A$2:$V$80,22),0)</f>
        <v>12</v>
      </c>
      <c r="W75" s="354">
        <v>1</v>
      </c>
      <c r="X75" s="354">
        <f>VLOOKUP($A75,'FuturesInfo (3)'!$A$2:$O$80,15)*V75</f>
        <v>208188</v>
      </c>
      <c r="Y75" s="354">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'0812'!H76</f>
        <v>-1</v>
      </c>
      <c r="F76" s="186">
        <f t="shared" si="19"/>
        <v>0</v>
      </c>
      <c r="G76" s="202"/>
      <c r="H76" s="202"/>
      <c r="I76" s="227">
        <v>-1</v>
      </c>
      <c r="J76" s="227">
        <v>-1</v>
      </c>
      <c r="K76" s="227">
        <v>-1</v>
      </c>
      <c r="L76" s="202">
        <v>1</v>
      </c>
      <c r="M76" s="228">
        <v>4</v>
      </c>
      <c r="N76" s="288">
        <v>42590</v>
      </c>
      <c r="O76">
        <f t="shared" si="20"/>
        <v>1</v>
      </c>
      <c r="P76">
        <f t="shared" si="33"/>
        <v>-1</v>
      </c>
      <c r="Q76">
        <f t="shared" si="21"/>
        <v>1</v>
      </c>
      <c r="R76">
        <f t="shared" si="22"/>
        <v>-1</v>
      </c>
      <c r="S76">
        <f t="shared" si="23"/>
        <v>-1</v>
      </c>
      <c r="T76">
        <f t="shared" si="24"/>
        <v>-1</v>
      </c>
      <c r="U76">
        <f t="shared" si="34"/>
        <v>-1</v>
      </c>
      <c r="V76" s="354">
        <f>IF(C76&lt;&gt;"offline",VLOOKUP($A76,'FuturesInfo (3)'!$A$2:$V$80,22),0)</f>
        <v>5</v>
      </c>
      <c r="W76" s="354">
        <v>1</v>
      </c>
      <c r="X76" s="354">
        <f>VLOOKUP($A76,'FuturesInfo (3)'!$A$2:$O$80,15)*V76</f>
        <v>748740.49194902694</v>
      </c>
      <c r="Y76" s="354">
        <f>VLOOKUP(A76,'FuturesInfo (3)'!$A$2:$AI$80,35)*V76</f>
        <v>2469.6236293588854</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'0812'!H77</f>
        <v>-1</v>
      </c>
      <c r="F77" s="186">
        <f t="shared" si="19"/>
        <v>0</v>
      </c>
      <c r="G77" s="202"/>
      <c r="H77" s="202"/>
      <c r="I77" s="227">
        <v>-1</v>
      </c>
      <c r="J77" s="227">
        <v>1</v>
      </c>
      <c r="K77" s="227">
        <v>-1</v>
      </c>
      <c r="L77" s="202">
        <v>1</v>
      </c>
      <c r="M77" s="228">
        <v>4</v>
      </c>
      <c r="N77" s="288">
        <v>42590</v>
      </c>
      <c r="O77">
        <f t="shared" si="20"/>
        <v>1</v>
      </c>
      <c r="P77">
        <f t="shared" si="33"/>
        <v>-1</v>
      </c>
      <c r="Q77">
        <f t="shared" si="21"/>
        <v>1</v>
      </c>
      <c r="R77">
        <f t="shared" si="22"/>
        <v>-1</v>
      </c>
      <c r="S77">
        <f t="shared" si="23"/>
        <v>-1</v>
      </c>
      <c r="T77">
        <f t="shared" si="24"/>
        <v>-1</v>
      </c>
      <c r="U77">
        <f t="shared" si="34"/>
        <v>1</v>
      </c>
      <c r="V77" s="354">
        <f>IF(C77&lt;&gt;"offline",VLOOKUP($A77,'FuturesInfo (3)'!$A$2:$V$80,22),0)</f>
        <v>3</v>
      </c>
      <c r="W77" s="354">
        <v>1</v>
      </c>
      <c r="X77" s="354">
        <f>VLOOKUP($A77,'FuturesInfo (3)'!$A$2:$O$80,15)*V77</f>
        <v>98340</v>
      </c>
      <c r="Y77" s="354">
        <f>VLOOKUP(A77,'FuturesInfo (3)'!$A$2:$AI$80,35)*V77</f>
        <v>18000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'0812'!H78</f>
        <v>1</v>
      </c>
      <c r="F78" s="186">
        <f t="shared" ref="F78:F92" si="42">G78*X78</f>
        <v>0</v>
      </c>
      <c r="G78" s="202"/>
      <c r="H78" s="202"/>
      <c r="I78" s="227">
        <v>1</v>
      </c>
      <c r="J78" s="227">
        <v>1</v>
      </c>
      <c r="K78" s="227">
        <v>1</v>
      </c>
      <c r="L78" s="202">
        <v>1</v>
      </c>
      <c r="M78" s="228">
        <v>-12</v>
      </c>
      <c r="N78" s="288">
        <v>42585</v>
      </c>
      <c r="O78">
        <f t="shared" ref="O78:O92" si="43">IF(M78&lt;0,L78*-1,L78)</f>
        <v>-1</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s="354">
        <f>IF(C78&lt;&gt;"offline",VLOOKUP($A78,'FuturesInfo (3)'!$A$2:$V$80,22),0)</f>
        <v>3</v>
      </c>
      <c r="W78" s="354">
        <v>1</v>
      </c>
      <c r="X78" s="354">
        <f>VLOOKUP($A78,'FuturesInfo (3)'!$A$2:$O$80,15)*V78</f>
        <v>254904.57623640465</v>
      </c>
      <c r="Y78" s="354">
        <f>VLOOKUP(A78,'FuturesInfo (3)'!$A$2:$AI$80,35)*V78</f>
        <v>26352.349681920787</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'0812'!H79</f>
        <v>-1</v>
      </c>
      <c r="F79" s="186">
        <f t="shared" si="42"/>
        <v>0</v>
      </c>
      <c r="G79" s="202"/>
      <c r="H79" s="202"/>
      <c r="I79" s="227">
        <v>1</v>
      </c>
      <c r="J79" s="227">
        <v>1</v>
      </c>
      <c r="K79" s="227">
        <v>1</v>
      </c>
      <c r="L79" s="202">
        <v>-1</v>
      </c>
      <c r="M79" s="228">
        <v>-6</v>
      </c>
      <c r="N79" s="288">
        <v>42585</v>
      </c>
      <c r="O79">
        <f t="shared" si="43"/>
        <v>1</v>
      </c>
      <c r="P79">
        <f t="shared" ref="P79:P92" si="56">IF(E79+K79-L79&gt;0,1,-1)</f>
        <v>1</v>
      </c>
      <c r="Q79">
        <f t="shared" si="44"/>
        <v>1</v>
      </c>
      <c r="R79">
        <f t="shared" si="45"/>
        <v>1</v>
      </c>
      <c r="S79">
        <f t="shared" si="46"/>
        <v>1</v>
      </c>
      <c r="T79">
        <f t="shared" si="47"/>
        <v>-1</v>
      </c>
      <c r="U79">
        <f t="shared" ref="U79:U92" si="57">IF(-E79+J79-L79&lt;0,-1,1)</f>
        <v>1</v>
      </c>
      <c r="V79" s="354">
        <f>IF(C79&lt;&gt;"offline",VLOOKUP($A79,'FuturesInfo (3)'!$A$2:$V$80,22),0)</f>
        <v>4</v>
      </c>
      <c r="W79" s="354">
        <v>1</v>
      </c>
      <c r="X79" s="354">
        <f>VLOOKUP($A79,'FuturesInfo (3)'!$A$2:$O$80,15)*V79</f>
        <v>187641.7910447761</v>
      </c>
      <c r="Y79" s="354">
        <f>VLOOKUP(A79,'FuturesInfo (3)'!$A$2:$AI$80,35)*V79</f>
        <v>6193.9199999999992</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'0812'!H80</f>
        <v>1</v>
      </c>
      <c r="F80" s="186">
        <f t="shared" si="42"/>
        <v>0</v>
      </c>
      <c r="G80" s="202"/>
      <c r="H80" s="202"/>
      <c r="I80" s="227">
        <v>1</v>
      </c>
      <c r="J80" s="227">
        <v>-1</v>
      </c>
      <c r="K80" s="227">
        <v>1</v>
      </c>
      <c r="L80" s="202">
        <v>1</v>
      </c>
      <c r="M80" s="228">
        <v>-21</v>
      </c>
      <c r="N80" s="288">
        <v>42565</v>
      </c>
      <c r="O80">
        <f t="shared" si="43"/>
        <v>-1</v>
      </c>
      <c r="P80">
        <f t="shared" si="56"/>
        <v>1</v>
      </c>
      <c r="Q80">
        <f t="shared" si="44"/>
        <v>-1</v>
      </c>
      <c r="R80">
        <f t="shared" si="45"/>
        <v>-1</v>
      </c>
      <c r="S80">
        <f t="shared" si="46"/>
        <v>-1</v>
      </c>
      <c r="T80">
        <f t="shared" si="47"/>
        <v>1</v>
      </c>
      <c r="U80">
        <f t="shared" si="57"/>
        <v>-1</v>
      </c>
      <c r="V80" s="354">
        <f>IF(C80&lt;&gt;"offline",VLOOKUP($A80,'FuturesInfo (3)'!$A$2:$V$80,22),0)</f>
        <v>6</v>
      </c>
      <c r="W80" s="354">
        <v>1</v>
      </c>
      <c r="X80" s="354">
        <f>VLOOKUP($A80,'FuturesInfo (3)'!$A$2:$O$80,15)*V80</f>
        <v>204540</v>
      </c>
      <c r="Y80" s="354">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'0812'!H81</f>
        <v>1</v>
      </c>
      <c r="F81" s="186">
        <f t="shared" si="42"/>
        <v>0</v>
      </c>
      <c r="G81" s="202"/>
      <c r="H81" s="202"/>
      <c r="I81" s="227">
        <v>1</v>
      </c>
      <c r="J81" s="227">
        <v>-1</v>
      </c>
      <c r="K81" s="227">
        <v>1</v>
      </c>
      <c r="L81" s="202">
        <v>-1</v>
      </c>
      <c r="M81" s="228">
        <v>-8</v>
      </c>
      <c r="N81" s="288">
        <v>42584</v>
      </c>
      <c r="O81">
        <f t="shared" si="43"/>
        <v>1</v>
      </c>
      <c r="P81">
        <f t="shared" si="56"/>
        <v>1</v>
      </c>
      <c r="Q81">
        <f t="shared" si="44"/>
        <v>-1</v>
      </c>
      <c r="R81">
        <f t="shared" si="45"/>
        <v>1</v>
      </c>
      <c r="S81">
        <f t="shared" si="46"/>
        <v>1</v>
      </c>
      <c r="T81">
        <f t="shared" si="47"/>
        <v>-1</v>
      </c>
      <c r="U81">
        <f t="shared" si="57"/>
        <v>-1</v>
      </c>
      <c r="V81" s="354">
        <f>IF(C81&lt;&gt;"offline",VLOOKUP($A81,'FuturesInfo (3)'!$A$2:$V$80,22),0)</f>
        <v>5</v>
      </c>
      <c r="W81" s="354">
        <v>1</v>
      </c>
      <c r="X81" s="354">
        <f>VLOOKUP($A81,'FuturesInfo (3)'!$A$2:$O$80,15)*V81</f>
        <v>170027.72</v>
      </c>
      <c r="Y81" s="354">
        <f>VLOOKUP(A81,'FuturesInfo (3)'!$A$2:$AI$80,35)*V81</f>
        <v>16187.8</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'0812'!H82</f>
        <v>-1</v>
      </c>
      <c r="F82" s="186">
        <f t="shared" si="42"/>
        <v>0</v>
      </c>
      <c r="G82" s="202"/>
      <c r="H82" s="202"/>
      <c r="I82" s="227">
        <v>-1</v>
      </c>
      <c r="J82" s="227">
        <v>1</v>
      </c>
      <c r="K82" s="227">
        <v>-1</v>
      </c>
      <c r="L82" s="202">
        <v>1</v>
      </c>
      <c r="M82" s="228">
        <v>6</v>
      </c>
      <c r="N82" s="288">
        <v>42586</v>
      </c>
      <c r="O82">
        <f t="shared" si="43"/>
        <v>1</v>
      </c>
      <c r="P82">
        <f t="shared" si="56"/>
        <v>-1</v>
      </c>
      <c r="Q82">
        <f t="shared" si="44"/>
        <v>1</v>
      </c>
      <c r="R82">
        <f t="shared" si="45"/>
        <v>-1</v>
      </c>
      <c r="S82">
        <f t="shared" si="46"/>
        <v>-1</v>
      </c>
      <c r="T82">
        <f t="shared" si="47"/>
        <v>-1</v>
      </c>
      <c r="U82">
        <f t="shared" si="57"/>
        <v>1</v>
      </c>
      <c r="V82" s="354">
        <f>IF(C82&lt;&gt;"offline",VLOOKUP($A82,'FuturesInfo (3)'!$A$2:$V$80,22),0)</f>
        <v>2</v>
      </c>
      <c r="W82" s="354">
        <v>1</v>
      </c>
      <c r="X82" s="354">
        <f>VLOOKUP($A82,'FuturesInfo (3)'!$A$2:$O$80,15)*V82</f>
        <v>245440</v>
      </c>
      <c r="Y82" s="354">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'0812'!H83</f>
        <v>1</v>
      </c>
      <c r="F83" s="186">
        <f t="shared" si="42"/>
        <v>0</v>
      </c>
      <c r="G83" s="202"/>
      <c r="H83" s="202"/>
      <c r="I83" s="227">
        <v>1</v>
      </c>
      <c r="J83" s="227">
        <v>1</v>
      </c>
      <c r="K83" s="227">
        <v>1</v>
      </c>
      <c r="L83" s="202">
        <v>1</v>
      </c>
      <c r="M83" s="228">
        <v>-6</v>
      </c>
      <c r="N83" s="288">
        <v>42586</v>
      </c>
      <c r="O83">
        <f t="shared" si="43"/>
        <v>-1</v>
      </c>
      <c r="P83">
        <f t="shared" si="56"/>
        <v>1</v>
      </c>
      <c r="Q83">
        <f t="shared" si="44"/>
        <v>-1</v>
      </c>
      <c r="R83">
        <f t="shared" si="45"/>
        <v>-1</v>
      </c>
      <c r="S83">
        <f t="shared" si="46"/>
        <v>-1</v>
      </c>
      <c r="T83">
        <f t="shared" si="47"/>
        <v>1</v>
      </c>
      <c r="U83">
        <f t="shared" si="57"/>
        <v>-1</v>
      </c>
      <c r="V83" s="354">
        <f>IF(C83&lt;&gt;"offline",VLOOKUP($A83,'FuturesInfo (3)'!$A$2:$V$80,22),0)</f>
        <v>11</v>
      </c>
      <c r="W83" s="354">
        <v>1</v>
      </c>
      <c r="X83" s="354">
        <f>VLOOKUP($A83,'FuturesInfo (3)'!$A$2:$O$80,15)*V83</f>
        <v>2407109.375</v>
      </c>
      <c r="Y83" s="354">
        <f>VLOOKUP(A83,'FuturesInfo (3)'!$A$2:$AI$80,35)*V83</f>
        <v>7557</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'0812'!H84</f>
        <v>1</v>
      </c>
      <c r="F84" s="186">
        <f t="shared" si="42"/>
        <v>0</v>
      </c>
      <c r="G84" s="202"/>
      <c r="H84" s="202"/>
      <c r="I84" s="227">
        <v>1</v>
      </c>
      <c r="J84" s="227">
        <v>1</v>
      </c>
      <c r="K84" s="227">
        <v>1</v>
      </c>
      <c r="L84" s="202">
        <v>1</v>
      </c>
      <c r="M84" s="228">
        <v>-2</v>
      </c>
      <c r="N84" s="288">
        <v>42590</v>
      </c>
      <c r="O84">
        <f t="shared" si="43"/>
        <v>-1</v>
      </c>
      <c r="P84">
        <f t="shared" si="56"/>
        <v>1</v>
      </c>
      <c r="Q84">
        <f t="shared" si="44"/>
        <v>-1</v>
      </c>
      <c r="R84">
        <f t="shared" si="45"/>
        <v>-1</v>
      </c>
      <c r="S84">
        <f t="shared" si="46"/>
        <v>-1</v>
      </c>
      <c r="T84">
        <f t="shared" si="47"/>
        <v>1</v>
      </c>
      <c r="U84">
        <f t="shared" si="57"/>
        <v>-1</v>
      </c>
      <c r="V84" s="354">
        <f>IF(C84&lt;&gt;"offline",VLOOKUP($A84,'FuturesInfo (3)'!$A$2:$V$80,22),0)</f>
        <v>4</v>
      </c>
      <c r="W84" s="354">
        <v>1</v>
      </c>
      <c r="X84" s="354">
        <f>VLOOKUP($A84,'FuturesInfo (3)'!$A$2:$O$80,15)*V84</f>
        <v>530125</v>
      </c>
      <c r="Y84" s="354">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'0812'!H85</f>
        <v>1</v>
      </c>
      <c r="F85" s="186">
        <f t="shared" si="42"/>
        <v>0</v>
      </c>
      <c r="G85" s="202"/>
      <c r="H85" s="202"/>
      <c r="I85" s="227">
        <v>1</v>
      </c>
      <c r="J85" s="227">
        <v>1</v>
      </c>
      <c r="K85" s="227">
        <v>1</v>
      </c>
      <c r="L85" s="202">
        <v>1</v>
      </c>
      <c r="M85" s="228">
        <v>5</v>
      </c>
      <c r="N85" s="288">
        <v>42587</v>
      </c>
      <c r="O85">
        <f t="shared" si="43"/>
        <v>1</v>
      </c>
      <c r="P85">
        <f t="shared" si="56"/>
        <v>1</v>
      </c>
      <c r="Q85">
        <f t="shared" si="44"/>
        <v>1</v>
      </c>
      <c r="R85">
        <f t="shared" si="45"/>
        <v>-1</v>
      </c>
      <c r="S85">
        <f t="shared" si="46"/>
        <v>1</v>
      </c>
      <c r="T85">
        <f t="shared" si="47"/>
        <v>-1</v>
      </c>
      <c r="U85">
        <f t="shared" si="57"/>
        <v>-1</v>
      </c>
      <c r="V85" s="354">
        <f>IF(C85&lt;&gt;"offline",VLOOKUP($A85,'FuturesInfo (3)'!$A$2:$V$80,22),0)</f>
        <v>2</v>
      </c>
      <c r="W85" s="354">
        <v>1</v>
      </c>
      <c r="X85" s="354">
        <f>VLOOKUP($A85,'FuturesInfo (3)'!$A$2:$O$80,15)*V85</f>
        <v>345937.5</v>
      </c>
      <c r="Y85" s="354">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'0812'!H86</f>
        <v>-1</v>
      </c>
      <c r="F86" s="186">
        <f t="shared" si="42"/>
        <v>0</v>
      </c>
      <c r="G86" s="202"/>
      <c r="H86" s="202"/>
      <c r="I86" s="227">
        <v>-1</v>
      </c>
      <c r="J86" s="227">
        <v>1</v>
      </c>
      <c r="K86" s="227">
        <v>-1</v>
      </c>
      <c r="L86" s="202">
        <v>1</v>
      </c>
      <c r="M86" s="228">
        <v>-15</v>
      </c>
      <c r="N86" s="288">
        <v>42573</v>
      </c>
      <c r="O86">
        <f t="shared" si="43"/>
        <v>-1</v>
      </c>
      <c r="P86">
        <f t="shared" si="56"/>
        <v>-1</v>
      </c>
      <c r="Q86">
        <f t="shared" si="44"/>
        <v>1</v>
      </c>
      <c r="R86">
        <f t="shared" si="45"/>
        <v>-1</v>
      </c>
      <c r="S86">
        <f t="shared" si="46"/>
        <v>-1</v>
      </c>
      <c r="T86">
        <f t="shared" si="47"/>
        <v>1</v>
      </c>
      <c r="U86">
        <f t="shared" si="57"/>
        <v>1</v>
      </c>
      <c r="V86" s="354">
        <f>IF(C86&lt;&gt;"offline",VLOOKUP($A86,'FuturesInfo (3)'!$A$2:$V$80,22),0)</f>
        <v>3</v>
      </c>
      <c r="W86" s="354">
        <v>1</v>
      </c>
      <c r="X86" s="354">
        <f>VLOOKUP($A86,'FuturesInfo (3)'!$A$2:$O$80,15)*V86</f>
        <v>44925</v>
      </c>
      <c r="Y86" s="354">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'0812'!H87</f>
        <v>1</v>
      </c>
      <c r="F87" s="186">
        <f t="shared" si="42"/>
        <v>0</v>
      </c>
      <c r="G87" s="202"/>
      <c r="H87" s="202"/>
      <c r="I87" s="227">
        <v>-1</v>
      </c>
      <c r="J87" s="227">
        <v>-1</v>
      </c>
      <c r="K87" s="227">
        <v>1</v>
      </c>
      <c r="L87" s="202">
        <v>1</v>
      </c>
      <c r="M87" s="228">
        <v>8</v>
      </c>
      <c r="N87" s="288">
        <v>42584</v>
      </c>
      <c r="O87">
        <f t="shared" si="43"/>
        <v>1</v>
      </c>
      <c r="P87">
        <f t="shared" si="56"/>
        <v>1</v>
      </c>
      <c r="Q87">
        <f t="shared" si="44"/>
        <v>-1</v>
      </c>
      <c r="R87">
        <f t="shared" si="45"/>
        <v>-1</v>
      </c>
      <c r="S87">
        <f t="shared" si="46"/>
        <v>-1</v>
      </c>
      <c r="T87">
        <f t="shared" si="47"/>
        <v>-1</v>
      </c>
      <c r="U87">
        <f t="shared" si="57"/>
        <v>-1</v>
      </c>
      <c r="V87" s="354">
        <f>IF(C87&lt;&gt;"offline",VLOOKUP($A87,'FuturesInfo (3)'!$A$2:$V$80,22),0)</f>
        <v>4</v>
      </c>
      <c r="W87" s="354">
        <v>1</v>
      </c>
      <c r="X87" s="354">
        <f>VLOOKUP($A87,'FuturesInfo (3)'!$A$2:$O$80,15)*V87</f>
        <v>88000</v>
      </c>
      <c r="Y87" s="354">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'0812'!H88</f>
        <v>1</v>
      </c>
      <c r="F88" s="186">
        <f t="shared" si="42"/>
        <v>0</v>
      </c>
      <c r="G88" s="202"/>
      <c r="H88" s="202"/>
      <c r="I88" s="227">
        <v>1</v>
      </c>
      <c r="J88" s="227">
        <v>1</v>
      </c>
      <c r="K88" s="227">
        <v>1</v>
      </c>
      <c r="L88" s="202">
        <v>1</v>
      </c>
      <c r="M88" s="228">
        <v>9</v>
      </c>
      <c r="N88" s="288">
        <v>42583</v>
      </c>
      <c r="O88">
        <f t="shared" si="43"/>
        <v>1</v>
      </c>
      <c r="P88">
        <f t="shared" si="56"/>
        <v>1</v>
      </c>
      <c r="Q88">
        <f t="shared" si="44"/>
        <v>1</v>
      </c>
      <c r="R88">
        <f t="shared" si="45"/>
        <v>-1</v>
      </c>
      <c r="S88">
        <f t="shared" si="46"/>
        <v>1</v>
      </c>
      <c r="T88">
        <f t="shared" si="47"/>
        <v>-1</v>
      </c>
      <c r="U88">
        <f t="shared" si="57"/>
        <v>-1</v>
      </c>
      <c r="V88" s="354">
        <f>IF(C88&lt;&gt;"offline",VLOOKUP($A88,'FuturesInfo (3)'!$A$2:$V$80,22),0)</f>
        <v>3</v>
      </c>
      <c r="W88" s="354">
        <v>1</v>
      </c>
      <c r="X88" s="354">
        <f>VLOOKUP($A88,'FuturesInfo (3)'!$A$2:$O$80,15)*V88</f>
        <v>314701.875</v>
      </c>
      <c r="Y88" s="354">
        <f>VLOOKUP(A88,'FuturesInfo (3)'!$A$2:$AI$80,35)*V88</f>
        <v>19362.915000000001</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28" t="s">
        <v>1054</v>
      </c>
      <c r="B89" s="329" t="s">
        <v>463</v>
      </c>
      <c r="C89" s="330" t="s">
        <v>1285</v>
      </c>
      <c r="D89"/>
      <c r="E89" s="201">
        <f>'0812'!H89</f>
        <v>1</v>
      </c>
      <c r="F89" s="186">
        <f t="shared" si="42"/>
        <v>0</v>
      </c>
      <c r="G89" s="202"/>
      <c r="H89" s="202"/>
      <c r="I89" s="227">
        <v>1</v>
      </c>
      <c r="J89" s="227">
        <v>-1</v>
      </c>
      <c r="K89" s="227">
        <v>1</v>
      </c>
      <c r="L89" s="202">
        <v>-1</v>
      </c>
      <c r="M89" s="228">
        <v>-8</v>
      </c>
      <c r="N89" s="288">
        <v>42584</v>
      </c>
      <c r="O89">
        <f t="shared" si="43"/>
        <v>1</v>
      </c>
      <c r="P89">
        <f t="shared" si="56"/>
        <v>1</v>
      </c>
      <c r="Q89">
        <f t="shared" si="44"/>
        <v>-1</v>
      </c>
      <c r="R89">
        <f t="shared" si="45"/>
        <v>1</v>
      </c>
      <c r="S89">
        <f t="shared" si="46"/>
        <v>1</v>
      </c>
      <c r="T89">
        <f t="shared" si="47"/>
        <v>-1</v>
      </c>
      <c r="U89">
        <f t="shared" si="57"/>
        <v>-1</v>
      </c>
      <c r="V89" s="354">
        <f>IF(C89&lt;&gt;"offline",VLOOKUP($A89,'FuturesInfo (3)'!$A$2:$V$80,22),0)</f>
        <v>0</v>
      </c>
      <c r="W89" s="354">
        <v>1</v>
      </c>
      <c r="X89" s="354">
        <f>VLOOKUP($A89,'FuturesInfo (3)'!$A$2:$O$80,15)*V89</f>
        <v>0</v>
      </c>
      <c r="Y89" s="354">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'0812'!H90</f>
        <v>-1</v>
      </c>
      <c r="F90" s="186">
        <f t="shared" si="42"/>
        <v>0</v>
      </c>
      <c r="G90" s="202"/>
      <c r="H90" s="202"/>
      <c r="I90" s="227">
        <v>1</v>
      </c>
      <c r="J90" s="227">
        <v>-1</v>
      </c>
      <c r="K90" s="227">
        <v>1</v>
      </c>
      <c r="L90" s="202">
        <v>1</v>
      </c>
      <c r="M90" s="228">
        <v>-8</v>
      </c>
      <c r="N90" s="288">
        <v>42584</v>
      </c>
      <c r="O90">
        <f t="shared" si="43"/>
        <v>-1</v>
      </c>
      <c r="P90">
        <f t="shared" si="56"/>
        <v>-1</v>
      </c>
      <c r="Q90">
        <f t="shared" si="44"/>
        <v>-1</v>
      </c>
      <c r="R90">
        <f t="shared" si="45"/>
        <v>1</v>
      </c>
      <c r="S90">
        <f t="shared" si="46"/>
        <v>-1</v>
      </c>
      <c r="T90">
        <f t="shared" si="47"/>
        <v>-1</v>
      </c>
      <c r="U90">
        <f t="shared" si="57"/>
        <v>-1</v>
      </c>
      <c r="V90" s="354">
        <f>IF(C90&lt;&gt;"offline",VLOOKUP($A90,'FuturesInfo (3)'!$A$2:$V$80,22),0)</f>
        <v>4</v>
      </c>
      <c r="W90" s="354">
        <v>1</v>
      </c>
      <c r="X90" s="354">
        <f>VLOOKUP($A90,'FuturesInfo (3)'!$A$2:$O$80,15)*V90</f>
        <v>370460</v>
      </c>
      <c r="Y90" s="354">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'0812'!H91</f>
        <v>-1</v>
      </c>
      <c r="F91" s="186">
        <f t="shared" si="42"/>
        <v>0</v>
      </c>
      <c r="G91" s="202"/>
      <c r="H91" s="202"/>
      <c r="I91" s="227">
        <v>1</v>
      </c>
      <c r="J91" s="227">
        <v>1</v>
      </c>
      <c r="K91" s="227">
        <v>1</v>
      </c>
      <c r="L91" s="202">
        <v>1</v>
      </c>
      <c r="M91" s="228">
        <v>-8</v>
      </c>
      <c r="N91" s="288">
        <v>42584</v>
      </c>
      <c r="O91">
        <f t="shared" si="43"/>
        <v>-1</v>
      </c>
      <c r="P91">
        <f t="shared" si="56"/>
        <v>-1</v>
      </c>
      <c r="Q91">
        <f t="shared" si="44"/>
        <v>1</v>
      </c>
      <c r="R91">
        <f t="shared" si="45"/>
        <v>1</v>
      </c>
      <c r="S91">
        <f t="shared" si="46"/>
        <v>1</v>
      </c>
      <c r="T91">
        <f t="shared" si="47"/>
        <v>-1</v>
      </c>
      <c r="U91">
        <f t="shared" si="57"/>
        <v>1</v>
      </c>
      <c r="V91" s="354">
        <f>IF(C91&lt;&gt;"offline",VLOOKUP($A91,'FuturesInfo (3)'!$A$2:$V$80,22),0)</f>
        <v>16</v>
      </c>
      <c r="W91" s="354">
        <v>1</v>
      </c>
      <c r="X91" s="354">
        <f>VLOOKUP($A91,'FuturesInfo (3)'!$A$2:$O$80,15)*V91</f>
        <v>3379561.92</v>
      </c>
      <c r="Y91" s="354">
        <f>VLOOKUP(A91,'FuturesInfo (3)'!$A$2:$AI$80,35)*V91</f>
        <v>12240</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'0812'!H92</f>
        <v>-1</v>
      </c>
      <c r="F92" s="186">
        <f t="shared" si="42"/>
        <v>0</v>
      </c>
      <c r="G92" s="203"/>
      <c r="H92" s="203"/>
      <c r="I92" s="231">
        <v>-1</v>
      </c>
      <c r="J92" s="231">
        <v>-1</v>
      </c>
      <c r="K92" s="231">
        <v>1</v>
      </c>
      <c r="L92" s="203">
        <v>1</v>
      </c>
      <c r="M92" s="232">
        <v>4</v>
      </c>
      <c r="N92" s="289">
        <v>42590</v>
      </c>
      <c r="O92">
        <f t="shared" si="43"/>
        <v>1</v>
      </c>
      <c r="P92">
        <f t="shared" si="56"/>
        <v>-1</v>
      </c>
      <c r="Q92">
        <f t="shared" si="44"/>
        <v>1</v>
      </c>
      <c r="R92">
        <f t="shared" si="45"/>
        <v>-1</v>
      </c>
      <c r="S92">
        <f t="shared" si="46"/>
        <v>-1</v>
      </c>
      <c r="T92">
        <f t="shared" si="47"/>
        <v>-1</v>
      </c>
      <c r="U92">
        <f t="shared" si="57"/>
        <v>-1</v>
      </c>
      <c r="V92" s="354">
        <f>IF(C92&lt;&gt;"offline",VLOOKUP($A92,'FuturesInfo (3)'!$A$2:$V$80,22),0)</f>
        <v>5</v>
      </c>
      <c r="W92" s="354">
        <v>1</v>
      </c>
      <c r="X92" s="354">
        <f>VLOOKUP($A92,'FuturesInfo (3)'!$A$2:$O$80,15)*V92</f>
        <v>3001248</v>
      </c>
      <c r="Y92" s="354">
        <f>VLOOKUP(A92,'FuturesInfo (3)'!$A$2:$AI$80,35)*V92</f>
        <v>12431.25</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AI13" activePane="bottomRight" state="frozen"/>
      <selection activeCell="C49" sqref="C49"/>
      <selection pane="topRight" activeCell="C49" sqref="C49"/>
      <selection pane="bottomLeft" activeCell="C49" sqref="C49"/>
      <selection pane="bottomRight" activeCell="BB42" sqref="BB4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20160812</v>
      </c>
      <c r="F1" t="s">
        <v>1256</v>
      </c>
      <c r="G1" t="s">
        <v>1060</v>
      </c>
      <c r="H1" s="197" t="s">
        <v>1188</v>
      </c>
      <c r="I1" t="s">
        <v>1294</v>
      </c>
      <c r="K1" s="6" t="str">
        <f>E12&amp;" l% "&amp;ROUND(E13*100,2)&amp;"%"</f>
        <v>prev ACT l% 54.43%</v>
      </c>
      <c r="L1" s="265" t="str">
        <f>I12&amp;" l% "&amp;ROUND(I13*100,2)&amp;"%"</f>
        <v>50/50 l% 56.96%</v>
      </c>
      <c r="M1" s="265" t="str">
        <f>J12&amp;" l% "&amp;ROUND(J13*100,2)&amp;"%"</f>
        <v>&gt;equity l% 46.84%</v>
      </c>
      <c r="N1" s="265" t="str">
        <f>K12&amp;" l% "&amp;ROUND(K13*100,2)&amp;"%"</f>
        <v>&lt;equity l% 56.96%</v>
      </c>
      <c r="O1" s="265" t="str">
        <f>L12&amp;" l% "&amp;ROUND(L13*100,2)&amp;"%"</f>
        <v>SEA1 l% 59.49%</v>
      </c>
      <c r="P1" s="265" t="str">
        <f t="shared" ref="P1:V1" si="0">O12&amp;" l% "&amp;ROUND(O13*100,2)&amp;"%"</f>
        <v>SEA-ADJ l% 53.16%</v>
      </c>
      <c r="Q1" s="265" t="str">
        <f t="shared" si="0"/>
        <v>v1 l% 54.43%</v>
      </c>
      <c r="R1" s="265" t="str">
        <f t="shared" si="0"/>
        <v>v2 l% 45.57%</v>
      </c>
      <c r="S1" s="265" t="str">
        <f t="shared" si="0"/>
        <v>v3 l% 43.04%</v>
      </c>
      <c r="T1" s="265" t="str">
        <f t="shared" si="0"/>
        <v>v4 l% 45.57%</v>
      </c>
      <c r="U1" s="265" t="str">
        <f t="shared" si="0"/>
        <v>v5 l% 46.84%</v>
      </c>
      <c r="V1" s="265" t="str">
        <f t="shared" si="0"/>
        <v>v6 l% 39.24%</v>
      </c>
      <c r="W1" s="6"/>
      <c r="X1" s="285"/>
      <c r="Z1" s="331" t="str">
        <f t="shared" ref="Z1:AP1" si="1">Z12</f>
        <v>MAX ACC 97% PNL 68878</v>
      </c>
      <c r="AA1" s="332" t="str">
        <f t="shared" si="1"/>
        <v>RISK-ON ACC 49% PNL 14310</v>
      </c>
      <c r="AB1" s="332" t="str">
        <f t="shared" si="1"/>
        <v>RISK-OFF ACC 48% PNL -14310</v>
      </c>
      <c r="AC1" s="332" t="str">
        <f t="shared" si="1"/>
        <v>Previous ACC 44% PNL -3551</v>
      </c>
      <c r="AD1" s="295" t="str">
        <f t="shared" si="1"/>
        <v>Anti-Previous ACC 54% PNL 3551</v>
      </c>
      <c r="AE1" s="333" t="str">
        <f t="shared" si="1"/>
        <v>&gt;equity ACC 46% PNL -1044</v>
      </c>
      <c r="AF1" s="333" t="str">
        <f t="shared" si="1"/>
        <v>50/50 ACC 42% PNL -8356</v>
      </c>
      <c r="AG1" s="333" t="str">
        <f t="shared" si="1"/>
        <v>&lt;equity ACC 46% PNL 112</v>
      </c>
      <c r="AH1" s="334" t="str">
        <f t="shared" si="1"/>
        <v>SEASONALITY ACC 51% PNL 12307</v>
      </c>
      <c r="AI1" s="334" t="str">
        <f t="shared" si="1"/>
        <v>ANTI-SEASONALITY ACC 46% PNL -12307</v>
      </c>
      <c r="AJ1" s="334" t="str">
        <f t="shared" si="1"/>
        <v>ADJ_SEASONALITY ACC 46% PNL 6324</v>
      </c>
      <c r="AK1" s="335" t="str">
        <f t="shared" si="1"/>
        <v>V1 ACC 44% PNL -8188</v>
      </c>
      <c r="AL1" s="335" t="str">
        <f t="shared" si="1"/>
        <v>V2 ACC 48% PNL -3498</v>
      </c>
      <c r="AM1" s="335" t="str">
        <f t="shared" si="1"/>
        <v>V3 ACC 48% PNL -10101</v>
      </c>
      <c r="AN1" s="335" t="str">
        <f t="shared" si="1"/>
        <v>V4 ACC 45% PNL -11375</v>
      </c>
      <c r="AO1" s="335" t="str">
        <f t="shared" si="1"/>
        <v>V5 ACC 49% PNL -3067</v>
      </c>
      <c r="AP1" s="335" t="str">
        <f t="shared" si="1"/>
        <v>V6 ACC 54% PNL 1091</v>
      </c>
      <c r="BI1" t="str">
        <f>"NET POSITION BY SYSTEM FOR "&amp;A1</f>
        <v>NET POSITION BY SYSTEM FOR 20160812</v>
      </c>
    </row>
    <row r="2" spans="1:61" outlineLevel="1" x14ac:dyDescent="0.25">
      <c r="A2" t="s">
        <v>1121</v>
      </c>
      <c r="B2" s="95">
        <f>COUNTIF($C$14:$C$92,A2)</f>
        <v>9</v>
      </c>
      <c r="C2" s="193">
        <f>B2/$B$10</f>
        <v>0.12676056338028169</v>
      </c>
      <c r="F2" s="294">
        <f t="shared" ref="F2:F9" si="2">SUMIFS(H$14:H$92,H$14:H$92,1,$C$14:$C$92,A2)/$B2</f>
        <v>0.33333333333333331</v>
      </c>
      <c r="G2" s="137">
        <f t="shared" ref="G2:G9" si="3">SUMIF($C$14:$C$92,A2,Z$14:Z$92)</f>
        <v>7282.7146343391005</v>
      </c>
      <c r="H2" s="143">
        <f t="shared" ref="H2:H10" si="4">G2/$B2</f>
        <v>809.19051492656672</v>
      </c>
      <c r="I2" s="186">
        <f>SUMIF($C$14:$C$92,A2,F$14:F$92)/B2</f>
        <v>-206.71941075426639</v>
      </c>
      <c r="J2" t="str">
        <f t="shared" ref="J2:J9" si="5">A2</f>
        <v>currency</v>
      </c>
      <c r="K2" s="342">
        <f t="shared" ref="K2:K9" si="6">SUMIF($C$14:$C$92,$A2,E$14:E$92)/$B2</f>
        <v>0.1111111111111111</v>
      </c>
      <c r="L2" s="342">
        <f t="shared" ref="L2:O9" si="7">SUMIF($C$14:$C$92,$A2,I$14:I$92)/$B2</f>
        <v>-0.1111111111111111</v>
      </c>
      <c r="M2" s="342">
        <f t="shared" si="7"/>
        <v>-0.1111111111111111</v>
      </c>
      <c r="N2" s="342">
        <f t="shared" si="7"/>
        <v>-0.1111111111111111</v>
      </c>
      <c r="O2" s="342">
        <f t="shared" si="7"/>
        <v>-0.33333333333333331</v>
      </c>
      <c r="P2" s="342">
        <f t="shared" ref="P2:V9" si="8">SUMIF($C$14:$C$92,$A2,O$14:O$92)/$B2</f>
        <v>0.55555555555555558</v>
      </c>
      <c r="Q2" s="342">
        <f t="shared" si="8"/>
        <v>0.33333333333333331</v>
      </c>
      <c r="R2" s="342">
        <f t="shared" si="8"/>
        <v>0.1111111111111111</v>
      </c>
      <c r="S2" s="342">
        <f t="shared" si="8"/>
        <v>-0.1111111111111111</v>
      </c>
      <c r="T2" s="342">
        <f t="shared" si="8"/>
        <v>0.1111111111111111</v>
      </c>
      <c r="U2" s="342">
        <f t="shared" si="8"/>
        <v>-0.1111111111111111</v>
      </c>
      <c r="V2" s="342">
        <f t="shared" si="8"/>
        <v>0.1111111111111111</v>
      </c>
      <c r="W2" s="286"/>
      <c r="X2" s="6"/>
      <c r="Y2" t="s">
        <v>1121</v>
      </c>
      <c r="Z2" s="282">
        <f t="shared" ref="Z2:AP9" si="9">SUMIF($C$14:$C$92,$Y2,Z$14:Z$92)</f>
        <v>7282.7146343391005</v>
      </c>
      <c r="AA2" s="282">
        <f t="shared" si="9"/>
        <v>-3886.0095857375495</v>
      </c>
      <c r="AB2" s="282">
        <f t="shared" si="9"/>
        <v>3886.0095857375495</v>
      </c>
      <c r="AC2" s="282">
        <f t="shared" si="9"/>
        <v>-1244.0387456576686</v>
      </c>
      <c r="AD2" s="282">
        <f t="shared" si="9"/>
        <v>1244.0387456576686</v>
      </c>
      <c r="AE2" s="282">
        <f t="shared" si="9"/>
        <v>3052.6037876535656</v>
      </c>
      <c r="AF2" s="282">
        <f t="shared" si="9"/>
        <v>-2435.4992856897775</v>
      </c>
      <c r="AG2" s="282">
        <f t="shared" si="9"/>
        <v>-2435.4992856897775</v>
      </c>
      <c r="AH2" s="282">
        <f t="shared" si="9"/>
        <v>5997.1358865197062</v>
      </c>
      <c r="AI2" s="282">
        <f>SUMIF($C$14:$C$92,$Y2,AI$14:AI$92)</f>
        <v>-5997.1358865197062</v>
      </c>
      <c r="AJ2" s="282">
        <f t="shared" si="9"/>
        <v>-1308.0893967391889</v>
      </c>
      <c r="AK2" s="282">
        <f t="shared" si="9"/>
        <v>-4579.5928576509186</v>
      </c>
      <c r="AL2" s="282">
        <f t="shared" si="9"/>
        <v>-282.9503243396843</v>
      </c>
      <c r="AM2" s="282">
        <f t="shared" si="9"/>
        <v>-3853.0423145585632</v>
      </c>
      <c r="AN2" s="282">
        <f t="shared" si="9"/>
        <v>-4751.1673145571267</v>
      </c>
      <c r="AO2" s="282">
        <f t="shared" si="9"/>
        <v>-836.00417522195266</v>
      </c>
      <c r="AP2" s="282">
        <f t="shared" si="9"/>
        <v>-282.9503243396843</v>
      </c>
    </row>
    <row r="3" spans="1:61" outlineLevel="1" x14ac:dyDescent="0.25">
      <c r="A3" s="1" t="s">
        <v>288</v>
      </c>
      <c r="B3" s="95">
        <f t="shared" ref="B3:B9" si="10">COUNTIF($C$14:$C$92,A3)</f>
        <v>6</v>
      </c>
      <c r="C3" s="193">
        <f t="shared" ref="C3:C10" si="11">B3/$B$10</f>
        <v>8.4507042253521125E-2</v>
      </c>
      <c r="F3" s="294">
        <f t="shared" si="2"/>
        <v>1</v>
      </c>
      <c r="G3" s="137">
        <f t="shared" si="3"/>
        <v>9075.5200132956052</v>
      </c>
      <c r="H3" s="143">
        <f t="shared" si="4"/>
        <v>1512.5866688826009</v>
      </c>
      <c r="I3" s="186">
        <f t="shared" ref="I3:I9" si="12">SUMIF($C$14:$C$92,A3,F$14:F$92)/B3</f>
        <v>1512.5866688826009</v>
      </c>
      <c r="J3" t="str">
        <f t="shared" si="5"/>
        <v>energy</v>
      </c>
      <c r="K3" s="342">
        <f t="shared" si="6"/>
        <v>0.66666666666666663</v>
      </c>
      <c r="L3" s="342">
        <f t="shared" si="7"/>
        <v>0.33333333333333331</v>
      </c>
      <c r="M3" s="342">
        <f t="shared" si="7"/>
        <v>0</v>
      </c>
      <c r="N3" s="342">
        <f t="shared" si="7"/>
        <v>0.33333333333333331</v>
      </c>
      <c r="O3" s="342">
        <f t="shared" si="7"/>
        <v>-0.66666666666666663</v>
      </c>
      <c r="P3" s="342">
        <f t="shared" si="8"/>
        <v>0</v>
      </c>
      <c r="Q3" s="342">
        <f t="shared" si="8"/>
        <v>0.66666666666666663</v>
      </c>
      <c r="R3" s="342">
        <f t="shared" si="8"/>
        <v>-0.33333333333333331</v>
      </c>
      <c r="S3" s="342">
        <f t="shared" si="8"/>
        <v>0.33333333333333331</v>
      </c>
      <c r="T3" s="342">
        <f t="shared" si="8"/>
        <v>0.33333333333333331</v>
      </c>
      <c r="U3" s="342">
        <f t="shared" si="8"/>
        <v>0</v>
      </c>
      <c r="V3" s="342">
        <f t="shared" si="8"/>
        <v>0</v>
      </c>
      <c r="W3" s="286"/>
      <c r="X3" s="6"/>
      <c r="Y3" s="1" t="s">
        <v>288</v>
      </c>
      <c r="Z3" s="282">
        <f t="shared" si="9"/>
        <v>9075.5200132956052</v>
      </c>
      <c r="AA3" s="282">
        <f t="shared" si="9"/>
        <v>9075.5200132956052</v>
      </c>
      <c r="AB3" s="282">
        <f t="shared" si="9"/>
        <v>-9075.5200132956052</v>
      </c>
      <c r="AC3" s="282">
        <f t="shared" si="9"/>
        <v>6913.7793124131413</v>
      </c>
      <c r="AD3" s="282">
        <f t="shared" si="9"/>
        <v>-6913.7793124131413</v>
      </c>
      <c r="AE3" s="282">
        <f t="shared" si="9"/>
        <v>-1771.5912029478498</v>
      </c>
      <c r="AF3" s="282">
        <f t="shared" si="9"/>
        <v>4271.8438285363618</v>
      </c>
      <c r="AG3" s="282">
        <f t="shared" si="9"/>
        <v>5357.7368360961091</v>
      </c>
      <c r="AH3" s="282">
        <f t="shared" si="9"/>
        <v>-5025.7822993869468</v>
      </c>
      <c r="AI3" s="282">
        <f t="shared" si="9"/>
        <v>5025.7822993869468</v>
      </c>
      <c r="AJ3" s="282">
        <f t="shared" si="9"/>
        <v>2715.8013522193287</v>
      </c>
      <c r="AK3" s="282">
        <f t="shared" si="9"/>
        <v>6913.7793124131413</v>
      </c>
      <c r="AL3" s="282">
        <f t="shared" si="9"/>
        <v>-3327.6336792648826</v>
      </c>
      <c r="AM3" s="282">
        <f t="shared" si="9"/>
        <v>2383.8468155101664</v>
      </c>
      <c r="AN3" s="282">
        <f t="shared" si="9"/>
        <v>2383.8468155101664</v>
      </c>
      <c r="AO3" s="282">
        <f t="shared" si="9"/>
        <v>-2715.8013522193287</v>
      </c>
      <c r="AP3" s="282">
        <f t="shared" si="9"/>
        <v>-1771.5912029478498</v>
      </c>
    </row>
    <row r="4" spans="1:61" outlineLevel="1" x14ac:dyDescent="0.25">
      <c r="A4" s="1" t="s">
        <v>297</v>
      </c>
      <c r="B4" s="95">
        <f t="shared" si="10"/>
        <v>10</v>
      </c>
      <c r="C4" s="193">
        <f t="shared" si="11"/>
        <v>0.14084507042253522</v>
      </c>
      <c r="F4" s="294">
        <f t="shared" si="2"/>
        <v>0.6</v>
      </c>
      <c r="G4" s="137">
        <f t="shared" si="3"/>
        <v>10074.64371504591</v>
      </c>
      <c r="H4" s="143">
        <f t="shared" si="4"/>
        <v>1007.464371504591</v>
      </c>
      <c r="I4" s="186">
        <f t="shared" si="12"/>
        <v>723.02083415735228</v>
      </c>
      <c r="J4" t="str">
        <f t="shared" si="5"/>
        <v>grain</v>
      </c>
      <c r="K4" s="342">
        <f t="shared" si="6"/>
        <v>0</v>
      </c>
      <c r="L4" s="342">
        <f t="shared" si="7"/>
        <v>0.4</v>
      </c>
      <c r="M4" s="342">
        <f t="shared" si="7"/>
        <v>0</v>
      </c>
      <c r="N4" s="342">
        <f t="shared" si="7"/>
        <v>0.4</v>
      </c>
      <c r="O4" s="342">
        <f t="shared" si="7"/>
        <v>0.8</v>
      </c>
      <c r="P4" s="342">
        <f t="shared" si="8"/>
        <v>0.2</v>
      </c>
      <c r="Q4" s="342">
        <f t="shared" si="8"/>
        <v>0</v>
      </c>
      <c r="R4" s="342">
        <f t="shared" si="8"/>
        <v>0.2</v>
      </c>
      <c r="S4" s="342">
        <f t="shared" si="8"/>
        <v>-0.4</v>
      </c>
      <c r="T4" s="342">
        <f t="shared" si="8"/>
        <v>-0.2</v>
      </c>
      <c r="U4" s="342">
        <f t="shared" si="8"/>
        <v>-0.2</v>
      </c>
      <c r="V4" s="342">
        <f t="shared" si="8"/>
        <v>-0.4</v>
      </c>
      <c r="W4" s="286"/>
      <c r="X4" s="6"/>
      <c r="Y4" s="1" t="s">
        <v>297</v>
      </c>
      <c r="Z4" s="282">
        <f t="shared" si="9"/>
        <v>10074.64371504591</v>
      </c>
      <c r="AA4" s="282">
        <f t="shared" si="9"/>
        <v>7230.2083415735233</v>
      </c>
      <c r="AB4" s="282">
        <f t="shared" si="9"/>
        <v>-7230.2083415735233</v>
      </c>
      <c r="AC4" s="282">
        <f t="shared" si="9"/>
        <v>145.14040144602041</v>
      </c>
      <c r="AD4" s="282">
        <f t="shared" si="9"/>
        <v>-145.14040144602041</v>
      </c>
      <c r="AE4" s="282">
        <f t="shared" si="9"/>
        <v>1042.8590177142919</v>
      </c>
      <c r="AF4" s="282">
        <f t="shared" si="9"/>
        <v>5941.362838762112</v>
      </c>
      <c r="AG4" s="282">
        <f t="shared" si="9"/>
        <v>5941.362838762112</v>
      </c>
      <c r="AH4" s="282">
        <f t="shared" si="9"/>
        <v>5779.4787544891306</v>
      </c>
      <c r="AI4" s="282">
        <f t="shared" si="9"/>
        <v>-5779.4787544891306</v>
      </c>
      <c r="AJ4" s="282">
        <f t="shared" si="9"/>
        <v>81.49671990106026</v>
      </c>
      <c r="AK4" s="282">
        <f t="shared" si="9"/>
        <v>145.14040144602041</v>
      </c>
      <c r="AL4" s="282">
        <f t="shared" si="9"/>
        <v>-616.40694404797057</v>
      </c>
      <c r="AM4" s="282">
        <f t="shared" si="9"/>
        <v>16.74368282696048</v>
      </c>
      <c r="AN4" s="282">
        <f t="shared" si="9"/>
        <v>-454.52285977498991</v>
      </c>
      <c r="AO4" s="282">
        <f t="shared" si="9"/>
        <v>-81.49671990106026</v>
      </c>
      <c r="AP4" s="282">
        <f t="shared" si="9"/>
        <v>-101.39900002338277</v>
      </c>
    </row>
    <row r="5" spans="1:61" outlineLevel="1" x14ac:dyDescent="0.25">
      <c r="A5" s="1" t="s">
        <v>294</v>
      </c>
      <c r="B5" s="95">
        <f t="shared" si="10"/>
        <v>21</v>
      </c>
      <c r="C5" s="193">
        <f t="shared" si="11"/>
        <v>0.29577464788732394</v>
      </c>
      <c r="F5" s="294">
        <f t="shared" si="2"/>
        <v>0.47619047619047616</v>
      </c>
      <c r="G5" s="137">
        <f t="shared" si="3"/>
        <v>14909.999675999901</v>
      </c>
      <c r="H5" s="143">
        <f t="shared" si="4"/>
        <v>709.99998457142385</v>
      </c>
      <c r="I5" s="186">
        <f t="shared" si="12"/>
        <v>271.76562886954645</v>
      </c>
      <c r="J5" t="str">
        <f t="shared" si="5"/>
        <v>index</v>
      </c>
      <c r="K5" s="342">
        <f t="shared" si="6"/>
        <v>0.7142857142857143</v>
      </c>
      <c r="L5" s="342">
        <f t="shared" si="7"/>
        <v>0.23809523809523808</v>
      </c>
      <c r="M5" s="342">
        <f t="shared" si="7"/>
        <v>-0.52380952380952384</v>
      </c>
      <c r="N5" s="342">
        <f t="shared" si="7"/>
        <v>0.23809523809523808</v>
      </c>
      <c r="O5" s="342">
        <f t="shared" si="7"/>
        <v>0.14285714285714285</v>
      </c>
      <c r="P5" s="342">
        <f t="shared" si="8"/>
        <v>0.14285714285714285</v>
      </c>
      <c r="Q5" s="342">
        <f t="shared" si="8"/>
        <v>0.33333333333333331</v>
      </c>
      <c r="R5" s="342">
        <f t="shared" si="8"/>
        <v>-0.7142857142857143</v>
      </c>
      <c r="S5" s="342">
        <f t="shared" si="8"/>
        <v>-0.23809523809523808</v>
      </c>
      <c r="T5" s="342">
        <f t="shared" si="8"/>
        <v>-0.23809523809523808</v>
      </c>
      <c r="U5" s="342">
        <f t="shared" si="8"/>
        <v>4.7619047619047616E-2</v>
      </c>
      <c r="V5" s="342">
        <f t="shared" si="8"/>
        <v>-0.7142857142857143</v>
      </c>
      <c r="W5" s="286"/>
      <c r="X5" s="6"/>
      <c r="Y5" s="1" t="s">
        <v>294</v>
      </c>
      <c r="Z5" s="282">
        <f t="shared" si="9"/>
        <v>14909.999675999901</v>
      </c>
      <c r="AA5" s="282">
        <f t="shared" si="9"/>
        <v>6303.0981067577541</v>
      </c>
      <c r="AB5" s="282">
        <f t="shared" si="9"/>
        <v>-6303.0981067577541</v>
      </c>
      <c r="AC5" s="282">
        <f t="shared" si="9"/>
        <v>1585.535734604015</v>
      </c>
      <c r="AD5" s="282">
        <f t="shared" si="9"/>
        <v>-1585.535734604015</v>
      </c>
      <c r="AE5" s="282">
        <f t="shared" si="9"/>
        <v>83.564683483522685</v>
      </c>
      <c r="AF5" s="282">
        <f t="shared" si="9"/>
        <v>-7076.7763882478121</v>
      </c>
      <c r="AG5" s="282">
        <f t="shared" si="9"/>
        <v>-7076.7763882478121</v>
      </c>
      <c r="AH5" s="282">
        <f t="shared" si="9"/>
        <v>926.24833083150497</v>
      </c>
      <c r="AI5" s="282">
        <f t="shared" si="9"/>
        <v>-926.24833083150497</v>
      </c>
      <c r="AJ5" s="282">
        <f t="shared" si="9"/>
        <v>5864.3348316650645</v>
      </c>
      <c r="AK5" s="282">
        <f t="shared" si="9"/>
        <v>646.42427361064006</v>
      </c>
      <c r="AL5" s="282">
        <f t="shared" si="9"/>
        <v>1121.9569059735395</v>
      </c>
      <c r="AM5" s="282">
        <f t="shared" si="9"/>
        <v>-8649.4489926899587</v>
      </c>
      <c r="AN5" s="282">
        <f t="shared" si="9"/>
        <v>-5941.9563521124019</v>
      </c>
      <c r="AO5" s="282">
        <f t="shared" si="9"/>
        <v>3567.6330080734974</v>
      </c>
      <c r="AP5" s="282">
        <f t="shared" si="9"/>
        <v>1121.9569059735395</v>
      </c>
    </row>
    <row r="6" spans="1:61" outlineLevel="1" x14ac:dyDescent="0.25">
      <c r="A6" s="1" t="s">
        <v>313</v>
      </c>
      <c r="B6" s="95">
        <f t="shared" si="10"/>
        <v>3</v>
      </c>
      <c r="C6" s="193">
        <f t="shared" si="11"/>
        <v>4.2253521126760563E-2</v>
      </c>
      <c r="F6" s="294">
        <f t="shared" si="2"/>
        <v>0.66666666666666663</v>
      </c>
      <c r="G6" s="137">
        <f t="shared" si="3"/>
        <v>2171.2210698137415</v>
      </c>
      <c r="H6" s="143">
        <f t="shared" si="4"/>
        <v>723.74035660458048</v>
      </c>
      <c r="I6" s="186">
        <f t="shared" si="12"/>
        <v>703.74472151072439</v>
      </c>
      <c r="J6" t="str">
        <f t="shared" si="5"/>
        <v>meat</v>
      </c>
      <c r="K6" s="342">
        <f t="shared" si="6"/>
        <v>-1</v>
      </c>
      <c r="L6" s="342">
        <f t="shared" si="7"/>
        <v>0.33333333333333331</v>
      </c>
      <c r="M6" s="342">
        <f t="shared" si="7"/>
        <v>0.33333333333333331</v>
      </c>
      <c r="N6" s="342">
        <f t="shared" si="7"/>
        <v>0.33333333333333331</v>
      </c>
      <c r="O6" s="342">
        <f t="shared" si="7"/>
        <v>-1</v>
      </c>
      <c r="P6" s="342">
        <f t="shared" si="8"/>
        <v>-0.33333333333333331</v>
      </c>
      <c r="Q6" s="342">
        <f t="shared" si="8"/>
        <v>0.33333333333333331</v>
      </c>
      <c r="R6" s="342">
        <f t="shared" si="8"/>
        <v>0.33333333333333331</v>
      </c>
      <c r="S6" s="342">
        <f t="shared" si="8"/>
        <v>1</v>
      </c>
      <c r="T6" s="342">
        <f t="shared" si="8"/>
        <v>1</v>
      </c>
      <c r="U6" s="342">
        <f t="shared" si="8"/>
        <v>-1</v>
      </c>
      <c r="V6" s="342">
        <f t="shared" si="8"/>
        <v>1</v>
      </c>
      <c r="W6" s="286"/>
      <c r="X6" s="6"/>
      <c r="Y6" s="1" t="s">
        <v>313</v>
      </c>
      <c r="Z6" s="282">
        <f t="shared" si="9"/>
        <v>2171.2210698137415</v>
      </c>
      <c r="AA6" s="282">
        <f t="shared" si="9"/>
        <v>2111.2341645321731</v>
      </c>
      <c r="AB6" s="282">
        <f t="shared" si="9"/>
        <v>-2111.2341645321731</v>
      </c>
      <c r="AC6" s="282">
        <f t="shared" si="9"/>
        <v>-2111.2341645321731</v>
      </c>
      <c r="AD6" s="282">
        <f t="shared" si="9"/>
        <v>2111.2341645321731</v>
      </c>
      <c r="AE6" s="282">
        <f t="shared" si="9"/>
        <v>1710.6788018118582</v>
      </c>
      <c r="AF6" s="282">
        <f t="shared" si="9"/>
        <v>-1770.6657070934266</v>
      </c>
      <c r="AG6" s="282">
        <f t="shared" si="9"/>
        <v>-1770.6657070934266</v>
      </c>
      <c r="AH6" s="282">
        <f t="shared" si="9"/>
        <v>-2111.2341645321731</v>
      </c>
      <c r="AI6" s="282">
        <f t="shared" si="9"/>
        <v>2111.2341645321731</v>
      </c>
      <c r="AJ6" s="282">
        <f t="shared" si="9"/>
        <v>1770.6657070934266</v>
      </c>
      <c r="AK6" s="282">
        <f t="shared" si="9"/>
        <v>-1770.6657070934266</v>
      </c>
      <c r="AL6" s="282">
        <f t="shared" si="9"/>
        <v>1710.6788018118582</v>
      </c>
      <c r="AM6" s="282">
        <f t="shared" si="9"/>
        <v>2111.2341645321731</v>
      </c>
      <c r="AN6" s="282">
        <f t="shared" si="9"/>
        <v>2111.2341645321731</v>
      </c>
      <c r="AO6" s="282">
        <f t="shared" si="9"/>
        <v>-2111.2341645321731</v>
      </c>
      <c r="AP6" s="282">
        <f t="shared" si="9"/>
        <v>2111.2341645321731</v>
      </c>
    </row>
    <row r="7" spans="1:61" outlineLevel="1" x14ac:dyDescent="0.25">
      <c r="A7" s="1" t="s">
        <v>347</v>
      </c>
      <c r="B7" s="95">
        <f t="shared" si="10"/>
        <v>5</v>
      </c>
      <c r="C7" s="193">
        <f t="shared" si="11"/>
        <v>7.0422535211267609E-2</v>
      </c>
      <c r="F7" s="294">
        <f t="shared" si="2"/>
        <v>0</v>
      </c>
      <c r="G7" s="137">
        <f t="shared" si="3"/>
        <v>8291.8858819458965</v>
      </c>
      <c r="H7" s="143">
        <f t="shared" si="4"/>
        <v>1658.3771763891793</v>
      </c>
      <c r="I7" s="186">
        <f t="shared" si="12"/>
        <v>-1658.3771763891793</v>
      </c>
      <c r="J7" t="str">
        <f t="shared" si="5"/>
        <v>metal</v>
      </c>
      <c r="K7" s="342">
        <f t="shared" si="6"/>
        <v>-0.6</v>
      </c>
      <c r="L7" s="342">
        <f t="shared" si="7"/>
        <v>0.2</v>
      </c>
      <c r="M7" s="342">
        <f t="shared" si="7"/>
        <v>0.2</v>
      </c>
      <c r="N7" s="342">
        <f t="shared" si="7"/>
        <v>-0.2</v>
      </c>
      <c r="O7" s="342">
        <f t="shared" si="7"/>
        <v>-0.6</v>
      </c>
      <c r="P7" s="342">
        <f t="shared" si="8"/>
        <v>-0.6</v>
      </c>
      <c r="Q7" s="342">
        <f t="shared" si="8"/>
        <v>0.2</v>
      </c>
      <c r="R7" s="342">
        <f t="shared" si="8"/>
        <v>0.2</v>
      </c>
      <c r="S7" s="342">
        <f t="shared" si="8"/>
        <v>0.6</v>
      </c>
      <c r="T7" s="342">
        <f t="shared" si="8"/>
        <v>0.6</v>
      </c>
      <c r="U7" s="342">
        <f t="shared" si="8"/>
        <v>0.2</v>
      </c>
      <c r="V7" s="342">
        <f t="shared" si="8"/>
        <v>0.6</v>
      </c>
      <c r="W7" s="286"/>
      <c r="X7" s="6"/>
      <c r="Y7" s="1" t="s">
        <v>347</v>
      </c>
      <c r="Z7" s="282">
        <f t="shared" si="9"/>
        <v>8291.8858819458965</v>
      </c>
      <c r="AA7" s="282">
        <f t="shared" si="9"/>
        <v>2884.4084033543036</v>
      </c>
      <c r="AB7" s="282">
        <f t="shared" si="9"/>
        <v>-2884.4084033543036</v>
      </c>
      <c r="AC7" s="282">
        <f t="shared" si="9"/>
        <v>3283.8302015608028</v>
      </c>
      <c r="AD7" s="282">
        <f t="shared" si="9"/>
        <v>-3283.8302015608028</v>
      </c>
      <c r="AE7" s="282">
        <f t="shared" si="9"/>
        <v>-235.39729095812254</v>
      </c>
      <c r="AF7" s="282">
        <f t="shared" si="9"/>
        <v>-235.39729095812254</v>
      </c>
      <c r="AG7" s="282">
        <f t="shared" si="9"/>
        <v>2542.274752012474</v>
      </c>
      <c r="AH7" s="282">
        <f t="shared" si="9"/>
        <v>5585.5866226850467</v>
      </c>
      <c r="AI7" s="282">
        <f t="shared" si="9"/>
        <v>-5585.5866226850467</v>
      </c>
      <c r="AJ7" s="282">
        <f t="shared" si="9"/>
        <v>2941.6965502189732</v>
      </c>
      <c r="AK7" s="282">
        <f t="shared" si="9"/>
        <v>-2465.7809283726201</v>
      </c>
      <c r="AL7" s="282">
        <f t="shared" si="9"/>
        <v>-577.5309422999519</v>
      </c>
      <c r="AM7" s="282">
        <f t="shared" si="9"/>
        <v>-5585.5866226850467</v>
      </c>
      <c r="AN7" s="282">
        <f t="shared" si="9"/>
        <v>-5585.5866226850467</v>
      </c>
      <c r="AO7" s="282">
        <f t="shared" si="9"/>
        <v>-2542.274752012474</v>
      </c>
      <c r="AP7" s="282">
        <f t="shared" si="9"/>
        <v>-5585.5866226850467</v>
      </c>
    </row>
    <row r="8" spans="1:61" outlineLevel="1" x14ac:dyDescent="0.25">
      <c r="A8" s="1" t="s">
        <v>1122</v>
      </c>
      <c r="B8" s="95">
        <f t="shared" si="10"/>
        <v>10</v>
      </c>
      <c r="C8" s="193">
        <f t="shared" si="11"/>
        <v>0.14084507042253522</v>
      </c>
      <c r="F8" s="294">
        <f t="shared" si="2"/>
        <v>0.7</v>
      </c>
      <c r="G8" s="137">
        <f t="shared" si="3"/>
        <v>12169.401261991554</v>
      </c>
      <c r="H8" s="143">
        <f t="shared" si="4"/>
        <v>1216.9401261991554</v>
      </c>
      <c r="I8" s="186">
        <f t="shared" si="12"/>
        <v>605.84176955310181</v>
      </c>
      <c r="J8" t="str">
        <f t="shared" si="5"/>
        <v>rates</v>
      </c>
      <c r="K8" s="342">
        <f t="shared" si="6"/>
        <v>-0.2</v>
      </c>
      <c r="L8" s="342">
        <f t="shared" si="7"/>
        <v>-0.2</v>
      </c>
      <c r="M8" s="342">
        <f t="shared" si="7"/>
        <v>0</v>
      </c>
      <c r="N8" s="342">
        <f t="shared" si="7"/>
        <v>-0.2</v>
      </c>
      <c r="O8" s="342">
        <f t="shared" si="7"/>
        <v>1</v>
      </c>
      <c r="P8" s="342">
        <f t="shared" si="8"/>
        <v>0</v>
      </c>
      <c r="Q8" s="342">
        <f t="shared" si="8"/>
        <v>-0.6</v>
      </c>
      <c r="R8" s="342">
        <f t="shared" si="8"/>
        <v>0</v>
      </c>
      <c r="S8" s="342">
        <f t="shared" si="8"/>
        <v>-0.6</v>
      </c>
      <c r="T8" s="342">
        <f t="shared" si="8"/>
        <v>-0.6</v>
      </c>
      <c r="U8" s="342">
        <f t="shared" si="8"/>
        <v>0.4</v>
      </c>
      <c r="V8" s="342">
        <f t="shared" si="8"/>
        <v>-0.4</v>
      </c>
      <c r="W8" s="286"/>
      <c r="X8" s="6"/>
      <c r="Y8" s="1" t="s">
        <v>1122</v>
      </c>
      <c r="Z8" s="282">
        <f t="shared" si="9"/>
        <v>12169.401261991554</v>
      </c>
      <c r="AA8" s="282">
        <f t="shared" si="9"/>
        <v>-6058.4176955310186</v>
      </c>
      <c r="AB8" s="282">
        <f t="shared" si="9"/>
        <v>6058.4176955310186</v>
      </c>
      <c r="AC8" s="282">
        <f t="shared" si="9"/>
        <v>-10929.122950774843</v>
      </c>
      <c r="AD8" s="282">
        <f t="shared" si="9"/>
        <v>10929.122950774843</v>
      </c>
      <c r="AE8" s="282">
        <f t="shared" si="9"/>
        <v>-2968.505027884803</v>
      </c>
      <c r="AF8" s="282">
        <f t="shared" si="9"/>
        <v>-5891.0064058534326</v>
      </c>
      <c r="AG8" s="282">
        <f t="shared" si="9"/>
        <v>-1286.6145775435537</v>
      </c>
      <c r="AH8" s="282">
        <f t="shared" si="9"/>
        <v>6058.4176955310186</v>
      </c>
      <c r="AI8" s="282">
        <f t="shared" si="9"/>
        <v>-6058.4176955310186</v>
      </c>
      <c r="AJ8" s="282">
        <f t="shared" si="9"/>
        <v>-4526.4872581454092</v>
      </c>
      <c r="AK8" s="282">
        <f t="shared" si="9"/>
        <v>-6873.8339828520047</v>
      </c>
      <c r="AL8" s="282">
        <f t="shared" si="9"/>
        <v>-108.42711645175109</v>
      </c>
      <c r="AM8" s="282">
        <f t="shared" si="9"/>
        <v>-471.19829022256931</v>
      </c>
      <c r="AN8" s="282">
        <f t="shared" si="9"/>
        <v>-471.19829022256931</v>
      </c>
      <c r="AO8" s="282">
        <f t="shared" si="9"/>
        <v>471.19829022256931</v>
      </c>
      <c r="AP8" s="282">
        <f t="shared" si="9"/>
        <v>2451.3030877460606</v>
      </c>
    </row>
    <row r="9" spans="1:61" outlineLevel="1" x14ac:dyDescent="0.25">
      <c r="A9" s="17" t="s">
        <v>304</v>
      </c>
      <c r="B9" s="295">
        <f t="shared" si="10"/>
        <v>7</v>
      </c>
      <c r="C9" s="200">
        <f t="shared" si="11"/>
        <v>9.8591549295774641E-2</v>
      </c>
      <c r="D9" s="126"/>
      <c r="F9" s="294">
        <f t="shared" si="2"/>
        <v>0.2857142857142857</v>
      </c>
      <c r="G9" s="199">
        <f t="shared" si="3"/>
        <v>4902.9834476280848</v>
      </c>
      <c r="H9" s="143">
        <f t="shared" si="4"/>
        <v>700.42620680401217</v>
      </c>
      <c r="I9" s="186">
        <f t="shared" si="12"/>
        <v>-478.62575305090769</v>
      </c>
      <c r="J9" t="str">
        <f t="shared" si="5"/>
        <v>soft</v>
      </c>
      <c r="K9" s="342">
        <f t="shared" si="6"/>
        <v>-0.14285714285714285</v>
      </c>
      <c r="L9" s="342">
        <f t="shared" si="7"/>
        <v>0.42857142857142855</v>
      </c>
      <c r="M9" s="342">
        <f t="shared" si="7"/>
        <v>0.14285714285714285</v>
      </c>
      <c r="N9" s="342">
        <f t="shared" si="7"/>
        <v>0.42857142857142855</v>
      </c>
      <c r="O9" s="342">
        <f t="shared" si="7"/>
        <v>0.42857142857142855</v>
      </c>
      <c r="P9" s="342">
        <f t="shared" si="8"/>
        <v>-0.42857142857142855</v>
      </c>
      <c r="Q9" s="342">
        <f t="shared" si="8"/>
        <v>0.14285714285714285</v>
      </c>
      <c r="R9" s="342">
        <f t="shared" si="8"/>
        <v>0.14285714285714285</v>
      </c>
      <c r="S9" s="342">
        <f t="shared" si="8"/>
        <v>-0.14285714285714285</v>
      </c>
      <c r="T9" s="342">
        <f t="shared" si="8"/>
        <v>-0.14285714285714285</v>
      </c>
      <c r="U9" s="342">
        <f t="shared" si="8"/>
        <v>-0.14285714285714285</v>
      </c>
      <c r="V9" s="342">
        <f t="shared" si="8"/>
        <v>-0.42857142857142855</v>
      </c>
      <c r="W9" s="286"/>
      <c r="X9" s="6"/>
      <c r="Y9" s="17" t="s">
        <v>304</v>
      </c>
      <c r="Z9" s="283">
        <f t="shared" si="9"/>
        <v>4902.9834476280848</v>
      </c>
      <c r="AA9" s="283">
        <f t="shared" si="9"/>
        <v>-3350.3802713563537</v>
      </c>
      <c r="AB9" s="283">
        <f t="shared" si="9"/>
        <v>3350.3802713563537</v>
      </c>
      <c r="AC9" s="283">
        <f t="shared" si="9"/>
        <v>-1194.9274428513233</v>
      </c>
      <c r="AD9" s="283">
        <f t="shared" si="9"/>
        <v>1194.9274428513233</v>
      </c>
      <c r="AE9" s="283">
        <f t="shared" si="9"/>
        <v>-1958.4664867402169</v>
      </c>
      <c r="AF9" s="283">
        <f t="shared" si="9"/>
        <v>-1159.9470333230497</v>
      </c>
      <c r="AG9" s="283">
        <f t="shared" si="9"/>
        <v>-1159.9470333230497</v>
      </c>
      <c r="AH9" s="283">
        <f t="shared" si="9"/>
        <v>-4902.9834476280848</v>
      </c>
      <c r="AI9" s="283">
        <f t="shared" si="9"/>
        <v>4902.9834476280848</v>
      </c>
      <c r="AJ9" s="283">
        <f t="shared" si="9"/>
        <v>-1215.7312249382428</v>
      </c>
      <c r="AK9" s="283">
        <f t="shared" si="9"/>
        <v>-203.79601427975041</v>
      </c>
      <c r="AL9" s="283">
        <f t="shared" si="9"/>
        <v>-1417.7985211269777</v>
      </c>
      <c r="AM9" s="283">
        <f t="shared" si="9"/>
        <v>3946.8324285847857</v>
      </c>
      <c r="AN9" s="283">
        <f t="shared" si="9"/>
        <v>1334.1064646064847</v>
      </c>
      <c r="AO9" s="283">
        <f t="shared" si="9"/>
        <v>1180.7508154099689</v>
      </c>
      <c r="AP9" s="283">
        <f t="shared" si="9"/>
        <v>3148.3129751676183</v>
      </c>
    </row>
    <row r="10" spans="1:61" outlineLevel="1" x14ac:dyDescent="0.25">
      <c r="B10">
        <f>SUM(B2:B9)</f>
        <v>71</v>
      </c>
      <c r="C10" s="193">
        <f t="shared" si="11"/>
        <v>1</v>
      </c>
      <c r="D10" s="126"/>
      <c r="F10" s="294">
        <f>SUMIFS(H$14:H$92,H$14:H$92,1,$C$14:$C$92,"&lt;&gt;offline")/$B10</f>
        <v>0.50704225352112675</v>
      </c>
      <c r="G10" s="167">
        <f>SUM(G2:G9)</f>
        <v>68878.369700059789</v>
      </c>
      <c r="H10" s="143">
        <f t="shared" si="4"/>
        <v>970.1178830994337</v>
      </c>
      <c r="I10" s="186">
        <f>SUM(F14:F92)/B10</f>
        <v>234.92559959298799</v>
      </c>
      <c r="J10" s="137"/>
      <c r="K10" s="6"/>
      <c r="L10" s="292"/>
      <c r="M10" s="286"/>
      <c r="N10" s="292"/>
      <c r="O10" s="6"/>
      <c r="R10" s="6"/>
      <c r="S10" s="286"/>
      <c r="T10" s="286"/>
      <c r="U10" s="286"/>
      <c r="V10" s="6"/>
      <c r="W10" s="286"/>
      <c r="X10" s="6"/>
      <c r="Y10" s="6" t="s">
        <v>1245</v>
      </c>
      <c r="Z10" s="284">
        <f>SUM(Z2:Z9)</f>
        <v>68878.369700059789</v>
      </c>
      <c r="AA10" s="284">
        <f t="shared" ref="AA10:AP10" si="13">SUM(AA2:AA9)</f>
        <v>14309.661476888439</v>
      </c>
      <c r="AB10" s="284">
        <f t="shared" si="13"/>
        <v>-14309.661476888439</v>
      </c>
      <c r="AC10" s="284">
        <f t="shared" si="13"/>
        <v>-3551.0376537920292</v>
      </c>
      <c r="AD10" s="284">
        <f t="shared" si="13"/>
        <v>3551.0376537920292</v>
      </c>
      <c r="AE10" s="284">
        <f t="shared" si="13"/>
        <v>-1044.2537178677537</v>
      </c>
      <c r="AF10" s="284">
        <f t="shared" si="13"/>
        <v>-8356.0854438671468</v>
      </c>
      <c r="AG10" s="284">
        <f t="shared" si="13"/>
        <v>111.87143497307511</v>
      </c>
      <c r="AH10" s="284">
        <f t="shared" si="13"/>
        <v>12306.867378509203</v>
      </c>
      <c r="AI10" s="284">
        <f t="shared" si="13"/>
        <v>-12306.867378509203</v>
      </c>
      <c r="AJ10" s="284">
        <f t="shared" si="13"/>
        <v>6323.6872812750116</v>
      </c>
      <c r="AK10" s="284">
        <f t="shared" si="13"/>
        <v>-8188.3255027789191</v>
      </c>
      <c r="AL10" s="284">
        <f t="shared" si="13"/>
        <v>-3498.11181974582</v>
      </c>
      <c r="AM10" s="284">
        <f t="shared" si="13"/>
        <v>-10100.619128702052</v>
      </c>
      <c r="AN10" s="284">
        <f t="shared" si="13"/>
        <v>-11375.243994703311</v>
      </c>
      <c r="AO10" s="284">
        <f t="shared" si="13"/>
        <v>-3067.2290501809539</v>
      </c>
      <c r="AP10" s="284">
        <f t="shared" si="13"/>
        <v>1091.2799834234279</v>
      </c>
    </row>
    <row r="11" spans="1:61" outlineLevel="1" x14ac:dyDescent="0.25">
      <c r="H11" t="s">
        <v>1158</v>
      </c>
      <c r="I11" s="95">
        <v>0.75</v>
      </c>
      <c r="J11">
        <v>0.5</v>
      </c>
      <c r="K11">
        <v>1</v>
      </c>
      <c r="X11" s="112" t="s">
        <v>1281</v>
      </c>
      <c r="Y11" s="352">
        <v>2505.8825765419137</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6" t="str">
        <f t="shared" ref="Z12:AP12" si="14">Z93&amp;" ACC "&amp;ROUND(Z94,2)*100&amp;"% PNL "&amp;ROUND(Z10,0)</f>
        <v>MAX ACC 97% PNL 68878</v>
      </c>
      <c r="AA12" s="308" t="str">
        <f t="shared" si="14"/>
        <v>RISK-ON ACC 49% PNL 14310</v>
      </c>
      <c r="AB12" s="308" t="str">
        <f t="shared" si="14"/>
        <v>RISK-OFF ACC 48% PNL -14310</v>
      </c>
      <c r="AC12" s="308" t="str">
        <f t="shared" si="14"/>
        <v>Previous ACC 44% PNL -3551</v>
      </c>
      <c r="AD12" s="337" t="str">
        <f t="shared" si="14"/>
        <v>Anti-Previous ACC 54% PNL 3551</v>
      </c>
      <c r="AE12" s="338" t="str">
        <f t="shared" si="14"/>
        <v>&gt;equity ACC 46% PNL -1044</v>
      </c>
      <c r="AF12" s="338" t="str">
        <f t="shared" si="14"/>
        <v>50/50 ACC 42% PNL -8356</v>
      </c>
      <c r="AG12" s="338" t="str">
        <f t="shared" si="14"/>
        <v>&lt;equity ACC 46% PNL 112</v>
      </c>
      <c r="AH12" s="339" t="str">
        <f t="shared" si="14"/>
        <v>SEASONALITY ACC 51% PNL 12307</v>
      </c>
      <c r="AI12" s="339" t="str">
        <f t="shared" si="14"/>
        <v>ANTI-SEASONALITY ACC 46% PNL -12307</v>
      </c>
      <c r="AJ12" s="339" t="str">
        <f t="shared" si="14"/>
        <v>ADJ_SEASONALITY ACC 46% PNL 6324</v>
      </c>
      <c r="AK12" s="340" t="str">
        <f t="shared" si="14"/>
        <v>V1 ACC 44% PNL -8188</v>
      </c>
      <c r="AL12" s="340" t="str">
        <f t="shared" si="14"/>
        <v>V2 ACC 48% PNL -3498</v>
      </c>
      <c r="AM12" s="340" t="str">
        <f t="shared" si="14"/>
        <v>V3 ACC 48% PNL -10101</v>
      </c>
      <c r="AN12" s="340" t="str">
        <f t="shared" si="14"/>
        <v>V4 ACC 45% PNL -11375</v>
      </c>
      <c r="AO12" s="340" t="str">
        <f t="shared" si="14"/>
        <v>V5 ACC 49% PNL -3067</v>
      </c>
      <c r="AP12" s="340" t="str">
        <f t="shared" si="14"/>
        <v>V6 ACC 54% PNL 1091</v>
      </c>
    </row>
    <row r="13" spans="1:61" ht="15.75" thickBot="1" x14ac:dyDescent="0.3">
      <c r="A13" s="3"/>
      <c r="B13" s="164"/>
      <c r="C13" s="164"/>
      <c r="E13" s="240">
        <f>COUNTIF(E14:E92,1)/COUNT(E14:E92)</f>
        <v>0.54430379746835444</v>
      </c>
      <c r="H13" s="240">
        <f>COUNTIF(H14:H92,1)/COUNT(H14:H92)</f>
        <v>0.53164556962025311</v>
      </c>
      <c r="I13" s="240">
        <f>COUNTIF(I14:I92,1)/COUNT(I14:I92)</f>
        <v>0.569620253164557</v>
      </c>
      <c r="J13" s="240">
        <f t="shared" ref="J13:L13" si="15">COUNTIF(J14:J92,1)/COUNT(J14:J92)</f>
        <v>0.46835443037974683</v>
      </c>
      <c r="K13" s="240">
        <f t="shared" si="15"/>
        <v>0.569620253164557</v>
      </c>
      <c r="L13" s="240">
        <f t="shared" si="15"/>
        <v>0.59493670886075944</v>
      </c>
      <c r="M13" s="240"/>
      <c r="O13" s="240">
        <f t="shared" ref="O13:U13" si="16">COUNTIF(O14:O92,1)/COUNT(O14:O92)</f>
        <v>0.53164556962025311</v>
      </c>
      <c r="P13" s="240">
        <f t="shared" si="16"/>
        <v>0.54430379746835444</v>
      </c>
      <c r="Q13" s="240">
        <f t="shared" si="16"/>
        <v>0.45569620253164556</v>
      </c>
      <c r="R13" s="240">
        <f t="shared" si="16"/>
        <v>0.43037974683544306</v>
      </c>
      <c r="S13" s="240">
        <f t="shared" si="16"/>
        <v>0.45569620253164556</v>
      </c>
      <c r="T13" s="240">
        <f t="shared" si="16"/>
        <v>0.46835443037974683</v>
      </c>
      <c r="U13" s="240">
        <f t="shared" si="16"/>
        <v>0.39240506329113922</v>
      </c>
      <c r="W13" s="179"/>
      <c r="X13" s="353">
        <v>24543947.96774786</v>
      </c>
      <c r="Y13" s="353">
        <v>861779.10664455185</v>
      </c>
      <c r="Z13" s="187">
        <f t="shared" ref="Z13:AP13" si="17">SUM(Z14:Z92)</f>
        <v>68878.369700059789</v>
      </c>
      <c r="AA13" s="187">
        <f t="shared" si="17"/>
        <v>14309.661476888434</v>
      </c>
      <c r="AB13" s="187">
        <f t="shared" si="17"/>
        <v>-14309.661476888434</v>
      </c>
      <c r="AC13" s="187">
        <f>SUM(AC14:AC92)</f>
        <v>-3551.0376537920247</v>
      </c>
      <c r="AD13" s="187">
        <f t="shared" si="17"/>
        <v>3551.0376537920247</v>
      </c>
      <c r="AE13" s="187">
        <f t="shared" si="17"/>
        <v>-1044.2537178677533</v>
      </c>
      <c r="AF13" s="187">
        <f t="shared" si="17"/>
        <v>-8356.0854438671431</v>
      </c>
      <c r="AG13" s="187">
        <f t="shared" si="17"/>
        <v>111.87143497307784</v>
      </c>
      <c r="AH13" s="187">
        <f t="shared" si="17"/>
        <v>12306.867378509203</v>
      </c>
      <c r="AI13" s="187">
        <f t="shared" si="17"/>
        <v>-12306.867378509203</v>
      </c>
      <c r="AJ13" s="187">
        <f>SUM(AJ14:AJ92)</f>
        <v>6323.6872812750144</v>
      </c>
      <c r="AK13" s="187">
        <f>SUM(AK14:AK92)</f>
        <v>-8188.3255027789173</v>
      </c>
      <c r="AL13" s="187">
        <f t="shared" si="17"/>
        <v>-3498.1118197458209</v>
      </c>
      <c r="AM13" s="187">
        <f>SUM(AM14:AM92)</f>
        <v>-10100.61912870205</v>
      </c>
      <c r="AN13" s="187">
        <f t="shared" si="17"/>
        <v>-11375.243994703314</v>
      </c>
      <c r="AO13" s="187">
        <f t="shared" si="17"/>
        <v>-3067.229050180953</v>
      </c>
      <c r="AP13" s="187">
        <f t="shared" si="17"/>
        <v>1091.2799834234288</v>
      </c>
    </row>
    <row r="14" spans="1:61" ht="15.75" thickBot="1" x14ac:dyDescent="0.3">
      <c r="A14" s="328" t="s">
        <v>287</v>
      </c>
      <c r="B14" s="329" t="s">
        <v>558</v>
      </c>
      <c r="C14" s="330" t="s">
        <v>1285</v>
      </c>
      <c r="E14" s="201">
        <f>'0811'!H14</f>
        <v>-1</v>
      </c>
      <c r="F14" s="186">
        <f t="shared" ref="F14:F77" si="18">G14*X14</f>
        <v>0</v>
      </c>
      <c r="G14" s="201">
        <v>-4.9435028248600004E-3</v>
      </c>
      <c r="H14" s="202">
        <v>-1</v>
      </c>
      <c r="I14" s="202">
        <v>-1</v>
      </c>
      <c r="J14" s="225">
        <v>-1</v>
      </c>
      <c r="K14" s="225">
        <v>1</v>
      </c>
      <c r="L14" s="201">
        <v>1</v>
      </c>
      <c r="M14" s="226">
        <v>-7</v>
      </c>
      <c r="N14" s="287">
        <v>42584</v>
      </c>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v>0</v>
      </c>
      <c r="W14">
        <v>1</v>
      </c>
      <c r="X14" s="354">
        <v>0</v>
      </c>
      <c r="Y14" s="354">
        <v>0</v>
      </c>
      <c r="Z14" s="188">
        <f t="shared" ref="Z14:Z77" si="24">ABS(X14*G14)</f>
        <v>0</v>
      </c>
      <c r="AA14" s="188">
        <f>IF(IF(sym!$Q3=H14,1,0)=1,ABS(X14*G14),-ABS(X14*G14))</f>
        <v>0</v>
      </c>
      <c r="AB14" s="188">
        <f>IF(IF(sym!$P3=$H14,1,0)=1,ABS($X14*$G14),-ABS($X14*$G14))</f>
        <v>0</v>
      </c>
      <c r="AC14" s="188">
        <f>IF(IF(E14=H14,1,0)=1,ABS(X14*G14),-ABS(X14*G14))</f>
        <v>0</v>
      </c>
      <c r="AD14" s="188">
        <f t="shared" ref="AD14:AD77" si="25">IF(IF(-E14=H14,1,0)=1,ABS(X14*G14),-ABS(X14*G14))</f>
        <v>0</v>
      </c>
      <c r="AE14" s="188">
        <f t="shared" ref="AE14:AE77" si="2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7">IF(IF(P14=H14,1,0)=1,ABS(X14*G14),-ABS(X14*G14))</f>
        <v>0</v>
      </c>
      <c r="AL14" s="188">
        <f t="shared" ref="AL14:AL77" si="28">IF(IF(H14=Q14,1,0)=1,ABS(X14*G14),-ABS(X14*G14))</f>
        <v>0</v>
      </c>
      <c r="AM14" s="188">
        <f t="shared" ref="AM14:AM77" si="29">IF(IF(R14=H14,1,0)=1,ABS(X14*G14),-ABS(X14*G14))</f>
        <v>0</v>
      </c>
      <c r="AN14" s="188">
        <f t="shared" ref="AN14:AN77" si="30">IF(IF(S14=H14,1,0)=1,ABS(X14*G14),-ABS(X14*G14))</f>
        <v>0</v>
      </c>
      <c r="AO14" s="188">
        <f t="shared" ref="AO14:AP45" si="31">IF(IF(T14=$H14,1,0)=1,ABS($X14*$G14),-ABS($X14*$G14))</f>
        <v>0</v>
      </c>
      <c r="AP14" s="188">
        <f t="shared" si="31"/>
        <v>0</v>
      </c>
    </row>
    <row r="15" spans="1:61" ht="15.75" thickBot="1" x14ac:dyDescent="0.3">
      <c r="A15" s="1" t="s">
        <v>290</v>
      </c>
      <c r="B15" s="149" t="s">
        <v>470</v>
      </c>
      <c r="C15" s="192" t="s">
        <v>1121</v>
      </c>
      <c r="E15" s="201">
        <f>'0811'!H15</f>
        <v>-1</v>
      </c>
      <c r="F15" s="186">
        <f t="shared" si="18"/>
        <v>-1667.7770559966252</v>
      </c>
      <c r="G15" s="202">
        <v>-7.27556190724E-3</v>
      </c>
      <c r="H15" s="202">
        <v>-1</v>
      </c>
      <c r="I15" s="202">
        <v>1</v>
      </c>
      <c r="J15" s="227">
        <v>-1</v>
      </c>
      <c r="K15" s="227">
        <v>1</v>
      </c>
      <c r="L15" s="202">
        <v>-1</v>
      </c>
      <c r="M15" s="228">
        <v>-14</v>
      </c>
      <c r="N15" s="288">
        <v>42573</v>
      </c>
      <c r="O15">
        <f t="shared" si="19"/>
        <v>1</v>
      </c>
      <c r="P15">
        <f t="shared" ref="P15:P78" si="32">IF(E15+K15-L15&gt;0,1,-1)</f>
        <v>1</v>
      </c>
      <c r="Q15">
        <f t="shared" si="20"/>
        <v>1</v>
      </c>
      <c r="R15">
        <f t="shared" si="21"/>
        <v>1</v>
      </c>
      <c r="S15">
        <f t="shared" si="22"/>
        <v>1</v>
      </c>
      <c r="T15">
        <f t="shared" si="23"/>
        <v>-1</v>
      </c>
      <c r="U15">
        <f t="shared" ref="U15:U78" si="33">IF(-E15+J15-L15&lt;0,-1,1)</f>
        <v>1</v>
      </c>
      <c r="V15">
        <v>3</v>
      </c>
      <c r="W15">
        <v>1</v>
      </c>
      <c r="X15" s="354">
        <v>229230</v>
      </c>
      <c r="Y15" s="354">
        <v>7968</v>
      </c>
      <c r="Z15" s="188">
        <f t="shared" si="24"/>
        <v>1667.7770559966252</v>
      </c>
      <c r="AA15" s="188">
        <f>IF(IF(sym!$Q4=H15,1,0)=1,ABS(X15*G15),-ABS(X15*G15))</f>
        <v>-1667.7770559966252</v>
      </c>
      <c r="AB15" s="188">
        <f>IF(IF(sym!$P4=$H15,1,0)=1,ABS($X15*$G15),-ABS($X15*$G15))</f>
        <v>1667.7770559966252</v>
      </c>
      <c r="AC15" s="188">
        <f>IF(IF(E15=H15,1,0)=1,ABS(X15*G15),-ABS(X15*G15))</f>
        <v>1667.7770559966252</v>
      </c>
      <c r="AD15" s="188">
        <f t="shared" si="25"/>
        <v>-1667.7770559966252</v>
      </c>
      <c r="AE15" s="188">
        <f t="shared" si="26"/>
        <v>1667.7770559966252</v>
      </c>
      <c r="AF15" s="188">
        <f t="shared" ref="AF15:AF78" si="34">IF(IF(I15=H15,1,0)=1,ABS(X15*G15),-ABS(X15*G15))</f>
        <v>-1667.7770559966252</v>
      </c>
      <c r="AG15" s="188">
        <f t="shared" ref="AG15:AG78" si="35">IF(IF(K15=H15,1,0)=1,ABS(X15*G15),-ABS(X15*G15))</f>
        <v>-1667.7770559966252</v>
      </c>
      <c r="AH15" s="188">
        <f t="shared" ref="AH15:AH78" si="36">IF(IF(L15=H15,1,0)=1,ABS(X15*G15),-ABS(X15*G15))</f>
        <v>1667.7770559966252</v>
      </c>
      <c r="AI15" s="188">
        <f t="shared" ref="AI15:AI78" si="37">IF(IF(-L15=H15,1,0)=1,ABS(X15*G15),-ABS(X15*G15))</f>
        <v>-1667.7770559966252</v>
      </c>
      <c r="AJ15" s="188">
        <f t="shared" ref="AJ15:AJ78" si="38">IF(IF(O15=H15,1,0)=1,ABS(X15*G15),-ABS(X15*G15))</f>
        <v>-1667.7770559966252</v>
      </c>
      <c r="AK15" s="188">
        <f t="shared" si="27"/>
        <v>-1667.7770559966252</v>
      </c>
      <c r="AL15" s="188">
        <f t="shared" si="28"/>
        <v>-1667.7770559966252</v>
      </c>
      <c r="AM15" s="188">
        <f t="shared" si="29"/>
        <v>-1667.7770559966252</v>
      </c>
      <c r="AN15" s="188">
        <f t="shared" si="30"/>
        <v>-1667.7770559966252</v>
      </c>
      <c r="AO15" s="188">
        <f t="shared" si="31"/>
        <v>1667.7770559966252</v>
      </c>
      <c r="AP15" s="188">
        <f t="shared" si="31"/>
        <v>-1667.7770559966252</v>
      </c>
    </row>
    <row r="16" spans="1:61" ht="15.75" thickBot="1" x14ac:dyDescent="0.3">
      <c r="A16" s="1" t="s">
        <v>292</v>
      </c>
      <c r="B16" s="149" t="s">
        <v>292</v>
      </c>
      <c r="C16" s="192" t="s">
        <v>294</v>
      </c>
      <c r="E16" s="201">
        <f>'0811'!H16</f>
        <v>1</v>
      </c>
      <c r="F16" s="186">
        <f t="shared" si="18"/>
        <v>-623.26099088303806</v>
      </c>
      <c r="G16" s="202">
        <v>-3.0759090409800001E-3</v>
      </c>
      <c r="H16" s="202">
        <v>-1</v>
      </c>
      <c r="I16" s="202">
        <v>1</v>
      </c>
      <c r="J16" s="227">
        <v>-1</v>
      </c>
      <c r="K16" s="227">
        <v>1</v>
      </c>
      <c r="L16" s="202">
        <v>-1</v>
      </c>
      <c r="M16" s="228">
        <v>-7</v>
      </c>
      <c r="N16" s="288">
        <v>42584</v>
      </c>
      <c r="O16">
        <f t="shared" si="19"/>
        <v>1</v>
      </c>
      <c r="P16">
        <f t="shared" si="32"/>
        <v>1</v>
      </c>
      <c r="Q16">
        <f t="shared" si="20"/>
        <v>-1</v>
      </c>
      <c r="R16">
        <f t="shared" si="21"/>
        <v>1</v>
      </c>
      <c r="S16">
        <f t="shared" si="22"/>
        <v>1</v>
      </c>
      <c r="T16">
        <f t="shared" si="23"/>
        <v>-1</v>
      </c>
      <c r="U16">
        <f t="shared" si="33"/>
        <v>-1</v>
      </c>
      <c r="V16">
        <v>2</v>
      </c>
      <c r="W16">
        <v>1</v>
      </c>
      <c r="X16" s="354">
        <v>202626.6</v>
      </c>
      <c r="Y16" s="354">
        <v>21702.815999999999</v>
      </c>
      <c r="Z16" s="188">
        <f t="shared" si="24"/>
        <v>623.26099088303806</v>
      </c>
      <c r="AA16" s="188">
        <f>IF(IF(sym!$Q5=H16,1,0)=1,ABS(X16*G16),-ABS(X16*G16))</f>
        <v>-623.26099088303806</v>
      </c>
      <c r="AB16" s="188">
        <f>IF(IF(sym!$P5=$H16,1,0)=1,ABS($X16*$G16),-ABS($X16*$G16))</f>
        <v>623.26099088303806</v>
      </c>
      <c r="AC16" s="188">
        <f t="shared" ref="AC16:AC79" si="39">IF(IF(E16=H16,1,0)=1,ABS(X16*G16),-ABS(X16*G16))</f>
        <v>-623.26099088303806</v>
      </c>
      <c r="AD16" s="188">
        <f t="shared" si="25"/>
        <v>623.26099088303806</v>
      </c>
      <c r="AE16" s="188">
        <f t="shared" si="26"/>
        <v>623.26099088303806</v>
      </c>
      <c r="AF16" s="188">
        <f t="shared" si="34"/>
        <v>-623.26099088303806</v>
      </c>
      <c r="AG16" s="188">
        <f t="shared" si="35"/>
        <v>-623.26099088303806</v>
      </c>
      <c r="AH16" s="188">
        <f t="shared" si="36"/>
        <v>623.26099088303806</v>
      </c>
      <c r="AI16" s="188">
        <f t="shared" si="37"/>
        <v>-623.26099088303806</v>
      </c>
      <c r="AJ16" s="188">
        <f t="shared" si="38"/>
        <v>-623.26099088303806</v>
      </c>
      <c r="AK16" s="188">
        <f t="shared" si="27"/>
        <v>-623.26099088303806</v>
      </c>
      <c r="AL16" s="188">
        <f t="shared" si="28"/>
        <v>623.26099088303806</v>
      </c>
      <c r="AM16" s="188">
        <f t="shared" si="29"/>
        <v>-623.26099088303806</v>
      </c>
      <c r="AN16" s="188">
        <f t="shared" si="30"/>
        <v>-623.26099088303806</v>
      </c>
      <c r="AO16" s="188">
        <f t="shared" si="31"/>
        <v>623.26099088303806</v>
      </c>
      <c r="AP16" s="188">
        <f t="shared" si="31"/>
        <v>623.26099088303806</v>
      </c>
    </row>
    <row r="17" spans="1:42" ht="15.75" thickBot="1" x14ac:dyDescent="0.3">
      <c r="A17" s="1" t="s">
        <v>295</v>
      </c>
      <c r="B17" s="149" t="s">
        <v>728</v>
      </c>
      <c r="C17" s="192" t="s">
        <v>297</v>
      </c>
      <c r="E17" s="201">
        <f>'0811'!H17</f>
        <v>1</v>
      </c>
      <c r="F17" s="186">
        <f t="shared" si="18"/>
        <v>725.36479354219648</v>
      </c>
      <c r="G17" s="202">
        <v>7.4511021421899996E-3</v>
      </c>
      <c r="H17" s="202">
        <v>1</v>
      </c>
      <c r="I17" s="202">
        <v>1</v>
      </c>
      <c r="J17" s="227">
        <v>-1</v>
      </c>
      <c r="K17" s="227">
        <v>1</v>
      </c>
      <c r="L17" s="202">
        <v>-1</v>
      </c>
      <c r="M17" s="228">
        <v>-7</v>
      </c>
      <c r="N17" s="288">
        <v>42584</v>
      </c>
      <c r="O17">
        <f t="shared" si="19"/>
        <v>1</v>
      </c>
      <c r="P17">
        <f t="shared" si="32"/>
        <v>1</v>
      </c>
      <c r="Q17">
        <f t="shared" si="20"/>
        <v>-1</v>
      </c>
      <c r="R17">
        <f t="shared" si="21"/>
        <v>1</v>
      </c>
      <c r="S17">
        <f t="shared" si="22"/>
        <v>1</v>
      </c>
      <c r="T17">
        <f t="shared" si="23"/>
        <v>-1</v>
      </c>
      <c r="U17">
        <f t="shared" si="33"/>
        <v>-1</v>
      </c>
      <c r="V17">
        <v>5</v>
      </c>
      <c r="W17">
        <v>1</v>
      </c>
      <c r="X17" s="354">
        <v>97350</v>
      </c>
      <c r="Y17" s="354">
        <v>4685</v>
      </c>
      <c r="Z17" s="188">
        <f t="shared" si="24"/>
        <v>725.36479354219648</v>
      </c>
      <c r="AA17" s="188">
        <f>IF(IF(sym!$Q6=H17,1,0)=1,ABS(X17*G17),-ABS(X17*G17))</f>
        <v>725.36479354219648</v>
      </c>
      <c r="AB17" s="188">
        <f>IF(IF(sym!$P6=$H17,1,0)=1,ABS($X17*$G17),-ABS($X17*$G17))</f>
        <v>-725.36479354219648</v>
      </c>
      <c r="AC17" s="188">
        <f t="shared" si="39"/>
        <v>725.36479354219648</v>
      </c>
      <c r="AD17" s="188">
        <f t="shared" si="25"/>
        <v>-725.36479354219648</v>
      </c>
      <c r="AE17" s="188">
        <f t="shared" si="26"/>
        <v>-725.36479354219648</v>
      </c>
      <c r="AF17" s="188">
        <f t="shared" si="34"/>
        <v>725.36479354219648</v>
      </c>
      <c r="AG17" s="188">
        <f t="shared" si="35"/>
        <v>725.36479354219648</v>
      </c>
      <c r="AH17" s="188">
        <f t="shared" si="36"/>
        <v>-725.36479354219648</v>
      </c>
      <c r="AI17" s="188">
        <f t="shared" si="37"/>
        <v>725.36479354219648</v>
      </c>
      <c r="AJ17" s="188">
        <f t="shared" si="38"/>
        <v>725.36479354219648</v>
      </c>
      <c r="AK17" s="188">
        <f t="shared" si="27"/>
        <v>725.36479354219648</v>
      </c>
      <c r="AL17" s="188">
        <f t="shared" si="28"/>
        <v>-725.36479354219648</v>
      </c>
      <c r="AM17" s="188">
        <f t="shared" si="29"/>
        <v>725.36479354219648</v>
      </c>
      <c r="AN17" s="188">
        <f t="shared" si="30"/>
        <v>725.36479354219648</v>
      </c>
      <c r="AO17" s="188">
        <f t="shared" si="31"/>
        <v>-725.36479354219648</v>
      </c>
      <c r="AP17" s="188">
        <f t="shared" si="31"/>
        <v>-725.36479354219648</v>
      </c>
    </row>
    <row r="18" spans="1:42" ht="15.75" thickBot="1" x14ac:dyDescent="0.3">
      <c r="A18" s="1" t="s">
        <v>298</v>
      </c>
      <c r="B18" s="149" t="s">
        <v>479</v>
      </c>
      <c r="C18" s="192" t="s">
        <v>1121</v>
      </c>
      <c r="E18" s="201">
        <f>'0811'!H18</f>
        <v>-1</v>
      </c>
      <c r="F18" s="186">
        <f t="shared" si="18"/>
        <v>-971.09278668404545</v>
      </c>
      <c r="G18" s="202">
        <v>-4.00739827374E-3</v>
      </c>
      <c r="H18" s="202">
        <v>-1</v>
      </c>
      <c r="I18" s="202">
        <v>-1</v>
      </c>
      <c r="J18" s="227">
        <v>1</v>
      </c>
      <c r="K18" s="227">
        <v>-1</v>
      </c>
      <c r="L18" s="202">
        <v>-1</v>
      </c>
      <c r="M18" s="228">
        <v>7</v>
      </c>
      <c r="N18" s="288">
        <v>42584</v>
      </c>
      <c r="O18">
        <f t="shared" si="19"/>
        <v>-1</v>
      </c>
      <c r="P18">
        <f t="shared" si="32"/>
        <v>-1</v>
      </c>
      <c r="Q18">
        <f t="shared" si="20"/>
        <v>1</v>
      </c>
      <c r="R18">
        <f t="shared" si="21"/>
        <v>1</v>
      </c>
      <c r="S18">
        <f t="shared" si="22"/>
        <v>1</v>
      </c>
      <c r="T18">
        <f t="shared" si="23"/>
        <v>1</v>
      </c>
      <c r="U18">
        <f t="shared" si="33"/>
        <v>1</v>
      </c>
      <c r="V18">
        <v>3</v>
      </c>
      <c r="W18">
        <v>1</v>
      </c>
      <c r="X18" s="354">
        <v>242325</v>
      </c>
      <c r="Y18" s="354">
        <v>8889</v>
      </c>
      <c r="Z18" s="188">
        <f t="shared" si="24"/>
        <v>971.09278668404545</v>
      </c>
      <c r="AA18" s="188">
        <f>IF(IF(sym!$Q7=H18,1,0)=1,ABS(X18*G18),-ABS(X18*G18))</f>
        <v>-971.09278668404545</v>
      </c>
      <c r="AB18" s="188">
        <f>IF(IF(sym!$P7=$H18,1,0)=1,ABS($X18*$G18),-ABS($X18*$G18))</f>
        <v>971.09278668404545</v>
      </c>
      <c r="AC18" s="188">
        <f t="shared" si="39"/>
        <v>971.09278668404545</v>
      </c>
      <c r="AD18" s="188">
        <f t="shared" si="25"/>
        <v>-971.09278668404545</v>
      </c>
      <c r="AE18" s="188">
        <f t="shared" si="26"/>
        <v>-971.09278668404545</v>
      </c>
      <c r="AF18" s="188">
        <f t="shared" si="34"/>
        <v>971.09278668404545</v>
      </c>
      <c r="AG18" s="188">
        <f t="shared" si="35"/>
        <v>971.09278668404545</v>
      </c>
      <c r="AH18" s="188">
        <f t="shared" si="36"/>
        <v>971.09278668404545</v>
      </c>
      <c r="AI18" s="188">
        <f t="shared" si="37"/>
        <v>-971.09278668404545</v>
      </c>
      <c r="AJ18" s="188">
        <f t="shared" si="38"/>
        <v>971.09278668404545</v>
      </c>
      <c r="AK18" s="188">
        <f t="shared" si="27"/>
        <v>971.09278668404545</v>
      </c>
      <c r="AL18" s="188">
        <f t="shared" si="28"/>
        <v>-971.09278668404545</v>
      </c>
      <c r="AM18" s="188">
        <f t="shared" si="29"/>
        <v>-971.09278668404545</v>
      </c>
      <c r="AN18" s="188">
        <f t="shared" si="30"/>
        <v>-971.09278668404545</v>
      </c>
      <c r="AO18" s="188">
        <f t="shared" si="31"/>
        <v>-971.09278668404545</v>
      </c>
      <c r="AP18" s="188">
        <f t="shared" si="31"/>
        <v>-971.09278668404545</v>
      </c>
    </row>
    <row r="19" spans="1:42" ht="15.75" thickBot="1" x14ac:dyDescent="0.3">
      <c r="A19" s="1" t="s">
        <v>300</v>
      </c>
      <c r="B19" s="149" t="s">
        <v>518</v>
      </c>
      <c r="C19" s="192" t="s">
        <v>297</v>
      </c>
      <c r="E19" s="201">
        <f>'0811'!H19</f>
        <v>-1</v>
      </c>
      <c r="F19" s="186">
        <f t="shared" si="18"/>
        <v>376.41296156768101</v>
      </c>
      <c r="G19" s="202">
        <v>3.7678975131900001E-3</v>
      </c>
      <c r="H19" s="202">
        <v>1</v>
      </c>
      <c r="I19" s="202">
        <v>-1</v>
      </c>
      <c r="J19" s="227">
        <v>1</v>
      </c>
      <c r="K19" s="227">
        <v>-1</v>
      </c>
      <c r="L19" s="202">
        <v>1</v>
      </c>
      <c r="M19" s="228">
        <v>-10</v>
      </c>
      <c r="N19" s="288">
        <v>42579</v>
      </c>
      <c r="O19">
        <f t="shared" si="19"/>
        <v>-1</v>
      </c>
      <c r="P19">
        <f t="shared" si="32"/>
        <v>-1</v>
      </c>
      <c r="Q19">
        <f t="shared" si="20"/>
        <v>1</v>
      </c>
      <c r="R19">
        <f t="shared" si="21"/>
        <v>-1</v>
      </c>
      <c r="S19">
        <f t="shared" si="22"/>
        <v>-1</v>
      </c>
      <c r="T19">
        <f t="shared" si="23"/>
        <v>1</v>
      </c>
      <c r="U19">
        <f t="shared" si="33"/>
        <v>1</v>
      </c>
      <c r="V19">
        <v>6</v>
      </c>
      <c r="W19">
        <v>1</v>
      </c>
      <c r="X19" s="354">
        <v>99900</v>
      </c>
      <c r="Y19" s="354">
        <v>13500</v>
      </c>
      <c r="Z19" s="188">
        <f t="shared" si="24"/>
        <v>376.41296156768101</v>
      </c>
      <c r="AA19" s="188">
        <f>IF(IF(sym!$Q8=H19,1,0)=1,ABS(X19*G19),-ABS(X19*G19))</f>
        <v>376.41296156768101</v>
      </c>
      <c r="AB19" s="188">
        <f>IF(IF(sym!$P8=$H19,1,0)=1,ABS($X19*$G19),-ABS($X19*$G19))</f>
        <v>-376.41296156768101</v>
      </c>
      <c r="AC19" s="188">
        <f t="shared" si="39"/>
        <v>-376.41296156768101</v>
      </c>
      <c r="AD19" s="188">
        <f t="shared" si="25"/>
        <v>376.41296156768101</v>
      </c>
      <c r="AE19" s="188">
        <f t="shared" si="26"/>
        <v>376.41296156768101</v>
      </c>
      <c r="AF19" s="188">
        <f t="shared" si="34"/>
        <v>-376.41296156768101</v>
      </c>
      <c r="AG19" s="188">
        <f t="shared" si="35"/>
        <v>-376.41296156768101</v>
      </c>
      <c r="AH19" s="188">
        <f t="shared" si="36"/>
        <v>376.41296156768101</v>
      </c>
      <c r="AI19" s="188">
        <f t="shared" si="37"/>
        <v>-376.41296156768101</v>
      </c>
      <c r="AJ19" s="188">
        <f t="shared" si="38"/>
        <v>-376.41296156768101</v>
      </c>
      <c r="AK19" s="188">
        <f t="shared" si="27"/>
        <v>-376.41296156768101</v>
      </c>
      <c r="AL19" s="188">
        <f t="shared" si="28"/>
        <v>376.41296156768101</v>
      </c>
      <c r="AM19" s="188">
        <f t="shared" si="29"/>
        <v>-376.41296156768101</v>
      </c>
      <c r="AN19" s="188">
        <f t="shared" si="30"/>
        <v>-376.41296156768101</v>
      </c>
      <c r="AO19" s="188">
        <f t="shared" si="31"/>
        <v>376.41296156768101</v>
      </c>
      <c r="AP19" s="188">
        <f t="shared" si="31"/>
        <v>376.41296156768101</v>
      </c>
    </row>
    <row r="20" spans="1:42" ht="15.75" thickBot="1" x14ac:dyDescent="0.3">
      <c r="A20" s="1" t="s">
        <v>302</v>
      </c>
      <c r="B20" s="149" t="s">
        <v>509</v>
      </c>
      <c r="C20" s="192" t="s">
        <v>304</v>
      </c>
      <c r="E20" s="201">
        <f>'0811'!H20</f>
        <v>-1</v>
      </c>
      <c r="F20" s="186">
        <f t="shared" si="18"/>
        <v>-478.07550952164962</v>
      </c>
      <c r="G20" s="202">
        <v>-4.0093551620400004E-3</v>
      </c>
      <c r="H20" s="202">
        <v>-1</v>
      </c>
      <c r="I20" s="202">
        <v>1</v>
      </c>
      <c r="J20" s="227">
        <v>-1</v>
      </c>
      <c r="K20" s="227">
        <v>1</v>
      </c>
      <c r="L20" s="202">
        <v>1</v>
      </c>
      <c r="M20" s="228">
        <v>-9</v>
      </c>
      <c r="N20" s="288">
        <v>42580</v>
      </c>
      <c r="O20">
        <f t="shared" si="19"/>
        <v>-1</v>
      </c>
      <c r="P20">
        <f t="shared" si="32"/>
        <v>-1</v>
      </c>
      <c r="Q20">
        <f t="shared" si="20"/>
        <v>-1</v>
      </c>
      <c r="R20">
        <f t="shared" si="21"/>
        <v>1</v>
      </c>
      <c r="S20">
        <f t="shared" si="22"/>
        <v>-1</v>
      </c>
      <c r="T20">
        <f t="shared" si="23"/>
        <v>-1</v>
      </c>
      <c r="U20">
        <f t="shared" si="33"/>
        <v>-1</v>
      </c>
      <c r="V20">
        <v>4</v>
      </c>
      <c r="W20">
        <v>1</v>
      </c>
      <c r="X20" s="354">
        <v>119240</v>
      </c>
      <c r="Y20" s="354">
        <v>12000</v>
      </c>
      <c r="Z20" s="188">
        <f t="shared" si="24"/>
        <v>478.07550952164962</v>
      </c>
      <c r="AA20" s="188">
        <f>IF(IF(sym!$Q9=H20,1,0)=1,ABS(X20*G20),-ABS(X20*G20))</f>
        <v>-478.07550952164962</v>
      </c>
      <c r="AB20" s="188">
        <f>IF(IF(sym!$P9=$H20,1,0)=1,ABS($X20*$G20),-ABS($X20*$G20))</f>
        <v>478.07550952164962</v>
      </c>
      <c r="AC20" s="188">
        <f t="shared" si="39"/>
        <v>478.07550952164962</v>
      </c>
      <c r="AD20" s="188">
        <f t="shared" si="25"/>
        <v>-478.07550952164962</v>
      </c>
      <c r="AE20" s="188">
        <f t="shared" si="26"/>
        <v>478.07550952164962</v>
      </c>
      <c r="AF20" s="188">
        <f t="shared" si="34"/>
        <v>-478.07550952164962</v>
      </c>
      <c r="AG20" s="188">
        <f t="shared" si="35"/>
        <v>-478.07550952164962</v>
      </c>
      <c r="AH20" s="188">
        <f t="shared" si="36"/>
        <v>-478.07550952164962</v>
      </c>
      <c r="AI20" s="188">
        <f t="shared" si="37"/>
        <v>478.07550952164962</v>
      </c>
      <c r="AJ20" s="188">
        <f t="shared" si="38"/>
        <v>478.07550952164962</v>
      </c>
      <c r="AK20" s="188">
        <f t="shared" si="27"/>
        <v>478.07550952164962</v>
      </c>
      <c r="AL20" s="188">
        <f t="shared" si="28"/>
        <v>478.07550952164962</v>
      </c>
      <c r="AM20" s="188">
        <f t="shared" si="29"/>
        <v>-478.07550952164962</v>
      </c>
      <c r="AN20" s="188">
        <f t="shared" si="30"/>
        <v>478.07550952164962</v>
      </c>
      <c r="AO20" s="188">
        <f t="shared" si="31"/>
        <v>478.07550952164962</v>
      </c>
      <c r="AP20" s="188">
        <f t="shared" si="31"/>
        <v>478.07550952164962</v>
      </c>
    </row>
    <row r="21" spans="1:42" ht="15.75" thickBot="1" x14ac:dyDescent="0.3">
      <c r="A21" s="1" t="s">
        <v>305</v>
      </c>
      <c r="B21" s="149" t="s">
        <v>488</v>
      </c>
      <c r="C21" s="192" t="s">
        <v>1121</v>
      </c>
      <c r="E21" s="201">
        <f>'0811'!H21</f>
        <v>1</v>
      </c>
      <c r="F21" s="186">
        <f t="shared" si="18"/>
        <v>380.46810166004576</v>
      </c>
      <c r="G21" s="202">
        <v>1.2318464730299999E-3</v>
      </c>
      <c r="H21" s="202">
        <v>1</v>
      </c>
      <c r="I21" s="202">
        <v>1</v>
      </c>
      <c r="J21" s="227">
        <v>1</v>
      </c>
      <c r="K21" s="227">
        <v>1</v>
      </c>
      <c r="L21" s="202">
        <v>-1</v>
      </c>
      <c r="M21" s="228">
        <v>-3</v>
      </c>
      <c r="N21" s="288">
        <v>42586</v>
      </c>
      <c r="O21">
        <f t="shared" si="19"/>
        <v>1</v>
      </c>
      <c r="P21">
        <f t="shared" si="32"/>
        <v>1</v>
      </c>
      <c r="Q21">
        <f t="shared" si="20"/>
        <v>1</v>
      </c>
      <c r="R21">
        <f t="shared" si="21"/>
        <v>1</v>
      </c>
      <c r="S21">
        <f t="shared" si="22"/>
        <v>1</v>
      </c>
      <c r="T21">
        <f t="shared" si="23"/>
        <v>-1</v>
      </c>
      <c r="U21">
        <f t="shared" si="33"/>
        <v>1</v>
      </c>
      <c r="V21">
        <v>4</v>
      </c>
      <c r="W21">
        <v>1</v>
      </c>
      <c r="X21" s="354">
        <v>308860</v>
      </c>
      <c r="Y21" s="354">
        <v>10428</v>
      </c>
      <c r="Z21" s="188">
        <f t="shared" si="24"/>
        <v>380.46810166004576</v>
      </c>
      <c r="AA21" s="188">
        <f>IF(IF(sym!$Q10=H21,1,0)=1,ABS(X21*G21),-ABS(X21*G21))</f>
        <v>380.46810166004576</v>
      </c>
      <c r="AB21" s="188">
        <f>IF(IF(sym!$P10=$H21,1,0)=1,ABS($X21*$G21),-ABS($X21*$G21))</f>
        <v>-380.46810166004576</v>
      </c>
      <c r="AC21" s="188">
        <f t="shared" si="39"/>
        <v>380.46810166004576</v>
      </c>
      <c r="AD21" s="188">
        <f t="shared" si="25"/>
        <v>-380.46810166004576</v>
      </c>
      <c r="AE21" s="188">
        <f t="shared" si="26"/>
        <v>380.46810166004576</v>
      </c>
      <c r="AF21" s="188">
        <f t="shared" si="34"/>
        <v>380.46810166004576</v>
      </c>
      <c r="AG21" s="188">
        <f t="shared" si="35"/>
        <v>380.46810166004576</v>
      </c>
      <c r="AH21" s="188">
        <f t="shared" si="36"/>
        <v>-380.46810166004576</v>
      </c>
      <c r="AI21" s="188">
        <f t="shared" si="37"/>
        <v>380.46810166004576</v>
      </c>
      <c r="AJ21" s="188">
        <f t="shared" si="38"/>
        <v>380.46810166004576</v>
      </c>
      <c r="AK21" s="188">
        <f t="shared" si="27"/>
        <v>380.46810166004576</v>
      </c>
      <c r="AL21" s="188">
        <f t="shared" si="28"/>
        <v>380.46810166004576</v>
      </c>
      <c r="AM21" s="188">
        <f t="shared" si="29"/>
        <v>380.46810166004576</v>
      </c>
      <c r="AN21" s="188">
        <f t="shared" si="30"/>
        <v>380.46810166004576</v>
      </c>
      <c r="AO21" s="188">
        <f t="shared" si="31"/>
        <v>-380.46810166004576</v>
      </c>
      <c r="AP21" s="188">
        <f t="shared" si="31"/>
        <v>380.46810166004576</v>
      </c>
    </row>
    <row r="22" spans="1:42" ht="15.75" thickBot="1" x14ac:dyDescent="0.3">
      <c r="A22" s="328" t="s">
        <v>307</v>
      </c>
      <c r="B22" s="329" t="s">
        <v>484</v>
      </c>
      <c r="C22" s="330" t="s">
        <v>1285</v>
      </c>
      <c r="E22" s="201">
        <f>'0811'!H22</f>
        <v>-1</v>
      </c>
      <c r="F22" s="186">
        <f t="shared" si="18"/>
        <v>0</v>
      </c>
      <c r="G22" s="202">
        <v>1.9564190784599998E-3</v>
      </c>
      <c r="H22" s="202">
        <v>1</v>
      </c>
      <c r="I22" s="227">
        <v>-1</v>
      </c>
      <c r="J22" s="227">
        <v>-1</v>
      </c>
      <c r="K22" s="227">
        <v>-1</v>
      </c>
      <c r="L22" s="202">
        <v>1</v>
      </c>
      <c r="M22" s="228">
        <v>6</v>
      </c>
      <c r="N22" s="288">
        <v>42585</v>
      </c>
      <c r="O22">
        <f t="shared" si="19"/>
        <v>1</v>
      </c>
      <c r="P22">
        <f t="shared" si="32"/>
        <v>-1</v>
      </c>
      <c r="Q22">
        <f t="shared" si="20"/>
        <v>1</v>
      </c>
      <c r="R22">
        <f t="shared" si="21"/>
        <v>-1</v>
      </c>
      <c r="S22">
        <f t="shared" si="22"/>
        <v>-1</v>
      </c>
      <c r="T22">
        <f t="shared" si="23"/>
        <v>-1</v>
      </c>
      <c r="U22">
        <f t="shared" si="33"/>
        <v>-1</v>
      </c>
      <c r="V22">
        <v>0</v>
      </c>
      <c r="W22">
        <v>1</v>
      </c>
      <c r="X22" s="354">
        <v>0</v>
      </c>
      <c r="Y22" s="354">
        <v>0</v>
      </c>
      <c r="Z22" s="188">
        <f t="shared" si="24"/>
        <v>0</v>
      </c>
      <c r="AA22" s="188">
        <f>IF(IF(sym!$Q11=H22,1,0)=1,ABS(X22*G22),-ABS(X22*G22))</f>
        <v>0</v>
      </c>
      <c r="AB22" s="188">
        <f>IF(IF(sym!$P11=$H22,1,0)=1,ABS($X22*$G22),-ABS($X22*$G22))</f>
        <v>0</v>
      </c>
      <c r="AC22" s="188">
        <f t="shared" si="39"/>
        <v>0</v>
      </c>
      <c r="AD22" s="188">
        <f t="shared" si="25"/>
        <v>0</v>
      </c>
      <c r="AE22" s="188">
        <f t="shared" si="26"/>
        <v>0</v>
      </c>
      <c r="AF22" s="188">
        <f t="shared" si="34"/>
        <v>0</v>
      </c>
      <c r="AG22" s="188">
        <f t="shared" si="35"/>
        <v>0</v>
      </c>
      <c r="AH22" s="188">
        <f t="shared" si="36"/>
        <v>0</v>
      </c>
      <c r="AI22" s="188">
        <f t="shared" si="37"/>
        <v>0</v>
      </c>
      <c r="AJ22" s="188">
        <f t="shared" si="38"/>
        <v>0</v>
      </c>
      <c r="AK22" s="188">
        <f t="shared" si="27"/>
        <v>0</v>
      </c>
      <c r="AL22" s="188">
        <f t="shared" si="28"/>
        <v>0</v>
      </c>
      <c r="AM22" s="188">
        <f t="shared" si="29"/>
        <v>0</v>
      </c>
      <c r="AN22" s="188">
        <f t="shared" si="30"/>
        <v>0</v>
      </c>
      <c r="AO22" s="188">
        <f t="shared" si="31"/>
        <v>0</v>
      </c>
      <c r="AP22" s="188">
        <f t="shared" si="31"/>
        <v>0</v>
      </c>
    </row>
    <row r="23" spans="1:42" ht="15.75" thickBot="1" x14ac:dyDescent="0.3">
      <c r="A23" s="1" t="s">
        <v>309</v>
      </c>
      <c r="B23" s="149" t="s">
        <v>522</v>
      </c>
      <c r="C23" s="192" t="s">
        <v>288</v>
      </c>
      <c r="E23" s="201">
        <f>'0811'!H23</f>
        <v>1</v>
      </c>
      <c r="F23" s="186">
        <f t="shared" si="18"/>
        <v>2077.719009229008</v>
      </c>
      <c r="G23" s="202">
        <v>2.29937916028E-2</v>
      </c>
      <c r="H23" s="202">
        <v>1</v>
      </c>
      <c r="I23" s="227">
        <v>1</v>
      </c>
      <c r="J23" s="227">
        <v>-1</v>
      </c>
      <c r="K23" s="227">
        <v>1</v>
      </c>
      <c r="L23" s="202">
        <v>-1</v>
      </c>
      <c r="M23" s="228">
        <v>-7</v>
      </c>
      <c r="N23" s="288">
        <v>42584</v>
      </c>
      <c r="O23">
        <f t="shared" si="19"/>
        <v>1</v>
      </c>
      <c r="P23">
        <f t="shared" si="32"/>
        <v>1</v>
      </c>
      <c r="Q23">
        <f t="shared" si="20"/>
        <v>-1</v>
      </c>
      <c r="R23">
        <f t="shared" si="21"/>
        <v>1</v>
      </c>
      <c r="S23">
        <f t="shared" si="22"/>
        <v>1</v>
      </c>
      <c r="T23">
        <f t="shared" si="23"/>
        <v>-1</v>
      </c>
      <c r="U23">
        <f t="shared" si="33"/>
        <v>-1</v>
      </c>
      <c r="V23">
        <v>2</v>
      </c>
      <c r="W23">
        <v>1</v>
      </c>
      <c r="X23" s="354">
        <v>90360</v>
      </c>
      <c r="Y23" s="354">
        <v>9180</v>
      </c>
      <c r="Z23" s="188">
        <f t="shared" si="24"/>
        <v>2077.719009229008</v>
      </c>
      <c r="AA23" s="188">
        <f>IF(IF(sym!$Q12=H23,1,0)=1,ABS(X23*G23),-ABS(X23*G23))</f>
        <v>2077.719009229008</v>
      </c>
      <c r="AB23" s="188">
        <f>IF(IF(sym!$P12=$H23,1,0)=1,ABS($X23*$G23),-ABS($X23*$G23))</f>
        <v>-2077.719009229008</v>
      </c>
      <c r="AC23" s="188">
        <f t="shared" si="39"/>
        <v>2077.719009229008</v>
      </c>
      <c r="AD23" s="188">
        <f t="shared" si="25"/>
        <v>-2077.719009229008</v>
      </c>
      <c r="AE23" s="188">
        <f t="shared" si="26"/>
        <v>-2077.719009229008</v>
      </c>
      <c r="AF23" s="188">
        <f t="shared" si="34"/>
        <v>2077.719009229008</v>
      </c>
      <c r="AG23" s="188">
        <f t="shared" si="35"/>
        <v>2077.719009229008</v>
      </c>
      <c r="AH23" s="188">
        <f t="shared" si="36"/>
        <v>-2077.719009229008</v>
      </c>
      <c r="AI23" s="188">
        <f t="shared" si="37"/>
        <v>2077.719009229008</v>
      </c>
      <c r="AJ23" s="188">
        <f t="shared" si="38"/>
        <v>2077.719009229008</v>
      </c>
      <c r="AK23" s="188">
        <f t="shared" si="27"/>
        <v>2077.719009229008</v>
      </c>
      <c r="AL23" s="188">
        <f t="shared" si="28"/>
        <v>-2077.719009229008</v>
      </c>
      <c r="AM23" s="188">
        <f t="shared" si="29"/>
        <v>2077.719009229008</v>
      </c>
      <c r="AN23" s="188">
        <f t="shared" si="30"/>
        <v>2077.719009229008</v>
      </c>
      <c r="AO23" s="188">
        <f t="shared" si="31"/>
        <v>-2077.719009229008</v>
      </c>
      <c r="AP23" s="188">
        <f t="shared" si="31"/>
        <v>-2077.719009229008</v>
      </c>
    </row>
    <row r="24" spans="1:42" ht="15.75" thickBot="1" x14ac:dyDescent="0.3">
      <c r="A24" s="1" t="s">
        <v>311</v>
      </c>
      <c r="B24" s="149" t="s">
        <v>520</v>
      </c>
      <c r="C24" s="192" t="s">
        <v>304</v>
      </c>
      <c r="E24" s="201">
        <f>'0811'!H24</f>
        <v>1</v>
      </c>
      <c r="F24" s="186">
        <f t="shared" si="18"/>
        <v>-1784.4384915108001</v>
      </c>
      <c r="G24" s="202">
        <v>-1.6838296688E-2</v>
      </c>
      <c r="H24" s="233">
        <v>-1</v>
      </c>
      <c r="I24" s="229">
        <v>1</v>
      </c>
      <c r="J24" s="229">
        <v>1</v>
      </c>
      <c r="K24" s="229">
        <v>1</v>
      </c>
      <c r="L24" s="202">
        <v>1</v>
      </c>
      <c r="M24" s="228">
        <v>4</v>
      </c>
      <c r="N24" s="288">
        <v>42587</v>
      </c>
      <c r="O24">
        <f t="shared" si="19"/>
        <v>1</v>
      </c>
      <c r="P24">
        <f t="shared" si="32"/>
        <v>1</v>
      </c>
      <c r="Q24">
        <f t="shared" si="20"/>
        <v>1</v>
      </c>
      <c r="R24">
        <f t="shared" si="21"/>
        <v>-1</v>
      </c>
      <c r="S24">
        <f t="shared" si="22"/>
        <v>1</v>
      </c>
      <c r="T24">
        <f t="shared" si="23"/>
        <v>-1</v>
      </c>
      <c r="U24">
        <f t="shared" si="33"/>
        <v>-1</v>
      </c>
      <c r="V24">
        <v>3</v>
      </c>
      <c r="W24">
        <v>1</v>
      </c>
      <c r="X24" s="354">
        <v>105975</v>
      </c>
      <c r="Y24" s="354">
        <v>4503</v>
      </c>
      <c r="Z24" s="188">
        <f t="shared" si="24"/>
        <v>1784.4384915108001</v>
      </c>
      <c r="AA24" s="188">
        <f>IF(IF(sym!$Q13=H24,1,0)=1,ABS(X24*G24),-ABS(X24*G24))</f>
        <v>-1784.4384915108001</v>
      </c>
      <c r="AB24" s="188">
        <f>IF(IF(sym!$P13=$H24,1,0)=1,ABS($X24*$G24),-ABS($X24*$G24))</f>
        <v>1784.4384915108001</v>
      </c>
      <c r="AC24" s="188">
        <f t="shared" si="39"/>
        <v>-1784.4384915108001</v>
      </c>
      <c r="AD24" s="188">
        <f t="shared" si="25"/>
        <v>1784.4384915108001</v>
      </c>
      <c r="AE24" s="188">
        <f t="shared" si="26"/>
        <v>-1784.4384915108001</v>
      </c>
      <c r="AF24" s="188">
        <f t="shared" si="34"/>
        <v>-1784.4384915108001</v>
      </c>
      <c r="AG24" s="188">
        <f t="shared" si="35"/>
        <v>-1784.4384915108001</v>
      </c>
      <c r="AH24" s="188">
        <f t="shared" si="36"/>
        <v>-1784.4384915108001</v>
      </c>
      <c r="AI24" s="188">
        <f t="shared" si="37"/>
        <v>1784.4384915108001</v>
      </c>
      <c r="AJ24" s="188">
        <f t="shared" si="38"/>
        <v>-1784.4384915108001</v>
      </c>
      <c r="AK24" s="188">
        <f t="shared" si="27"/>
        <v>-1784.4384915108001</v>
      </c>
      <c r="AL24" s="188">
        <f t="shared" si="28"/>
        <v>-1784.4384915108001</v>
      </c>
      <c r="AM24" s="188">
        <f t="shared" si="29"/>
        <v>1784.4384915108001</v>
      </c>
      <c r="AN24" s="188">
        <f t="shared" si="30"/>
        <v>-1784.4384915108001</v>
      </c>
      <c r="AO24" s="188">
        <f t="shared" si="31"/>
        <v>1784.4384915108001</v>
      </c>
      <c r="AP24" s="188">
        <f t="shared" si="31"/>
        <v>1784.4384915108001</v>
      </c>
    </row>
    <row r="25" spans="1:42" ht="15.75" thickBot="1" x14ac:dyDescent="0.3">
      <c r="A25" s="1" t="s">
        <v>1008</v>
      </c>
      <c r="B25" s="149" t="s">
        <v>583</v>
      </c>
      <c r="C25" s="192" t="s">
        <v>1121</v>
      </c>
      <c r="E25" s="201">
        <f>'0811'!H25</f>
        <v>-1</v>
      </c>
      <c r="F25" s="186">
        <f t="shared" si="18"/>
        <v>694.90013665944093</v>
      </c>
      <c r="G25" s="202">
        <v>1.65785464647E-3</v>
      </c>
      <c r="H25" s="202">
        <v>1</v>
      </c>
      <c r="I25" s="227">
        <v>-1</v>
      </c>
      <c r="J25" s="227">
        <v>-1</v>
      </c>
      <c r="K25" s="227">
        <v>-1</v>
      </c>
      <c r="L25" s="202">
        <v>1</v>
      </c>
      <c r="M25" s="228">
        <v>-7</v>
      </c>
      <c r="N25" s="288">
        <v>42584</v>
      </c>
      <c r="O25">
        <f t="shared" si="19"/>
        <v>-1</v>
      </c>
      <c r="P25">
        <f t="shared" si="32"/>
        <v>-1</v>
      </c>
      <c r="Q25">
        <f t="shared" si="20"/>
        <v>-1</v>
      </c>
      <c r="R25">
        <f t="shared" si="21"/>
        <v>-1</v>
      </c>
      <c r="S25">
        <f t="shared" si="22"/>
        <v>-1</v>
      </c>
      <c r="T25">
        <f t="shared" si="23"/>
        <v>1</v>
      </c>
      <c r="U25">
        <f t="shared" si="33"/>
        <v>-1</v>
      </c>
      <c r="V25">
        <v>3</v>
      </c>
      <c r="W25">
        <v>1</v>
      </c>
      <c r="X25" s="354">
        <v>419156.25</v>
      </c>
      <c r="Y25" s="354">
        <v>21792</v>
      </c>
      <c r="Z25" s="188">
        <f t="shared" si="24"/>
        <v>694.90013665944093</v>
      </c>
      <c r="AA25" s="188">
        <f>IF(IF(sym!$Q14=H25,1,0)=1,ABS(X25*G25),-ABS(X25*G25))</f>
        <v>694.90013665944093</v>
      </c>
      <c r="AB25" s="188">
        <f>IF(IF(sym!$P14=$H25,1,0)=1,ABS($X25*$G25),-ABS($X25*$G25))</f>
        <v>-694.90013665944093</v>
      </c>
      <c r="AC25" s="188">
        <f t="shared" si="39"/>
        <v>-694.90013665944093</v>
      </c>
      <c r="AD25" s="188">
        <f t="shared" si="25"/>
        <v>694.90013665944093</v>
      </c>
      <c r="AE25" s="188">
        <f t="shared" si="26"/>
        <v>-694.90013665944093</v>
      </c>
      <c r="AF25" s="188">
        <f t="shared" si="34"/>
        <v>-694.90013665944093</v>
      </c>
      <c r="AG25" s="188">
        <f t="shared" si="35"/>
        <v>-694.90013665944093</v>
      </c>
      <c r="AH25" s="188">
        <f t="shared" si="36"/>
        <v>694.90013665944093</v>
      </c>
      <c r="AI25" s="188">
        <f t="shared" si="37"/>
        <v>-694.90013665944093</v>
      </c>
      <c r="AJ25" s="188">
        <f t="shared" si="38"/>
        <v>-694.90013665944093</v>
      </c>
      <c r="AK25" s="188">
        <f t="shared" si="27"/>
        <v>-694.90013665944093</v>
      </c>
      <c r="AL25" s="188">
        <f t="shared" si="28"/>
        <v>-694.90013665944093</v>
      </c>
      <c r="AM25" s="188">
        <f t="shared" si="29"/>
        <v>-694.90013665944093</v>
      </c>
      <c r="AN25" s="188">
        <f t="shared" si="30"/>
        <v>-694.90013665944093</v>
      </c>
      <c r="AO25" s="188">
        <f t="shared" si="31"/>
        <v>694.90013665944093</v>
      </c>
      <c r="AP25" s="188">
        <f t="shared" si="31"/>
        <v>-694.90013665944093</v>
      </c>
    </row>
    <row r="26" spans="1:42" ht="15.75" thickBot="1" x14ac:dyDescent="0.3">
      <c r="A26" s="1" t="s">
        <v>314</v>
      </c>
      <c r="B26" s="149" t="s">
        <v>755</v>
      </c>
      <c r="C26" s="192" t="s">
        <v>1121</v>
      </c>
      <c r="E26" s="201">
        <f>'0811'!H26</f>
        <v>1</v>
      </c>
      <c r="F26" s="186">
        <f t="shared" si="18"/>
        <v>-622.98428598128919</v>
      </c>
      <c r="G26" s="202">
        <v>-1.6277468227599999E-3</v>
      </c>
      <c r="H26" s="202">
        <v>-1</v>
      </c>
      <c r="I26" s="227">
        <v>-1</v>
      </c>
      <c r="J26" s="227">
        <v>-1</v>
      </c>
      <c r="K26" s="227">
        <v>-1</v>
      </c>
      <c r="L26" s="202">
        <v>-1</v>
      </c>
      <c r="M26" s="228">
        <v>-7</v>
      </c>
      <c r="N26" s="288">
        <v>42584</v>
      </c>
      <c r="O26">
        <f t="shared" si="19"/>
        <v>1</v>
      </c>
      <c r="P26">
        <f t="shared" si="32"/>
        <v>1</v>
      </c>
      <c r="Q26">
        <f t="shared" si="20"/>
        <v>-1</v>
      </c>
      <c r="R26">
        <f t="shared" si="21"/>
        <v>-1</v>
      </c>
      <c r="S26">
        <f t="shared" si="22"/>
        <v>-1</v>
      </c>
      <c r="T26">
        <f t="shared" si="23"/>
        <v>1</v>
      </c>
      <c r="U26">
        <f t="shared" si="33"/>
        <v>-1</v>
      </c>
      <c r="V26">
        <v>4</v>
      </c>
      <c r="W26">
        <v>1</v>
      </c>
      <c r="X26" s="354">
        <v>382728</v>
      </c>
      <c r="Y26" s="354">
        <v>14804</v>
      </c>
      <c r="Z26" s="188">
        <f t="shared" si="24"/>
        <v>622.98428598128919</v>
      </c>
      <c r="AA26" s="188">
        <f>IF(IF(sym!$Q15=H26,1,0)=1,ABS(X26*G26),-ABS(X26*G26))</f>
        <v>622.98428598128919</v>
      </c>
      <c r="AB26" s="188">
        <f>IF(IF(sym!$P15=$H26,1,0)=1,ABS($X26*$G26),-ABS($X26*$G26))</f>
        <v>-622.98428598128919</v>
      </c>
      <c r="AC26" s="188">
        <f t="shared" si="39"/>
        <v>-622.98428598128919</v>
      </c>
      <c r="AD26" s="188">
        <f t="shared" si="25"/>
        <v>622.98428598128919</v>
      </c>
      <c r="AE26" s="188">
        <f t="shared" si="26"/>
        <v>622.98428598128919</v>
      </c>
      <c r="AF26" s="188">
        <f t="shared" si="34"/>
        <v>622.98428598128919</v>
      </c>
      <c r="AG26" s="188">
        <f t="shared" si="35"/>
        <v>622.98428598128919</v>
      </c>
      <c r="AH26" s="188">
        <f t="shared" si="36"/>
        <v>622.98428598128919</v>
      </c>
      <c r="AI26" s="188">
        <f t="shared" si="37"/>
        <v>-622.98428598128919</v>
      </c>
      <c r="AJ26" s="188">
        <f t="shared" si="38"/>
        <v>-622.98428598128919</v>
      </c>
      <c r="AK26" s="188">
        <f t="shared" si="27"/>
        <v>-622.98428598128919</v>
      </c>
      <c r="AL26" s="188">
        <f t="shared" si="28"/>
        <v>622.98428598128919</v>
      </c>
      <c r="AM26" s="188">
        <f t="shared" si="29"/>
        <v>622.98428598128919</v>
      </c>
      <c r="AN26" s="188">
        <f t="shared" si="30"/>
        <v>622.98428598128919</v>
      </c>
      <c r="AO26" s="188">
        <f t="shared" si="31"/>
        <v>-622.98428598128919</v>
      </c>
      <c r="AP26" s="188">
        <f t="shared" si="31"/>
        <v>622.98428598128919</v>
      </c>
    </row>
    <row r="27" spans="1:42" ht="15.75" thickBot="1" x14ac:dyDescent="0.3">
      <c r="A27" s="1" t="s">
        <v>316</v>
      </c>
      <c r="B27" s="149" t="s">
        <v>562</v>
      </c>
      <c r="C27" s="192" t="s">
        <v>1122</v>
      </c>
      <c r="E27" s="201">
        <f>'0811'!H27</f>
        <v>-1</v>
      </c>
      <c r="F27" s="186">
        <f t="shared" si="18"/>
        <v>402.1916564476781</v>
      </c>
      <c r="G27" s="202">
        <v>7.1573422402500004E-4</v>
      </c>
      <c r="H27" s="202">
        <v>1</v>
      </c>
      <c r="I27" s="227">
        <v>1</v>
      </c>
      <c r="J27" s="227">
        <v>-1</v>
      </c>
      <c r="K27" s="227">
        <v>1</v>
      </c>
      <c r="L27" s="202">
        <v>1</v>
      </c>
      <c r="M27" s="228">
        <v>7</v>
      </c>
      <c r="N27" s="288">
        <v>42584</v>
      </c>
      <c r="O27">
        <f t="shared" si="19"/>
        <v>1</v>
      </c>
      <c r="P27">
        <f t="shared" si="32"/>
        <v>-1</v>
      </c>
      <c r="Q27">
        <f t="shared" si="20"/>
        <v>1</v>
      </c>
      <c r="R27">
        <f t="shared" si="21"/>
        <v>1</v>
      </c>
      <c r="S27">
        <f t="shared" si="22"/>
        <v>1</v>
      </c>
      <c r="T27">
        <f t="shared" si="23"/>
        <v>-1</v>
      </c>
      <c r="U27">
        <f t="shared" si="33"/>
        <v>-1</v>
      </c>
      <c r="V27">
        <v>3</v>
      </c>
      <c r="W27">
        <v>1</v>
      </c>
      <c r="X27" s="354">
        <v>561928.77600000007</v>
      </c>
      <c r="Y27" s="354">
        <v>12978.150000000001</v>
      </c>
      <c r="Z27" s="188">
        <f t="shared" si="24"/>
        <v>402.1916564476781</v>
      </c>
      <c r="AA27" s="188">
        <f>IF(IF(sym!$Q16=H27,1,0)=1,ABS(X27*G27),-ABS(X27*G27))</f>
        <v>-402.1916564476781</v>
      </c>
      <c r="AB27" s="188">
        <f>IF(IF(sym!$P16=$H27,1,0)=1,ABS($X27*$G27),-ABS($X27*$G27))</f>
        <v>402.1916564476781</v>
      </c>
      <c r="AC27" s="188">
        <f t="shared" si="39"/>
        <v>-402.1916564476781</v>
      </c>
      <c r="AD27" s="188">
        <f t="shared" si="25"/>
        <v>402.1916564476781</v>
      </c>
      <c r="AE27" s="188">
        <f t="shared" si="26"/>
        <v>-402.1916564476781</v>
      </c>
      <c r="AF27" s="188">
        <f t="shared" si="34"/>
        <v>402.1916564476781</v>
      </c>
      <c r="AG27" s="188">
        <f t="shared" si="35"/>
        <v>402.1916564476781</v>
      </c>
      <c r="AH27" s="188">
        <f t="shared" si="36"/>
        <v>402.1916564476781</v>
      </c>
      <c r="AI27" s="188">
        <f t="shared" si="37"/>
        <v>-402.1916564476781</v>
      </c>
      <c r="AJ27" s="188">
        <f t="shared" si="38"/>
        <v>402.1916564476781</v>
      </c>
      <c r="AK27" s="188">
        <f t="shared" si="27"/>
        <v>-402.1916564476781</v>
      </c>
      <c r="AL27" s="188">
        <f t="shared" si="28"/>
        <v>402.1916564476781</v>
      </c>
      <c r="AM27" s="188">
        <f t="shared" si="29"/>
        <v>402.1916564476781</v>
      </c>
      <c r="AN27" s="188">
        <f t="shared" si="30"/>
        <v>402.1916564476781</v>
      </c>
      <c r="AO27" s="188">
        <f t="shared" si="31"/>
        <v>-402.1916564476781</v>
      </c>
      <c r="AP27" s="188">
        <f t="shared" si="31"/>
        <v>-402.1916564476781</v>
      </c>
    </row>
    <row r="28" spans="1:42" ht="15.75" thickBot="1" x14ac:dyDescent="0.3">
      <c r="A28" s="1" t="s">
        <v>318</v>
      </c>
      <c r="B28" s="149" t="s">
        <v>560</v>
      </c>
      <c r="C28" s="192" t="s">
        <v>1122</v>
      </c>
      <c r="E28" s="201">
        <f>'0811'!H28</f>
        <v>-1</v>
      </c>
      <c r="F28" s="186">
        <f t="shared" si="18"/>
        <v>0</v>
      </c>
      <c r="G28" s="202">
        <v>0</v>
      </c>
      <c r="H28" s="202">
        <v>1</v>
      </c>
      <c r="I28" s="227">
        <v>-1</v>
      </c>
      <c r="J28" s="227">
        <v>1</v>
      </c>
      <c r="K28" s="227">
        <v>-1</v>
      </c>
      <c r="L28" s="202">
        <v>1</v>
      </c>
      <c r="M28" s="228">
        <v>7</v>
      </c>
      <c r="N28" s="288">
        <v>42584</v>
      </c>
      <c r="O28">
        <f t="shared" si="19"/>
        <v>1</v>
      </c>
      <c r="P28">
        <f t="shared" si="32"/>
        <v>-1</v>
      </c>
      <c r="Q28">
        <f t="shared" si="20"/>
        <v>1</v>
      </c>
      <c r="R28">
        <f t="shared" si="21"/>
        <v>-1</v>
      </c>
      <c r="S28">
        <f t="shared" si="22"/>
        <v>-1</v>
      </c>
      <c r="T28">
        <f t="shared" si="23"/>
        <v>-1</v>
      </c>
      <c r="U28">
        <f t="shared" si="33"/>
        <v>1</v>
      </c>
      <c r="V28">
        <v>9</v>
      </c>
      <c r="W28">
        <v>1</v>
      </c>
      <c r="X28" s="354">
        <v>1343565.0719999999</v>
      </c>
      <c r="Y28" s="354">
        <v>13313.07</v>
      </c>
      <c r="Z28" s="188">
        <f t="shared" si="24"/>
        <v>0</v>
      </c>
      <c r="AA28" s="188">
        <f>IF(IF(sym!$Q17=H28,1,0)=1,ABS(X28*G28),-ABS(X28*G28))</f>
        <v>0</v>
      </c>
      <c r="AB28" s="188">
        <f>IF(IF(sym!$P17=$H28,1,0)=1,ABS($X28*$G28),-ABS($X28*$G28))</f>
        <v>0</v>
      </c>
      <c r="AC28" s="188">
        <f t="shared" si="39"/>
        <v>0</v>
      </c>
      <c r="AD28" s="188">
        <f t="shared" si="25"/>
        <v>0</v>
      </c>
      <c r="AE28" s="188">
        <f t="shared" si="26"/>
        <v>0</v>
      </c>
      <c r="AF28" s="188">
        <f t="shared" si="34"/>
        <v>0</v>
      </c>
      <c r="AG28" s="188">
        <f t="shared" si="35"/>
        <v>0</v>
      </c>
      <c r="AH28" s="188">
        <f t="shared" si="36"/>
        <v>0</v>
      </c>
      <c r="AI28" s="188">
        <f t="shared" si="37"/>
        <v>0</v>
      </c>
      <c r="AJ28" s="188">
        <f t="shared" si="38"/>
        <v>0</v>
      </c>
      <c r="AK28" s="188">
        <f t="shared" si="27"/>
        <v>0</v>
      </c>
      <c r="AL28" s="188">
        <f t="shared" si="28"/>
        <v>0</v>
      </c>
      <c r="AM28" s="188">
        <f t="shared" si="29"/>
        <v>0</v>
      </c>
      <c r="AN28" s="188">
        <f t="shared" si="30"/>
        <v>0</v>
      </c>
      <c r="AO28" s="188">
        <f t="shared" si="31"/>
        <v>0</v>
      </c>
      <c r="AP28" s="188">
        <f t="shared" si="31"/>
        <v>0</v>
      </c>
    </row>
    <row r="29" spans="1:42" ht="15.75" thickBot="1" x14ac:dyDescent="0.3">
      <c r="A29" s="328" t="s">
        <v>320</v>
      </c>
      <c r="B29" s="329" t="s">
        <v>564</v>
      </c>
      <c r="C29" s="330" t="s">
        <v>1285</v>
      </c>
      <c r="E29" s="201">
        <f>'0811'!H29</f>
        <v>-1</v>
      </c>
      <c r="F29" s="186">
        <f t="shared" si="18"/>
        <v>0</v>
      </c>
      <c r="G29" s="202">
        <v>-8.9261804873799999E-5</v>
      </c>
      <c r="H29" s="202">
        <v>-1</v>
      </c>
      <c r="I29" s="227">
        <v>-1</v>
      </c>
      <c r="J29" s="227">
        <v>1</v>
      </c>
      <c r="K29" s="227">
        <v>-1</v>
      </c>
      <c r="L29" s="202">
        <v>1</v>
      </c>
      <c r="M29" s="228">
        <v>7</v>
      </c>
      <c r="N29" s="288">
        <v>42584</v>
      </c>
      <c r="O29">
        <f t="shared" si="19"/>
        <v>1</v>
      </c>
      <c r="P29">
        <f t="shared" si="32"/>
        <v>-1</v>
      </c>
      <c r="Q29">
        <f t="shared" si="20"/>
        <v>1</v>
      </c>
      <c r="R29">
        <f t="shared" si="21"/>
        <v>-1</v>
      </c>
      <c r="S29">
        <f t="shared" si="22"/>
        <v>-1</v>
      </c>
      <c r="T29">
        <f t="shared" si="23"/>
        <v>-1</v>
      </c>
      <c r="U29">
        <f t="shared" si="33"/>
        <v>1</v>
      </c>
      <c r="V29">
        <v>0</v>
      </c>
      <c r="W29">
        <v>1</v>
      </c>
      <c r="X29" s="354">
        <v>0</v>
      </c>
      <c r="Y29" s="354">
        <v>0</v>
      </c>
      <c r="Z29" s="188">
        <f t="shared" si="24"/>
        <v>0</v>
      </c>
      <c r="AA29" s="188">
        <f>IF(IF(sym!$Q18=H29,1,0)=1,ABS(X29*G29),-ABS(X29*G29))</f>
        <v>0</v>
      </c>
      <c r="AB29" s="188">
        <f>IF(IF(sym!$P18=$H29,1,0)=1,ABS($X29*$G29),-ABS($X29*$G29))</f>
        <v>0</v>
      </c>
      <c r="AC29" s="188">
        <f t="shared" si="39"/>
        <v>0</v>
      </c>
      <c r="AD29" s="188">
        <f t="shared" si="25"/>
        <v>0</v>
      </c>
      <c r="AE29" s="188">
        <f t="shared" si="26"/>
        <v>0</v>
      </c>
      <c r="AF29" s="188">
        <f t="shared" si="34"/>
        <v>0</v>
      </c>
      <c r="AG29" s="188">
        <f t="shared" si="35"/>
        <v>0</v>
      </c>
      <c r="AH29" s="188">
        <f t="shared" si="36"/>
        <v>0</v>
      </c>
      <c r="AI29" s="188">
        <f t="shared" si="37"/>
        <v>0</v>
      </c>
      <c r="AJ29" s="188">
        <f t="shared" si="38"/>
        <v>0</v>
      </c>
      <c r="AK29" s="188">
        <f t="shared" si="27"/>
        <v>0</v>
      </c>
      <c r="AL29" s="188">
        <f t="shared" si="28"/>
        <v>0</v>
      </c>
      <c r="AM29" s="188">
        <f t="shared" si="29"/>
        <v>0</v>
      </c>
      <c r="AN29" s="188">
        <f t="shared" si="30"/>
        <v>0</v>
      </c>
      <c r="AO29" s="188">
        <f t="shared" si="31"/>
        <v>0</v>
      </c>
      <c r="AP29" s="188">
        <f t="shared" si="31"/>
        <v>0</v>
      </c>
    </row>
    <row r="30" spans="1:42" ht="15.75" thickBot="1" x14ac:dyDescent="0.3">
      <c r="A30" s="328" t="s">
        <v>323</v>
      </c>
      <c r="B30" s="329" t="s">
        <v>581</v>
      </c>
      <c r="C30" s="330" t="s">
        <v>1285</v>
      </c>
      <c r="E30" s="201">
        <f>'0811'!H30</f>
        <v>-1</v>
      </c>
      <c r="F30" s="186">
        <f t="shared" si="18"/>
        <v>0</v>
      </c>
      <c r="G30" s="202">
        <v>4.0373454453700001E-4</v>
      </c>
      <c r="H30" s="202">
        <v>1</v>
      </c>
      <c r="I30" s="227">
        <v>-1</v>
      </c>
      <c r="J30" s="227">
        <v>1</v>
      </c>
      <c r="K30" s="227">
        <v>-1</v>
      </c>
      <c r="L30" s="202">
        <v>-1</v>
      </c>
      <c r="M30" s="228">
        <v>-9</v>
      </c>
      <c r="N30" s="288">
        <v>42580</v>
      </c>
      <c r="O30">
        <f t="shared" si="19"/>
        <v>1</v>
      </c>
      <c r="P30">
        <f t="shared" si="32"/>
        <v>-1</v>
      </c>
      <c r="Q30">
        <f t="shared" si="20"/>
        <v>1</v>
      </c>
      <c r="R30">
        <f t="shared" si="21"/>
        <v>1</v>
      </c>
      <c r="S30">
        <f t="shared" si="22"/>
        <v>1</v>
      </c>
      <c r="T30">
        <f t="shared" si="23"/>
        <v>-1</v>
      </c>
      <c r="U30">
        <f t="shared" si="33"/>
        <v>1</v>
      </c>
      <c r="V30">
        <v>0</v>
      </c>
      <c r="W30">
        <v>1</v>
      </c>
      <c r="X30" s="354">
        <v>0</v>
      </c>
      <c r="Y30" s="354">
        <v>0</v>
      </c>
      <c r="Z30" s="188">
        <f t="shared" si="24"/>
        <v>0</v>
      </c>
      <c r="AA30" s="188">
        <f>IF(IF(sym!$Q19=H30,1,0)=1,ABS(X30*G30),-ABS(X30*G30))</f>
        <v>0</v>
      </c>
      <c r="AB30" s="188">
        <f>IF(IF(sym!$P19=$H30,1,0)=1,ABS($X30*$G30),-ABS($X30*$G30))</f>
        <v>0</v>
      </c>
      <c r="AC30" s="188">
        <f t="shared" si="39"/>
        <v>0</v>
      </c>
      <c r="AD30" s="188">
        <f t="shared" si="25"/>
        <v>0</v>
      </c>
      <c r="AE30" s="188">
        <f t="shared" si="26"/>
        <v>0</v>
      </c>
      <c r="AF30" s="188">
        <f t="shared" si="34"/>
        <v>0</v>
      </c>
      <c r="AG30" s="188">
        <f t="shared" si="35"/>
        <v>0</v>
      </c>
      <c r="AH30" s="188">
        <f t="shared" si="36"/>
        <v>0</v>
      </c>
      <c r="AI30" s="188">
        <f t="shared" si="37"/>
        <v>0</v>
      </c>
      <c r="AJ30" s="188">
        <f t="shared" si="38"/>
        <v>0</v>
      </c>
      <c r="AK30" s="188">
        <f t="shared" si="27"/>
        <v>0</v>
      </c>
      <c r="AL30" s="188">
        <f t="shared" si="28"/>
        <v>0</v>
      </c>
      <c r="AM30" s="188">
        <f t="shared" si="29"/>
        <v>0</v>
      </c>
      <c r="AN30" s="188">
        <f t="shared" si="30"/>
        <v>0</v>
      </c>
      <c r="AO30" s="188">
        <f t="shared" si="31"/>
        <v>0</v>
      </c>
      <c r="AP30" s="188">
        <f t="shared" si="31"/>
        <v>0</v>
      </c>
    </row>
    <row r="31" spans="1:42" ht="15.75" thickBot="1" x14ac:dyDescent="0.3">
      <c r="A31" s="1" t="s">
        <v>325</v>
      </c>
      <c r="B31" s="149" t="s">
        <v>653</v>
      </c>
      <c r="C31" s="192" t="s">
        <v>294</v>
      </c>
      <c r="E31" s="201">
        <f>'0811'!H31</f>
        <v>1</v>
      </c>
      <c r="F31" s="186">
        <f t="shared" si="18"/>
        <v>-499.19774083843197</v>
      </c>
      <c r="G31" s="202">
        <v>-1.6045183236E-3</v>
      </c>
      <c r="H31" s="202">
        <v>-1</v>
      </c>
      <c r="I31" s="227">
        <v>-1</v>
      </c>
      <c r="J31" s="227">
        <v>1</v>
      </c>
      <c r="K31" s="227">
        <v>-1</v>
      </c>
      <c r="L31" s="202">
        <v>1</v>
      </c>
      <c r="M31" s="228">
        <v>-21</v>
      </c>
      <c r="N31" s="288">
        <v>42564</v>
      </c>
      <c r="O31">
        <f t="shared" si="19"/>
        <v>-1</v>
      </c>
      <c r="P31">
        <f t="shared" si="32"/>
        <v>-1</v>
      </c>
      <c r="Q31">
        <f t="shared" si="20"/>
        <v>-1</v>
      </c>
      <c r="R31">
        <f t="shared" si="21"/>
        <v>-1</v>
      </c>
      <c r="S31">
        <f t="shared" si="22"/>
        <v>-1</v>
      </c>
      <c r="T31">
        <f t="shared" si="23"/>
        <v>1</v>
      </c>
      <c r="U31">
        <f t="shared" si="33"/>
        <v>-1</v>
      </c>
      <c r="V31">
        <v>2</v>
      </c>
      <c r="W31">
        <v>1</v>
      </c>
      <c r="X31" s="354">
        <v>311120</v>
      </c>
      <c r="Y31" s="354">
        <v>14250</v>
      </c>
      <c r="Z31" s="188">
        <f t="shared" si="24"/>
        <v>499.19774083843197</v>
      </c>
      <c r="AA31" s="188">
        <f>IF(IF(sym!$Q20=H31,1,0)=1,ABS(X31*G31),-ABS(X31*G31))</f>
        <v>-499.19774083843197</v>
      </c>
      <c r="AB31" s="188">
        <f>IF(IF(sym!$P20=$H31,1,0)=1,ABS($X31*$G31),-ABS($X31*$G31))</f>
        <v>499.19774083843197</v>
      </c>
      <c r="AC31" s="188">
        <f t="shared" si="39"/>
        <v>-499.19774083843197</v>
      </c>
      <c r="AD31" s="188">
        <f t="shared" si="25"/>
        <v>499.19774083843197</v>
      </c>
      <c r="AE31" s="188">
        <f t="shared" si="26"/>
        <v>-499.19774083843197</v>
      </c>
      <c r="AF31" s="188">
        <f t="shared" si="34"/>
        <v>499.19774083843197</v>
      </c>
      <c r="AG31" s="188">
        <f t="shared" si="35"/>
        <v>499.19774083843197</v>
      </c>
      <c r="AH31" s="188">
        <f t="shared" si="36"/>
        <v>-499.19774083843197</v>
      </c>
      <c r="AI31" s="188">
        <f t="shared" si="37"/>
        <v>499.19774083843197</v>
      </c>
      <c r="AJ31" s="188">
        <f t="shared" si="38"/>
        <v>499.19774083843197</v>
      </c>
      <c r="AK31" s="188">
        <f t="shared" si="27"/>
        <v>499.19774083843197</v>
      </c>
      <c r="AL31" s="188">
        <f t="shared" si="28"/>
        <v>499.19774083843197</v>
      </c>
      <c r="AM31" s="188">
        <f t="shared" si="29"/>
        <v>499.19774083843197</v>
      </c>
      <c r="AN31" s="188">
        <f t="shared" si="30"/>
        <v>499.19774083843197</v>
      </c>
      <c r="AO31" s="188">
        <f t="shared" si="31"/>
        <v>-499.19774083843197</v>
      </c>
      <c r="AP31" s="188">
        <f t="shared" si="31"/>
        <v>499.19774083843197</v>
      </c>
    </row>
    <row r="32" spans="1:42" ht="15.75" thickBot="1" x14ac:dyDescent="0.3">
      <c r="A32" s="1" t="s">
        <v>327</v>
      </c>
      <c r="B32" s="149" t="s">
        <v>552</v>
      </c>
      <c r="C32" s="192" t="s">
        <v>294</v>
      </c>
      <c r="E32" s="201">
        <f>'0811'!H32</f>
        <v>1</v>
      </c>
      <c r="F32" s="186">
        <f t="shared" si="18"/>
        <v>-224.84530766573121</v>
      </c>
      <c r="G32" s="202">
        <v>-6.8752148504599997E-4</v>
      </c>
      <c r="H32" s="202">
        <v>-1</v>
      </c>
      <c r="I32" s="227">
        <v>1</v>
      </c>
      <c r="J32" s="227">
        <v>-1</v>
      </c>
      <c r="K32" s="227">
        <v>1</v>
      </c>
      <c r="L32" s="202">
        <v>-1</v>
      </c>
      <c r="M32" s="228">
        <v>-19</v>
      </c>
      <c r="N32" s="288">
        <v>42566</v>
      </c>
      <c r="O32">
        <f t="shared" si="19"/>
        <v>1</v>
      </c>
      <c r="P32">
        <f t="shared" si="32"/>
        <v>1</v>
      </c>
      <c r="Q32">
        <f t="shared" si="20"/>
        <v>-1</v>
      </c>
      <c r="R32">
        <f t="shared" si="21"/>
        <v>1</v>
      </c>
      <c r="S32">
        <f t="shared" si="22"/>
        <v>1</v>
      </c>
      <c r="T32">
        <f t="shared" si="23"/>
        <v>-1</v>
      </c>
      <c r="U32">
        <f t="shared" si="33"/>
        <v>-1</v>
      </c>
      <c r="V32">
        <v>3</v>
      </c>
      <c r="W32">
        <v>1</v>
      </c>
      <c r="X32" s="354">
        <v>327037.5</v>
      </c>
      <c r="Y32" s="354">
        <v>15750</v>
      </c>
      <c r="Z32" s="188">
        <f t="shared" si="24"/>
        <v>224.84530766573121</v>
      </c>
      <c r="AA32" s="188">
        <f>IF(IF(sym!$Q21=H32,1,0)=1,ABS(X32*G32),-ABS(X32*G32))</f>
        <v>-224.84530766573121</v>
      </c>
      <c r="AB32" s="188">
        <f>IF(IF(sym!$P21=$H32,1,0)=1,ABS($X32*$G32),-ABS($X32*$G32))</f>
        <v>224.84530766573121</v>
      </c>
      <c r="AC32" s="188">
        <f t="shared" si="39"/>
        <v>-224.84530766573121</v>
      </c>
      <c r="AD32" s="188">
        <f t="shared" si="25"/>
        <v>224.84530766573121</v>
      </c>
      <c r="AE32" s="188">
        <f t="shared" si="26"/>
        <v>224.84530766573121</v>
      </c>
      <c r="AF32" s="188">
        <f t="shared" si="34"/>
        <v>-224.84530766573121</v>
      </c>
      <c r="AG32" s="188">
        <f t="shared" si="35"/>
        <v>-224.84530766573121</v>
      </c>
      <c r="AH32" s="188">
        <f t="shared" si="36"/>
        <v>224.84530766573121</v>
      </c>
      <c r="AI32" s="188">
        <f t="shared" si="37"/>
        <v>-224.84530766573121</v>
      </c>
      <c r="AJ32" s="188">
        <f t="shared" si="38"/>
        <v>-224.84530766573121</v>
      </c>
      <c r="AK32" s="188">
        <f t="shared" si="27"/>
        <v>-224.84530766573121</v>
      </c>
      <c r="AL32" s="188">
        <f t="shared" si="28"/>
        <v>224.84530766573121</v>
      </c>
      <c r="AM32" s="188">
        <f t="shared" si="29"/>
        <v>-224.84530766573121</v>
      </c>
      <c r="AN32" s="188">
        <f t="shared" si="30"/>
        <v>-224.84530766573121</v>
      </c>
      <c r="AO32" s="188">
        <f t="shared" si="31"/>
        <v>224.84530766573121</v>
      </c>
      <c r="AP32" s="188">
        <f t="shared" si="31"/>
        <v>224.84530766573121</v>
      </c>
    </row>
    <row r="33" spans="1:42" ht="15.75" thickBot="1" x14ac:dyDescent="0.3">
      <c r="A33" s="1" t="s">
        <v>329</v>
      </c>
      <c r="B33" s="149" t="s">
        <v>589</v>
      </c>
      <c r="C33" s="192" t="s">
        <v>313</v>
      </c>
      <c r="E33" s="201">
        <f>'0811'!H33</f>
        <v>-1</v>
      </c>
      <c r="F33" s="186">
        <f t="shared" si="18"/>
        <v>200.27768136015749</v>
      </c>
      <c r="G33" s="202">
        <v>1.38840680319E-3</v>
      </c>
      <c r="H33" s="234">
        <v>1</v>
      </c>
      <c r="I33" s="230">
        <v>1</v>
      </c>
      <c r="J33" s="230">
        <v>-1</v>
      </c>
      <c r="K33" s="230">
        <v>1</v>
      </c>
      <c r="L33" s="202">
        <v>-1</v>
      </c>
      <c r="M33" s="228">
        <v>15</v>
      </c>
      <c r="N33" s="288">
        <v>42572</v>
      </c>
      <c r="O33">
        <f t="shared" si="19"/>
        <v>-1</v>
      </c>
      <c r="P33">
        <f t="shared" si="32"/>
        <v>1</v>
      </c>
      <c r="Q33">
        <f t="shared" si="20"/>
        <v>-1</v>
      </c>
      <c r="R33">
        <f t="shared" si="21"/>
        <v>1</v>
      </c>
      <c r="S33">
        <f t="shared" si="22"/>
        <v>1</v>
      </c>
      <c r="T33">
        <f t="shared" si="23"/>
        <v>-1</v>
      </c>
      <c r="U33">
        <f t="shared" si="33"/>
        <v>1</v>
      </c>
      <c r="V33">
        <v>2</v>
      </c>
      <c r="W33">
        <v>1</v>
      </c>
      <c r="X33" s="354">
        <v>144250</v>
      </c>
      <c r="Y33" s="354">
        <v>8436</v>
      </c>
      <c r="Z33" s="188">
        <f t="shared" si="24"/>
        <v>200.27768136015749</v>
      </c>
      <c r="AA33" s="188">
        <f>IF(IF(sym!$Q22=H33,1,0)=1,ABS(X33*G33),-ABS(X33*G33))</f>
        <v>200.27768136015749</v>
      </c>
      <c r="AB33" s="188">
        <f>IF(IF(sym!$P22=$H33,1,0)=1,ABS($X33*$G33),-ABS($X33*$G33))</f>
        <v>-200.27768136015749</v>
      </c>
      <c r="AC33" s="188">
        <f t="shared" si="39"/>
        <v>-200.27768136015749</v>
      </c>
      <c r="AD33" s="188">
        <f t="shared" si="25"/>
        <v>200.27768136015749</v>
      </c>
      <c r="AE33" s="188">
        <f t="shared" si="26"/>
        <v>-200.27768136015749</v>
      </c>
      <c r="AF33" s="188">
        <f t="shared" si="34"/>
        <v>200.27768136015749</v>
      </c>
      <c r="AG33" s="188">
        <f t="shared" si="35"/>
        <v>200.27768136015749</v>
      </c>
      <c r="AH33" s="188">
        <f t="shared" si="36"/>
        <v>-200.27768136015749</v>
      </c>
      <c r="AI33" s="188">
        <f t="shared" si="37"/>
        <v>200.27768136015749</v>
      </c>
      <c r="AJ33" s="188">
        <f t="shared" si="38"/>
        <v>-200.27768136015749</v>
      </c>
      <c r="AK33" s="188">
        <f t="shared" si="27"/>
        <v>200.27768136015749</v>
      </c>
      <c r="AL33" s="188">
        <f t="shared" si="28"/>
        <v>-200.27768136015749</v>
      </c>
      <c r="AM33" s="188">
        <f t="shared" si="29"/>
        <v>200.27768136015749</v>
      </c>
      <c r="AN33" s="188">
        <f t="shared" si="30"/>
        <v>200.27768136015749</v>
      </c>
      <c r="AO33" s="188">
        <f t="shared" si="31"/>
        <v>-200.27768136015749</v>
      </c>
      <c r="AP33" s="188">
        <f t="shared" si="31"/>
        <v>200.27768136015749</v>
      </c>
    </row>
    <row r="34" spans="1:42" ht="15.75" thickBot="1" x14ac:dyDescent="0.3">
      <c r="A34" s="1" t="s">
        <v>331</v>
      </c>
      <c r="B34" s="149" t="s">
        <v>481</v>
      </c>
      <c r="C34" s="192" t="s">
        <v>294</v>
      </c>
      <c r="E34" s="201">
        <f>'0811'!H34</f>
        <v>1</v>
      </c>
      <c r="F34" s="186">
        <f t="shared" si="18"/>
        <v>-156.17454440501763</v>
      </c>
      <c r="G34" s="202">
        <v>-7.7708703374800004E-4</v>
      </c>
      <c r="H34" s="202">
        <v>-1</v>
      </c>
      <c r="I34" s="227">
        <v>-1</v>
      </c>
      <c r="J34" s="227">
        <v>-1</v>
      </c>
      <c r="K34" s="227">
        <v>-1</v>
      </c>
      <c r="L34" s="202">
        <v>1</v>
      </c>
      <c r="M34" s="228">
        <v>-6</v>
      </c>
      <c r="N34" s="288">
        <v>42585</v>
      </c>
      <c r="O34">
        <f t="shared" si="19"/>
        <v>-1</v>
      </c>
      <c r="P34">
        <f t="shared" si="32"/>
        <v>-1</v>
      </c>
      <c r="Q34">
        <f t="shared" si="20"/>
        <v>-1</v>
      </c>
      <c r="R34">
        <f t="shared" si="21"/>
        <v>-1</v>
      </c>
      <c r="S34">
        <f t="shared" si="22"/>
        <v>-1</v>
      </c>
      <c r="T34">
        <f t="shared" si="23"/>
        <v>1</v>
      </c>
      <c r="U34">
        <f t="shared" si="33"/>
        <v>-1</v>
      </c>
      <c r="V34">
        <v>4</v>
      </c>
      <c r="W34">
        <v>1</v>
      </c>
      <c r="X34" s="354">
        <v>200974.32800000001</v>
      </c>
      <c r="Y34" s="354">
        <v>2447.1487999999999</v>
      </c>
      <c r="Z34" s="188">
        <f t="shared" si="24"/>
        <v>156.17454440501763</v>
      </c>
      <c r="AA34" s="188">
        <f>IF(IF(sym!$Q23=H34,1,0)=1,ABS(X34*G34),-ABS(X34*G34))</f>
        <v>-156.17454440501763</v>
      </c>
      <c r="AB34" s="188">
        <f>IF(IF(sym!$P23=$H34,1,0)=1,ABS($X34*$G34),-ABS($X34*$G34))</f>
        <v>156.17454440501763</v>
      </c>
      <c r="AC34" s="188">
        <f t="shared" si="39"/>
        <v>-156.17454440501763</v>
      </c>
      <c r="AD34" s="188">
        <f t="shared" si="25"/>
        <v>156.17454440501763</v>
      </c>
      <c r="AE34" s="188">
        <f t="shared" si="26"/>
        <v>156.17454440501763</v>
      </c>
      <c r="AF34" s="188">
        <f t="shared" si="34"/>
        <v>156.17454440501763</v>
      </c>
      <c r="AG34" s="188">
        <f t="shared" si="35"/>
        <v>156.17454440501763</v>
      </c>
      <c r="AH34" s="188">
        <f t="shared" si="36"/>
        <v>-156.17454440501763</v>
      </c>
      <c r="AI34" s="188">
        <f t="shared" si="37"/>
        <v>156.17454440501763</v>
      </c>
      <c r="AJ34" s="188">
        <f t="shared" si="38"/>
        <v>156.17454440501763</v>
      </c>
      <c r="AK34" s="188">
        <f t="shared" si="27"/>
        <v>156.17454440501763</v>
      </c>
      <c r="AL34" s="188">
        <f t="shared" si="28"/>
        <v>156.17454440501763</v>
      </c>
      <c r="AM34" s="188">
        <f t="shared" si="29"/>
        <v>156.17454440501763</v>
      </c>
      <c r="AN34" s="188">
        <f t="shared" si="30"/>
        <v>156.17454440501763</v>
      </c>
      <c r="AO34" s="188">
        <f t="shared" si="31"/>
        <v>-156.17454440501763</v>
      </c>
      <c r="AP34" s="188">
        <f t="shared" si="31"/>
        <v>156.17454440501763</v>
      </c>
    </row>
    <row r="35" spans="1:42" ht="15.75" thickBot="1" x14ac:dyDescent="0.3">
      <c r="A35" s="1" t="s">
        <v>333</v>
      </c>
      <c r="B35" s="149" t="s">
        <v>663</v>
      </c>
      <c r="C35" s="192" t="s">
        <v>294</v>
      </c>
      <c r="E35" s="201">
        <f>'0811'!H35</f>
        <v>1</v>
      </c>
      <c r="F35" s="186">
        <f t="shared" si="18"/>
        <v>-58.591864838399651</v>
      </c>
      <c r="G35" s="202">
        <v>-3.2647730982699998E-4</v>
      </c>
      <c r="H35" s="202">
        <v>-1</v>
      </c>
      <c r="I35" s="227">
        <v>1</v>
      </c>
      <c r="J35" s="227">
        <v>-1</v>
      </c>
      <c r="K35" s="227">
        <v>1</v>
      </c>
      <c r="L35" s="202">
        <v>-1</v>
      </c>
      <c r="M35" s="228">
        <v>-20</v>
      </c>
      <c r="N35" s="288">
        <v>42565</v>
      </c>
      <c r="O35">
        <f t="shared" si="19"/>
        <v>1</v>
      </c>
      <c r="P35">
        <f t="shared" si="32"/>
        <v>1</v>
      </c>
      <c r="Q35">
        <f t="shared" si="20"/>
        <v>-1</v>
      </c>
      <c r="R35">
        <f t="shared" si="21"/>
        <v>1</v>
      </c>
      <c r="S35">
        <f t="shared" si="22"/>
        <v>1</v>
      </c>
      <c r="T35">
        <f t="shared" si="23"/>
        <v>-1</v>
      </c>
      <c r="U35">
        <f t="shared" si="33"/>
        <v>-1</v>
      </c>
      <c r="V35">
        <v>3</v>
      </c>
      <c r="W35">
        <v>1</v>
      </c>
      <c r="X35" s="354">
        <v>179466.88200000001</v>
      </c>
      <c r="Y35" s="354">
        <v>17415.84</v>
      </c>
      <c r="Z35" s="188">
        <f t="shared" si="24"/>
        <v>58.591864838399651</v>
      </c>
      <c r="AA35" s="188">
        <f>IF(IF(sym!$Q24=H35,1,0)=1,ABS(X35*G35),-ABS(X35*G35))</f>
        <v>-58.591864838399651</v>
      </c>
      <c r="AB35" s="188">
        <f>IF(IF(sym!$P24=$H35,1,0)=1,ABS($X35*$G35),-ABS($X35*$G35))</f>
        <v>58.591864838399651</v>
      </c>
      <c r="AC35" s="188">
        <f t="shared" si="39"/>
        <v>-58.591864838399651</v>
      </c>
      <c r="AD35" s="188">
        <f t="shared" si="25"/>
        <v>58.591864838399651</v>
      </c>
      <c r="AE35" s="188">
        <f t="shared" si="26"/>
        <v>58.591864838399651</v>
      </c>
      <c r="AF35" s="188">
        <f t="shared" si="34"/>
        <v>-58.591864838399651</v>
      </c>
      <c r="AG35" s="188">
        <f t="shared" si="35"/>
        <v>-58.591864838399651</v>
      </c>
      <c r="AH35" s="188">
        <f t="shared" si="36"/>
        <v>58.591864838399651</v>
      </c>
      <c r="AI35" s="188">
        <f t="shared" si="37"/>
        <v>-58.591864838399651</v>
      </c>
      <c r="AJ35" s="188">
        <f t="shared" si="38"/>
        <v>-58.591864838399651</v>
      </c>
      <c r="AK35" s="188">
        <f t="shared" si="27"/>
        <v>-58.591864838399651</v>
      </c>
      <c r="AL35" s="188">
        <f t="shared" si="28"/>
        <v>58.591864838399651</v>
      </c>
      <c r="AM35" s="188">
        <f t="shared" si="29"/>
        <v>-58.591864838399651</v>
      </c>
      <c r="AN35" s="188">
        <f t="shared" si="30"/>
        <v>-58.591864838399651</v>
      </c>
      <c r="AO35" s="188">
        <f t="shared" si="31"/>
        <v>58.591864838399651</v>
      </c>
      <c r="AP35" s="188">
        <f t="shared" si="31"/>
        <v>58.591864838399651</v>
      </c>
    </row>
    <row r="36" spans="1:42" ht="15.75" thickBot="1" x14ac:dyDescent="0.3">
      <c r="A36" s="328" t="s">
        <v>335</v>
      </c>
      <c r="B36" s="329" t="s">
        <v>568</v>
      </c>
      <c r="C36" s="330" t="s">
        <v>1285</v>
      </c>
      <c r="E36" s="201">
        <f>'0811'!H36</f>
        <v>1</v>
      </c>
      <c r="F36" s="186">
        <f t="shared" si="18"/>
        <v>0</v>
      </c>
      <c r="G36" s="291">
        <v>0</v>
      </c>
      <c r="H36" s="202">
        <v>1</v>
      </c>
      <c r="I36" s="227">
        <v>1</v>
      </c>
      <c r="J36" s="227">
        <v>1</v>
      </c>
      <c r="K36" s="227">
        <v>1</v>
      </c>
      <c r="L36" s="202">
        <v>1</v>
      </c>
      <c r="M36" s="228">
        <v>-15</v>
      </c>
      <c r="N36" s="288">
        <v>42572</v>
      </c>
      <c r="O36">
        <f t="shared" si="19"/>
        <v>-1</v>
      </c>
      <c r="P36">
        <f t="shared" si="32"/>
        <v>1</v>
      </c>
      <c r="Q36">
        <f t="shared" si="20"/>
        <v>-1</v>
      </c>
      <c r="R36">
        <f t="shared" si="21"/>
        <v>-1</v>
      </c>
      <c r="S36">
        <f t="shared" si="22"/>
        <v>-1</v>
      </c>
      <c r="T36">
        <f t="shared" si="23"/>
        <v>1</v>
      </c>
      <c r="U36">
        <f t="shared" si="33"/>
        <v>-1</v>
      </c>
      <c r="V36">
        <v>0</v>
      </c>
      <c r="W36">
        <v>1</v>
      </c>
      <c r="X36" s="354">
        <v>0</v>
      </c>
      <c r="Y36" s="354">
        <v>0</v>
      </c>
      <c r="Z36" s="188">
        <f t="shared" si="24"/>
        <v>0</v>
      </c>
      <c r="AA36" s="188">
        <f>IF(IF(sym!$Q25=H36,1,0)=1,ABS(X36*G36),-ABS(X36*G36))</f>
        <v>0</v>
      </c>
      <c r="AB36" s="188">
        <f>IF(IF(sym!$P25=$H36,1,0)=1,ABS($X36*$G36),-ABS($X36*$G36))</f>
        <v>0</v>
      </c>
      <c r="AC36" s="188">
        <f t="shared" si="39"/>
        <v>0</v>
      </c>
      <c r="AD36" s="188">
        <f t="shared" si="25"/>
        <v>0</v>
      </c>
      <c r="AE36" s="188">
        <f t="shared" si="26"/>
        <v>0</v>
      </c>
      <c r="AF36" s="188">
        <f t="shared" si="34"/>
        <v>0</v>
      </c>
      <c r="AG36" s="188">
        <f t="shared" si="35"/>
        <v>0</v>
      </c>
      <c r="AH36" s="188">
        <f t="shared" si="36"/>
        <v>0</v>
      </c>
      <c r="AI36" s="188">
        <f t="shared" si="37"/>
        <v>0</v>
      </c>
      <c r="AJ36" s="188">
        <f t="shared" si="38"/>
        <v>0</v>
      </c>
      <c r="AK36" s="188">
        <f t="shared" si="27"/>
        <v>0</v>
      </c>
      <c r="AL36" s="188">
        <f t="shared" si="28"/>
        <v>0</v>
      </c>
      <c r="AM36" s="188">
        <f t="shared" si="29"/>
        <v>0</v>
      </c>
      <c r="AN36" s="188">
        <f t="shared" si="30"/>
        <v>0</v>
      </c>
      <c r="AO36" s="188">
        <f t="shared" si="31"/>
        <v>0</v>
      </c>
      <c r="AP36" s="188">
        <f t="shared" si="31"/>
        <v>0</v>
      </c>
    </row>
    <row r="37" spans="1:42" ht="15.75" thickBot="1" x14ac:dyDescent="0.3">
      <c r="A37" s="1" t="s">
        <v>337</v>
      </c>
      <c r="B37" s="149" t="s">
        <v>591</v>
      </c>
      <c r="C37" s="192" t="s">
        <v>294</v>
      </c>
      <c r="E37" s="201">
        <f>'0811'!H37</f>
        <v>1</v>
      </c>
      <c r="F37" s="186">
        <f t="shared" si="18"/>
        <v>854.38358894005626</v>
      </c>
      <c r="G37" s="202">
        <v>3.1932651135799998E-3</v>
      </c>
      <c r="H37" s="202">
        <v>1</v>
      </c>
      <c r="I37" s="227">
        <v>-1</v>
      </c>
      <c r="J37" s="227">
        <v>-1</v>
      </c>
      <c r="K37" s="227">
        <v>-1</v>
      </c>
      <c r="L37" s="202">
        <v>1</v>
      </c>
      <c r="M37" s="228">
        <v>12</v>
      </c>
      <c r="N37" s="288">
        <v>42577</v>
      </c>
      <c r="O37">
        <f t="shared" si="19"/>
        <v>1</v>
      </c>
      <c r="P37">
        <f t="shared" si="32"/>
        <v>-1</v>
      </c>
      <c r="Q37">
        <f t="shared" si="20"/>
        <v>-1</v>
      </c>
      <c r="R37">
        <f t="shared" si="21"/>
        <v>-1</v>
      </c>
      <c r="S37">
        <f t="shared" si="22"/>
        <v>-1</v>
      </c>
      <c r="T37">
        <f t="shared" si="23"/>
        <v>1</v>
      </c>
      <c r="U37">
        <f t="shared" si="33"/>
        <v>-1</v>
      </c>
      <c r="V37">
        <v>3</v>
      </c>
      <c r="W37">
        <v>1</v>
      </c>
      <c r="X37" s="354">
        <v>267557.98800000001</v>
      </c>
      <c r="Y37" s="354">
        <v>16499.054400000001</v>
      </c>
      <c r="Z37" s="188">
        <f t="shared" si="24"/>
        <v>854.38358894005626</v>
      </c>
      <c r="AA37" s="188">
        <f>IF(IF(sym!$Q26=H37,1,0)=1,ABS(X37*G37),-ABS(X37*G37))</f>
        <v>854.38358894005626</v>
      </c>
      <c r="AB37" s="188">
        <f>IF(IF(sym!$P26=$H37,1,0)=1,ABS($X37*$G37),-ABS($X37*$G37))</f>
        <v>-854.38358894005626</v>
      </c>
      <c r="AC37" s="188">
        <f t="shared" si="39"/>
        <v>854.38358894005626</v>
      </c>
      <c r="AD37" s="188">
        <f t="shared" si="25"/>
        <v>-854.38358894005626</v>
      </c>
      <c r="AE37" s="188">
        <f t="shared" si="26"/>
        <v>-854.38358894005626</v>
      </c>
      <c r="AF37" s="188">
        <f t="shared" si="34"/>
        <v>-854.38358894005626</v>
      </c>
      <c r="AG37" s="188">
        <f t="shared" si="35"/>
        <v>-854.38358894005626</v>
      </c>
      <c r="AH37" s="188">
        <f t="shared" si="36"/>
        <v>854.38358894005626</v>
      </c>
      <c r="AI37" s="188">
        <f t="shared" si="37"/>
        <v>-854.38358894005626</v>
      </c>
      <c r="AJ37" s="188">
        <f t="shared" si="38"/>
        <v>854.38358894005626</v>
      </c>
      <c r="AK37" s="188">
        <f t="shared" si="27"/>
        <v>-854.38358894005626</v>
      </c>
      <c r="AL37" s="188">
        <f t="shared" si="28"/>
        <v>-854.38358894005626</v>
      </c>
      <c r="AM37" s="188">
        <f t="shared" si="29"/>
        <v>-854.38358894005626</v>
      </c>
      <c r="AN37" s="188">
        <f t="shared" si="30"/>
        <v>-854.38358894005626</v>
      </c>
      <c r="AO37" s="188">
        <f t="shared" si="31"/>
        <v>854.38358894005626</v>
      </c>
      <c r="AP37" s="188">
        <f t="shared" si="31"/>
        <v>-854.38358894005626</v>
      </c>
    </row>
    <row r="38" spans="1:42" ht="15.75" thickBot="1" x14ac:dyDescent="0.3">
      <c r="A38" s="1" t="s">
        <v>339</v>
      </c>
      <c r="B38" s="149" t="s">
        <v>596</v>
      </c>
      <c r="C38" s="192" t="s">
        <v>1122</v>
      </c>
      <c r="E38" s="201">
        <f>'0811'!H38</f>
        <v>1</v>
      </c>
      <c r="F38" s="186">
        <f t="shared" si="18"/>
        <v>620.13915560835528</v>
      </c>
      <c r="G38" s="202">
        <v>1.20627261761E-3</v>
      </c>
      <c r="H38" s="202">
        <v>1</v>
      </c>
      <c r="I38" s="227">
        <v>-1</v>
      </c>
      <c r="J38" s="227">
        <v>-1</v>
      </c>
      <c r="K38" s="227">
        <v>1</v>
      </c>
      <c r="L38" s="202">
        <v>1</v>
      </c>
      <c r="M38" s="228">
        <v>-1</v>
      </c>
      <c r="N38" s="288">
        <v>42584</v>
      </c>
      <c r="O38">
        <f t="shared" si="19"/>
        <v>-1</v>
      </c>
      <c r="P38">
        <f t="shared" si="32"/>
        <v>1</v>
      </c>
      <c r="Q38">
        <f t="shared" si="20"/>
        <v>-1</v>
      </c>
      <c r="R38">
        <f t="shared" si="21"/>
        <v>-1</v>
      </c>
      <c r="S38">
        <f t="shared" si="22"/>
        <v>-1</v>
      </c>
      <c r="T38">
        <f t="shared" si="23"/>
        <v>1</v>
      </c>
      <c r="U38">
        <f t="shared" si="33"/>
        <v>-1</v>
      </c>
      <c r="V38">
        <v>3</v>
      </c>
      <c r="W38">
        <v>1</v>
      </c>
      <c r="X38" s="354">
        <v>514095.35999999999</v>
      </c>
      <c r="Y38" s="354">
        <v>15240.9144</v>
      </c>
      <c r="Z38" s="188">
        <f t="shared" si="24"/>
        <v>620.13915560835528</v>
      </c>
      <c r="AA38" s="188">
        <f>IF(IF(sym!$Q27=H38,1,0)=1,ABS(X38*G38),-ABS(X38*G38))</f>
        <v>-620.13915560835528</v>
      </c>
      <c r="AB38" s="188">
        <f>IF(IF(sym!$P27=$H38,1,0)=1,ABS($X38*$G38),-ABS($X38*$G38))</f>
        <v>620.13915560835528</v>
      </c>
      <c r="AC38" s="188">
        <f t="shared" si="39"/>
        <v>620.13915560835528</v>
      </c>
      <c r="AD38" s="188">
        <f t="shared" si="25"/>
        <v>-620.13915560835528</v>
      </c>
      <c r="AE38" s="188">
        <f t="shared" si="26"/>
        <v>-620.13915560835528</v>
      </c>
      <c r="AF38" s="188">
        <f t="shared" si="34"/>
        <v>-620.13915560835528</v>
      </c>
      <c r="AG38" s="188">
        <f t="shared" si="35"/>
        <v>620.13915560835528</v>
      </c>
      <c r="AH38" s="188">
        <f t="shared" si="36"/>
        <v>620.13915560835528</v>
      </c>
      <c r="AI38" s="188">
        <f t="shared" si="37"/>
        <v>-620.13915560835528</v>
      </c>
      <c r="AJ38" s="188">
        <f t="shared" si="38"/>
        <v>-620.13915560835528</v>
      </c>
      <c r="AK38" s="188">
        <f t="shared" si="27"/>
        <v>620.13915560835528</v>
      </c>
      <c r="AL38" s="188">
        <f t="shared" si="28"/>
        <v>-620.13915560835528</v>
      </c>
      <c r="AM38" s="188">
        <f t="shared" si="29"/>
        <v>-620.13915560835528</v>
      </c>
      <c r="AN38" s="188">
        <f t="shared" si="30"/>
        <v>-620.13915560835528</v>
      </c>
      <c r="AO38" s="188">
        <f t="shared" si="31"/>
        <v>620.13915560835528</v>
      </c>
      <c r="AP38" s="188">
        <f t="shared" si="31"/>
        <v>-620.13915560835528</v>
      </c>
    </row>
    <row r="39" spans="1:42" ht="15.75" thickBot="1" x14ac:dyDescent="0.3">
      <c r="A39" s="328" t="s">
        <v>341</v>
      </c>
      <c r="B39" s="329" t="s">
        <v>453</v>
      </c>
      <c r="C39" s="330" t="s">
        <v>1285</v>
      </c>
      <c r="E39" s="201">
        <f>'0811'!H39</f>
        <v>-1</v>
      </c>
      <c r="F39" s="186">
        <f t="shared" si="18"/>
        <v>0</v>
      </c>
      <c r="G39" s="202">
        <v>0</v>
      </c>
      <c r="H39" s="202">
        <v>1</v>
      </c>
      <c r="I39" s="227">
        <v>1</v>
      </c>
      <c r="J39" s="227">
        <v>1</v>
      </c>
      <c r="K39" s="227">
        <v>1</v>
      </c>
      <c r="L39" s="202">
        <v>1</v>
      </c>
      <c r="M39" s="228">
        <v>6</v>
      </c>
      <c r="N39" s="288">
        <v>42585</v>
      </c>
      <c r="O39">
        <f t="shared" si="19"/>
        <v>1</v>
      </c>
      <c r="P39">
        <f t="shared" si="32"/>
        <v>-1</v>
      </c>
      <c r="Q39">
        <f t="shared" si="20"/>
        <v>1</v>
      </c>
      <c r="R39">
        <f t="shared" si="21"/>
        <v>1</v>
      </c>
      <c r="S39">
        <f t="shared" si="22"/>
        <v>1</v>
      </c>
      <c r="T39">
        <f t="shared" si="23"/>
        <v>-1</v>
      </c>
      <c r="U39">
        <f t="shared" si="33"/>
        <v>1</v>
      </c>
      <c r="V39">
        <v>0</v>
      </c>
      <c r="W39">
        <v>1</v>
      </c>
      <c r="X39" s="354">
        <v>0</v>
      </c>
      <c r="Y39" s="354">
        <v>0</v>
      </c>
      <c r="Z39" s="188">
        <f t="shared" si="24"/>
        <v>0</v>
      </c>
      <c r="AA39" s="188">
        <f>IF(IF(sym!$Q28=H39,1,0)=1,ABS(X39*G39),-ABS(X39*G39))</f>
        <v>0</v>
      </c>
      <c r="AB39" s="188">
        <f>IF(IF(sym!$P28=$H39,1,0)=1,ABS($X39*$G39),-ABS($X39*$G39))</f>
        <v>0</v>
      </c>
      <c r="AC39" s="188">
        <f t="shared" si="39"/>
        <v>0</v>
      </c>
      <c r="AD39" s="188">
        <f t="shared" si="25"/>
        <v>0</v>
      </c>
      <c r="AE39" s="188">
        <f t="shared" si="26"/>
        <v>0</v>
      </c>
      <c r="AF39" s="188">
        <f t="shared" si="34"/>
        <v>0</v>
      </c>
      <c r="AG39" s="188">
        <f t="shared" si="35"/>
        <v>0</v>
      </c>
      <c r="AH39" s="188">
        <f t="shared" si="36"/>
        <v>0</v>
      </c>
      <c r="AI39" s="188">
        <f t="shared" si="37"/>
        <v>0</v>
      </c>
      <c r="AJ39" s="188">
        <f t="shared" si="38"/>
        <v>0</v>
      </c>
      <c r="AK39" s="188">
        <f t="shared" si="27"/>
        <v>0</v>
      </c>
      <c r="AL39" s="188">
        <f t="shared" si="28"/>
        <v>0</v>
      </c>
      <c r="AM39" s="188">
        <f t="shared" si="29"/>
        <v>0</v>
      </c>
      <c r="AN39" s="188">
        <f t="shared" si="30"/>
        <v>0</v>
      </c>
      <c r="AO39" s="188">
        <f t="shared" si="31"/>
        <v>0</v>
      </c>
      <c r="AP39" s="188">
        <f t="shared" si="31"/>
        <v>0</v>
      </c>
    </row>
    <row r="40" spans="1:42" ht="15.75" thickBot="1" x14ac:dyDescent="0.3">
      <c r="A40" s="1" t="s">
        <v>343</v>
      </c>
      <c r="B40" s="149" t="s">
        <v>765</v>
      </c>
      <c r="C40" s="192" t="s">
        <v>1122</v>
      </c>
      <c r="E40" s="201">
        <f>'0811'!H40</f>
        <v>-1</v>
      </c>
      <c r="F40" s="186">
        <f t="shared" si="18"/>
        <v>1863.4423454319929</v>
      </c>
      <c r="G40" s="202">
        <v>2.1874798944899999E-3</v>
      </c>
      <c r="H40" s="202">
        <v>1</v>
      </c>
      <c r="I40" s="227">
        <v>-1</v>
      </c>
      <c r="J40" s="227">
        <v>1</v>
      </c>
      <c r="K40" s="227">
        <v>-1</v>
      </c>
      <c r="L40" s="202">
        <v>1</v>
      </c>
      <c r="M40" s="228">
        <v>-5</v>
      </c>
      <c r="N40" s="288">
        <v>42586</v>
      </c>
      <c r="O40">
        <f t="shared" si="19"/>
        <v>-1</v>
      </c>
      <c r="P40">
        <f t="shared" si="32"/>
        <v>-1</v>
      </c>
      <c r="Q40">
        <f t="shared" si="20"/>
        <v>1</v>
      </c>
      <c r="R40">
        <f t="shared" si="21"/>
        <v>-1</v>
      </c>
      <c r="S40">
        <f t="shared" si="22"/>
        <v>-1</v>
      </c>
      <c r="T40">
        <f t="shared" si="23"/>
        <v>1</v>
      </c>
      <c r="U40">
        <f t="shared" si="33"/>
        <v>1</v>
      </c>
      <c r="V40">
        <v>7</v>
      </c>
      <c r="W40">
        <v>1</v>
      </c>
      <c r="X40" s="354">
        <v>851867.1875</v>
      </c>
      <c r="Y40" s="354">
        <v>7000</v>
      </c>
      <c r="Z40" s="188">
        <f t="shared" si="24"/>
        <v>1863.4423454319929</v>
      </c>
      <c r="AA40" s="188">
        <f>IF(IF(sym!$Q29=H40,1,0)=1,ABS(X40*G40),-ABS(X40*G40))</f>
        <v>-1863.4423454319929</v>
      </c>
      <c r="AB40" s="188">
        <f>IF(IF(sym!$P29=$H40,1,0)=1,ABS($X40*$G40),-ABS($X40*$G40))</f>
        <v>1863.4423454319929</v>
      </c>
      <c r="AC40" s="188">
        <f t="shared" si="39"/>
        <v>-1863.4423454319929</v>
      </c>
      <c r="AD40" s="188">
        <f t="shared" si="25"/>
        <v>1863.4423454319929</v>
      </c>
      <c r="AE40" s="188">
        <f t="shared" si="26"/>
        <v>1863.4423454319929</v>
      </c>
      <c r="AF40" s="188">
        <f t="shared" si="34"/>
        <v>-1863.4423454319929</v>
      </c>
      <c r="AG40" s="188">
        <f t="shared" si="35"/>
        <v>-1863.4423454319929</v>
      </c>
      <c r="AH40" s="188">
        <f t="shared" si="36"/>
        <v>1863.4423454319929</v>
      </c>
      <c r="AI40" s="188">
        <f t="shared" si="37"/>
        <v>-1863.4423454319929</v>
      </c>
      <c r="AJ40" s="188">
        <f t="shared" si="38"/>
        <v>-1863.4423454319929</v>
      </c>
      <c r="AK40" s="188">
        <f t="shared" si="27"/>
        <v>-1863.4423454319929</v>
      </c>
      <c r="AL40" s="188">
        <f t="shared" si="28"/>
        <v>1863.4423454319929</v>
      </c>
      <c r="AM40" s="188">
        <f t="shared" si="29"/>
        <v>-1863.4423454319929</v>
      </c>
      <c r="AN40" s="188">
        <f t="shared" si="30"/>
        <v>-1863.4423454319929</v>
      </c>
      <c r="AO40" s="188">
        <f t="shared" si="31"/>
        <v>1863.4423454319929</v>
      </c>
      <c r="AP40" s="188">
        <f t="shared" si="31"/>
        <v>1863.4423454319929</v>
      </c>
    </row>
    <row r="41" spans="1:42" ht="15.75" thickBot="1" x14ac:dyDescent="0.3">
      <c r="A41" s="1" t="s">
        <v>345</v>
      </c>
      <c r="B41" s="149" t="s">
        <v>602</v>
      </c>
      <c r="C41" s="192" t="s">
        <v>347</v>
      </c>
      <c r="E41" s="201">
        <f>'0811'!H41</f>
        <v>-1</v>
      </c>
      <c r="F41" s="186">
        <f t="shared" si="18"/>
        <v>-1353.1496296304256</v>
      </c>
      <c r="G41" s="202">
        <v>-5.0370370370399998E-3</v>
      </c>
      <c r="H41" s="202">
        <v>-1</v>
      </c>
      <c r="I41" s="227">
        <v>-1</v>
      </c>
      <c r="J41" s="227">
        <v>-1</v>
      </c>
      <c r="K41" s="227">
        <v>-1</v>
      </c>
      <c r="L41" s="202">
        <v>1</v>
      </c>
      <c r="M41" s="228">
        <v>-7</v>
      </c>
      <c r="N41" s="288">
        <v>42584</v>
      </c>
      <c r="O41">
        <f t="shared" si="19"/>
        <v>-1</v>
      </c>
      <c r="P41">
        <f t="shared" si="32"/>
        <v>-1</v>
      </c>
      <c r="Q41">
        <f t="shared" si="20"/>
        <v>-1</v>
      </c>
      <c r="R41">
        <f t="shared" si="21"/>
        <v>-1</v>
      </c>
      <c r="S41">
        <f t="shared" si="22"/>
        <v>-1</v>
      </c>
      <c r="T41">
        <f t="shared" si="23"/>
        <v>1</v>
      </c>
      <c r="U41">
        <f t="shared" si="33"/>
        <v>-1</v>
      </c>
      <c r="V41">
        <v>2</v>
      </c>
      <c r="W41">
        <v>1</v>
      </c>
      <c r="X41" s="354">
        <v>268640</v>
      </c>
      <c r="Y41" s="354">
        <v>11250</v>
      </c>
      <c r="Z41" s="188">
        <f t="shared" si="24"/>
        <v>1353.1496296304256</v>
      </c>
      <c r="AA41" s="188">
        <f>IF(IF(sym!$Q30=H41,1,0)=1,ABS(X41*G41),-ABS(X41*G41))</f>
        <v>1353.1496296304256</v>
      </c>
      <c r="AB41" s="188">
        <f>IF(IF(sym!$P30=$H41,1,0)=1,ABS($X41*$G41),-ABS($X41*$G41))</f>
        <v>-1353.1496296304256</v>
      </c>
      <c r="AC41" s="188">
        <f t="shared" si="39"/>
        <v>1353.1496296304256</v>
      </c>
      <c r="AD41" s="188">
        <f t="shared" si="25"/>
        <v>-1353.1496296304256</v>
      </c>
      <c r="AE41" s="188">
        <f t="shared" si="26"/>
        <v>1353.1496296304256</v>
      </c>
      <c r="AF41" s="188">
        <f t="shared" si="34"/>
        <v>1353.1496296304256</v>
      </c>
      <c r="AG41" s="188">
        <f t="shared" si="35"/>
        <v>1353.1496296304256</v>
      </c>
      <c r="AH41" s="188">
        <f t="shared" si="36"/>
        <v>-1353.1496296304256</v>
      </c>
      <c r="AI41" s="188">
        <f t="shared" si="37"/>
        <v>1353.1496296304256</v>
      </c>
      <c r="AJ41" s="188">
        <f t="shared" si="38"/>
        <v>1353.1496296304256</v>
      </c>
      <c r="AK41" s="188">
        <f t="shared" si="27"/>
        <v>1353.1496296304256</v>
      </c>
      <c r="AL41" s="188">
        <f t="shared" si="28"/>
        <v>1353.1496296304256</v>
      </c>
      <c r="AM41" s="188">
        <f t="shared" si="29"/>
        <v>1353.1496296304256</v>
      </c>
      <c r="AN41" s="188">
        <f t="shared" si="30"/>
        <v>1353.1496296304256</v>
      </c>
      <c r="AO41" s="188">
        <f t="shared" si="31"/>
        <v>-1353.1496296304256</v>
      </c>
      <c r="AP41" s="188">
        <f t="shared" si="31"/>
        <v>1353.1496296304256</v>
      </c>
    </row>
    <row r="42" spans="1:42" ht="15.75" thickBot="1" x14ac:dyDescent="0.3">
      <c r="A42" s="1" t="s">
        <v>1023</v>
      </c>
      <c r="B42" s="149" t="s">
        <v>604</v>
      </c>
      <c r="C42" s="192" t="s">
        <v>294</v>
      </c>
      <c r="E42" s="201">
        <f>'0811'!H42</f>
        <v>1</v>
      </c>
      <c r="F42" s="186">
        <f t="shared" si="18"/>
        <v>2507.8540106404485</v>
      </c>
      <c r="G42" s="202">
        <v>1.35909959652E-2</v>
      </c>
      <c r="H42" s="202">
        <v>1</v>
      </c>
      <c r="I42" s="227">
        <v>-1</v>
      </c>
      <c r="J42" s="227">
        <v>-1</v>
      </c>
      <c r="K42" s="227">
        <v>-1</v>
      </c>
      <c r="L42" s="202">
        <v>-1</v>
      </c>
      <c r="M42" s="228">
        <v>-7</v>
      </c>
      <c r="N42" s="288">
        <v>42583</v>
      </c>
      <c r="O42">
        <f t="shared" si="19"/>
        <v>1</v>
      </c>
      <c r="P42">
        <f t="shared" si="32"/>
        <v>1</v>
      </c>
      <c r="Q42">
        <f t="shared" si="20"/>
        <v>-1</v>
      </c>
      <c r="R42">
        <f t="shared" si="21"/>
        <v>-1</v>
      </c>
      <c r="S42">
        <f t="shared" si="22"/>
        <v>-1</v>
      </c>
      <c r="T42">
        <f t="shared" si="23"/>
        <v>1</v>
      </c>
      <c r="U42">
        <f t="shared" si="33"/>
        <v>-1</v>
      </c>
      <c r="V42">
        <v>3</v>
      </c>
      <c r="W42">
        <v>1</v>
      </c>
      <c r="X42" s="354">
        <v>184523.19587628866</v>
      </c>
      <c r="Y42" s="354">
        <v>15115.9793814433</v>
      </c>
      <c r="Z42" s="188">
        <f t="shared" si="24"/>
        <v>2507.8540106404485</v>
      </c>
      <c r="AA42" s="188">
        <f>IF(IF(sym!$Q31=H42,1,0)=1,ABS(X42*G42),-ABS(X42*G42))</f>
        <v>2507.8540106404485</v>
      </c>
      <c r="AB42" s="188">
        <f>IF(IF(sym!$P31=$H42,1,0)=1,ABS($X42*$G42),-ABS($X42*$G42))</f>
        <v>-2507.8540106404485</v>
      </c>
      <c r="AC42" s="188">
        <f t="shared" si="39"/>
        <v>2507.8540106404485</v>
      </c>
      <c r="AD42" s="188">
        <f t="shared" si="25"/>
        <v>-2507.8540106404485</v>
      </c>
      <c r="AE42" s="188">
        <f t="shared" si="26"/>
        <v>-2507.8540106404485</v>
      </c>
      <c r="AF42" s="188">
        <f t="shared" si="34"/>
        <v>-2507.8540106404485</v>
      </c>
      <c r="AG42" s="188">
        <f t="shared" si="35"/>
        <v>-2507.8540106404485</v>
      </c>
      <c r="AH42" s="188">
        <f t="shared" si="36"/>
        <v>-2507.8540106404485</v>
      </c>
      <c r="AI42" s="188">
        <f t="shared" si="37"/>
        <v>2507.8540106404485</v>
      </c>
      <c r="AJ42" s="188">
        <f t="shared" si="38"/>
        <v>2507.8540106404485</v>
      </c>
      <c r="AK42" s="188">
        <f t="shared" si="27"/>
        <v>2507.8540106404485</v>
      </c>
      <c r="AL42" s="188">
        <f t="shared" si="28"/>
        <v>-2507.8540106404485</v>
      </c>
      <c r="AM42" s="188">
        <f t="shared" si="29"/>
        <v>-2507.8540106404485</v>
      </c>
      <c r="AN42" s="188">
        <f t="shared" si="30"/>
        <v>-2507.8540106404485</v>
      </c>
      <c r="AO42" s="188">
        <f t="shared" si="31"/>
        <v>2507.8540106404485</v>
      </c>
      <c r="AP42" s="188">
        <f t="shared" si="31"/>
        <v>-2507.8540106404485</v>
      </c>
    </row>
    <row r="43" spans="1:42" ht="15.75" thickBot="1" x14ac:dyDescent="0.3">
      <c r="A43" s="1" t="s">
        <v>349</v>
      </c>
      <c r="B43" s="149" t="s">
        <v>515</v>
      </c>
      <c r="C43" s="192" t="s">
        <v>347</v>
      </c>
      <c r="E43" s="201">
        <f>'0811'!H43</f>
        <v>1</v>
      </c>
      <c r="F43" s="186">
        <f t="shared" si="18"/>
        <v>-2504.0278401925475</v>
      </c>
      <c r="G43" s="202">
        <v>-2.32770424373E-2</v>
      </c>
      <c r="H43" s="202">
        <v>-1</v>
      </c>
      <c r="I43" s="227">
        <v>1</v>
      </c>
      <c r="J43" s="227">
        <v>1</v>
      </c>
      <c r="K43" s="227">
        <v>-1</v>
      </c>
      <c r="L43" s="202">
        <v>-1</v>
      </c>
      <c r="M43" s="228">
        <v>9</v>
      </c>
      <c r="N43" s="288">
        <v>42580</v>
      </c>
      <c r="O43">
        <f t="shared" si="19"/>
        <v>-1</v>
      </c>
      <c r="P43">
        <f t="shared" si="32"/>
        <v>1</v>
      </c>
      <c r="Q43">
        <f t="shared" si="20"/>
        <v>-1</v>
      </c>
      <c r="R43">
        <f t="shared" si="21"/>
        <v>1</v>
      </c>
      <c r="S43">
        <f t="shared" si="22"/>
        <v>1</v>
      </c>
      <c r="T43">
        <f t="shared" si="23"/>
        <v>1</v>
      </c>
      <c r="U43">
        <f t="shared" si="33"/>
        <v>1</v>
      </c>
      <c r="V43">
        <v>2</v>
      </c>
      <c r="W43">
        <v>1</v>
      </c>
      <c r="X43" s="354">
        <v>107575</v>
      </c>
      <c r="Y43" s="354">
        <v>5750</v>
      </c>
      <c r="Z43" s="188">
        <f t="shared" si="24"/>
        <v>2504.0278401925475</v>
      </c>
      <c r="AA43" s="188">
        <f>IF(IF(sym!$Q32=H43,1,0)=1,ABS(X43*G43),-ABS(X43*G43))</f>
        <v>-2504.0278401925475</v>
      </c>
      <c r="AB43" s="188">
        <f>IF(IF(sym!$P32=$H43,1,0)=1,ABS($X43*$G43),-ABS($X43*$G43))</f>
        <v>2504.0278401925475</v>
      </c>
      <c r="AC43" s="188">
        <f t="shared" si="39"/>
        <v>-2504.0278401925475</v>
      </c>
      <c r="AD43" s="188">
        <f t="shared" si="25"/>
        <v>2504.0278401925475</v>
      </c>
      <c r="AE43" s="188">
        <f t="shared" si="26"/>
        <v>-2504.0278401925475</v>
      </c>
      <c r="AF43" s="188">
        <f t="shared" si="34"/>
        <v>-2504.0278401925475</v>
      </c>
      <c r="AG43" s="188">
        <f t="shared" si="35"/>
        <v>2504.0278401925475</v>
      </c>
      <c r="AH43" s="188">
        <f t="shared" si="36"/>
        <v>2504.0278401925475</v>
      </c>
      <c r="AI43" s="188">
        <f t="shared" si="37"/>
        <v>-2504.0278401925475</v>
      </c>
      <c r="AJ43" s="188">
        <f t="shared" si="38"/>
        <v>2504.0278401925475</v>
      </c>
      <c r="AK43" s="188">
        <f t="shared" si="27"/>
        <v>-2504.0278401925475</v>
      </c>
      <c r="AL43" s="188">
        <f t="shared" si="28"/>
        <v>2504.0278401925475</v>
      </c>
      <c r="AM43" s="188">
        <f t="shared" si="29"/>
        <v>-2504.0278401925475</v>
      </c>
      <c r="AN43" s="188">
        <f t="shared" si="30"/>
        <v>-2504.0278401925475</v>
      </c>
      <c r="AO43" s="188">
        <f t="shared" si="31"/>
        <v>-2504.0278401925475</v>
      </c>
      <c r="AP43" s="188">
        <f t="shared" si="31"/>
        <v>-2504.0278401925475</v>
      </c>
    </row>
    <row r="44" spans="1:42" ht="15.75" thickBot="1" x14ac:dyDescent="0.3">
      <c r="A44" s="1" t="s">
        <v>1024</v>
      </c>
      <c r="B44" s="149" t="s">
        <v>353</v>
      </c>
      <c r="C44" s="192" t="s">
        <v>294</v>
      </c>
      <c r="E44" s="201">
        <f>'0811'!H44</f>
        <v>1</v>
      </c>
      <c r="F44" s="186">
        <f t="shared" si="18"/>
        <v>2560.8280553129812</v>
      </c>
      <c r="G44" s="202">
        <v>8.7322695035499994E-3</v>
      </c>
      <c r="H44" s="202">
        <v>1</v>
      </c>
      <c r="I44" s="227">
        <v>-1</v>
      </c>
      <c r="J44" s="227">
        <v>1</v>
      </c>
      <c r="K44" s="227">
        <v>-1</v>
      </c>
      <c r="L44" s="202">
        <v>-1</v>
      </c>
      <c r="M44" s="228">
        <v>-7</v>
      </c>
      <c r="N44" s="288">
        <v>42583</v>
      </c>
      <c r="O44">
        <f t="shared" si="19"/>
        <v>1</v>
      </c>
      <c r="P44">
        <f t="shared" si="32"/>
        <v>1</v>
      </c>
      <c r="Q44">
        <f t="shared" si="20"/>
        <v>1</v>
      </c>
      <c r="R44">
        <f t="shared" si="21"/>
        <v>-1</v>
      </c>
      <c r="S44">
        <f t="shared" si="22"/>
        <v>1</v>
      </c>
      <c r="T44">
        <f t="shared" si="23"/>
        <v>1</v>
      </c>
      <c r="U44">
        <f t="shared" si="33"/>
        <v>1</v>
      </c>
      <c r="V44">
        <v>2</v>
      </c>
      <c r="W44">
        <v>1</v>
      </c>
      <c r="X44" s="354">
        <v>293260.3092783505</v>
      </c>
      <c r="Y44" s="354">
        <v>25265.463917525773</v>
      </c>
      <c r="Z44" s="188">
        <f t="shared" si="24"/>
        <v>2560.8280553129812</v>
      </c>
      <c r="AA44" s="188">
        <f>IF(IF(sym!$Q33=H44,1,0)=1,ABS(X44*G44),-ABS(X44*G44))</f>
        <v>2560.8280553129812</v>
      </c>
      <c r="AB44" s="188">
        <f>IF(IF(sym!$P33=$H44,1,0)=1,ABS($X44*$G44),-ABS($X44*$G44))</f>
        <v>-2560.8280553129812</v>
      </c>
      <c r="AC44" s="188">
        <f t="shared" si="39"/>
        <v>2560.8280553129812</v>
      </c>
      <c r="AD44" s="188">
        <f t="shared" si="25"/>
        <v>-2560.8280553129812</v>
      </c>
      <c r="AE44" s="188">
        <f t="shared" si="26"/>
        <v>2560.8280553129812</v>
      </c>
      <c r="AF44" s="188">
        <f t="shared" si="34"/>
        <v>-2560.8280553129812</v>
      </c>
      <c r="AG44" s="188">
        <f t="shared" si="35"/>
        <v>-2560.8280553129812</v>
      </c>
      <c r="AH44" s="188">
        <f t="shared" si="36"/>
        <v>-2560.8280553129812</v>
      </c>
      <c r="AI44" s="188">
        <f t="shared" si="37"/>
        <v>2560.8280553129812</v>
      </c>
      <c r="AJ44" s="188">
        <f t="shared" si="38"/>
        <v>2560.8280553129812</v>
      </c>
      <c r="AK44" s="188">
        <f t="shared" si="27"/>
        <v>2560.8280553129812</v>
      </c>
      <c r="AL44" s="188">
        <f t="shared" si="28"/>
        <v>2560.8280553129812</v>
      </c>
      <c r="AM44" s="188">
        <f t="shared" si="29"/>
        <v>-2560.8280553129812</v>
      </c>
      <c r="AN44" s="188">
        <f t="shared" si="30"/>
        <v>2560.8280553129812</v>
      </c>
      <c r="AO44" s="188">
        <f t="shared" si="31"/>
        <v>2560.8280553129812</v>
      </c>
      <c r="AP44" s="188">
        <f t="shared" si="31"/>
        <v>2560.8280553129812</v>
      </c>
    </row>
    <row r="45" spans="1:42" ht="15.75" thickBot="1" x14ac:dyDescent="0.3">
      <c r="A45" s="1" t="s">
        <v>351</v>
      </c>
      <c r="B45" s="149" t="s">
        <v>617</v>
      </c>
      <c r="C45" s="192" t="s">
        <v>288</v>
      </c>
      <c r="E45" s="201">
        <f>'0811'!H45</f>
        <v>1</v>
      </c>
      <c r="F45" s="186">
        <f t="shared" si="18"/>
        <v>2024.8688569543292</v>
      </c>
      <c r="G45" s="202">
        <v>1.71131489638E-2</v>
      </c>
      <c r="H45" s="202">
        <v>1</v>
      </c>
      <c r="I45" s="227">
        <v>1</v>
      </c>
      <c r="J45" s="227">
        <v>-1</v>
      </c>
      <c r="K45" s="227">
        <v>1</v>
      </c>
      <c r="L45" s="202">
        <v>1</v>
      </c>
      <c r="M45" s="228">
        <v>8</v>
      </c>
      <c r="N45" s="288">
        <v>42583</v>
      </c>
      <c r="O45">
        <f t="shared" si="19"/>
        <v>1</v>
      </c>
      <c r="P45">
        <f t="shared" si="32"/>
        <v>1</v>
      </c>
      <c r="Q45">
        <f t="shared" si="20"/>
        <v>-1</v>
      </c>
      <c r="R45">
        <f t="shared" si="21"/>
        <v>-1</v>
      </c>
      <c r="S45">
        <f t="shared" si="22"/>
        <v>-1</v>
      </c>
      <c r="T45">
        <f t="shared" si="23"/>
        <v>-1</v>
      </c>
      <c r="U45">
        <f t="shared" si="33"/>
        <v>-1</v>
      </c>
      <c r="V45">
        <v>2</v>
      </c>
      <c r="W45">
        <v>1</v>
      </c>
      <c r="X45" s="354">
        <v>118322.40000000001</v>
      </c>
      <c r="Y45" s="354">
        <v>11970</v>
      </c>
      <c r="Z45" s="188">
        <f t="shared" si="24"/>
        <v>2024.8688569543292</v>
      </c>
      <c r="AA45" s="188">
        <f>IF(IF(sym!$Q34=H45,1,0)=1,ABS(X45*G45),-ABS(X45*G45))</f>
        <v>2024.8688569543292</v>
      </c>
      <c r="AB45" s="188">
        <f>IF(IF(sym!$P34=$H45,1,0)=1,ABS($X45*$G45),-ABS($X45*$G45))</f>
        <v>-2024.8688569543292</v>
      </c>
      <c r="AC45" s="188">
        <f t="shared" si="39"/>
        <v>2024.8688569543292</v>
      </c>
      <c r="AD45" s="188">
        <f t="shared" si="25"/>
        <v>-2024.8688569543292</v>
      </c>
      <c r="AE45" s="188">
        <f t="shared" si="26"/>
        <v>-2024.8688569543292</v>
      </c>
      <c r="AF45" s="188">
        <f t="shared" si="34"/>
        <v>2024.8688569543292</v>
      </c>
      <c r="AG45" s="188">
        <f t="shared" si="35"/>
        <v>2024.8688569543292</v>
      </c>
      <c r="AH45" s="188">
        <f t="shared" si="36"/>
        <v>2024.8688569543292</v>
      </c>
      <c r="AI45" s="188">
        <f t="shared" si="37"/>
        <v>-2024.8688569543292</v>
      </c>
      <c r="AJ45" s="188">
        <f t="shared" si="38"/>
        <v>2024.8688569543292</v>
      </c>
      <c r="AK45" s="188">
        <f t="shared" si="27"/>
        <v>2024.8688569543292</v>
      </c>
      <c r="AL45" s="188">
        <f t="shared" si="28"/>
        <v>-2024.8688569543292</v>
      </c>
      <c r="AM45" s="188">
        <f t="shared" si="29"/>
        <v>-2024.8688569543292</v>
      </c>
      <c r="AN45" s="188">
        <f t="shared" si="30"/>
        <v>-2024.8688569543292</v>
      </c>
      <c r="AO45" s="188">
        <f t="shared" si="31"/>
        <v>-2024.8688569543292</v>
      </c>
      <c r="AP45" s="188">
        <f t="shared" si="31"/>
        <v>-2024.8688569543292</v>
      </c>
    </row>
    <row r="46" spans="1:42" ht="15.75" thickBot="1" x14ac:dyDescent="0.3">
      <c r="A46" s="1" t="s">
        <v>355</v>
      </c>
      <c r="B46" s="149" t="s">
        <v>623</v>
      </c>
      <c r="C46" s="192" t="s">
        <v>1121</v>
      </c>
      <c r="E46" s="201">
        <f>'0811'!H46</f>
        <v>-1</v>
      </c>
      <c r="F46" s="186">
        <f t="shared" si="18"/>
        <v>1635.7517304558651</v>
      </c>
      <c r="G46" s="202">
        <v>6.6164495114000004E-3</v>
      </c>
      <c r="H46" s="202">
        <v>1</v>
      </c>
      <c r="I46" s="227">
        <v>-1</v>
      </c>
      <c r="J46" s="227">
        <v>1</v>
      </c>
      <c r="K46" s="227">
        <v>-1</v>
      </c>
      <c r="L46" s="202">
        <v>1</v>
      </c>
      <c r="M46" s="228">
        <v>3</v>
      </c>
      <c r="N46" s="288">
        <v>42584</v>
      </c>
      <c r="O46">
        <f t="shared" si="19"/>
        <v>1</v>
      </c>
      <c r="P46">
        <f t="shared" si="32"/>
        <v>-1</v>
      </c>
      <c r="Q46">
        <f t="shared" si="20"/>
        <v>1</v>
      </c>
      <c r="R46">
        <f t="shared" si="21"/>
        <v>-1</v>
      </c>
      <c r="S46">
        <f t="shared" si="22"/>
        <v>-1</v>
      </c>
      <c r="T46">
        <f t="shared" si="23"/>
        <v>-1</v>
      </c>
      <c r="U46">
        <f t="shared" si="33"/>
        <v>1</v>
      </c>
      <c r="V46">
        <v>2</v>
      </c>
      <c r="W46">
        <v>1</v>
      </c>
      <c r="X46" s="354">
        <v>247225</v>
      </c>
      <c r="Y46" s="354">
        <v>7894</v>
      </c>
      <c r="Z46" s="188">
        <f t="shared" si="24"/>
        <v>1635.7517304558651</v>
      </c>
      <c r="AA46" s="188">
        <f>IF(IF(sym!$Q35=H46,1,0)=1,ABS(X46*G46),-ABS(X46*G46))</f>
        <v>-1635.7517304558651</v>
      </c>
      <c r="AB46" s="188">
        <f>IF(IF(sym!$P35=$H46,1,0)=1,ABS($X46*$G46),-ABS($X46*$G46))</f>
        <v>1635.7517304558651</v>
      </c>
      <c r="AC46" s="188">
        <f t="shared" si="39"/>
        <v>-1635.7517304558651</v>
      </c>
      <c r="AD46" s="188">
        <f t="shared" si="25"/>
        <v>1635.7517304558651</v>
      </c>
      <c r="AE46" s="188">
        <f t="shared" si="26"/>
        <v>1635.7517304558651</v>
      </c>
      <c r="AF46" s="188">
        <f t="shared" si="34"/>
        <v>-1635.7517304558651</v>
      </c>
      <c r="AG46" s="188">
        <f t="shared" si="35"/>
        <v>-1635.7517304558651</v>
      </c>
      <c r="AH46" s="188">
        <f t="shared" si="36"/>
        <v>1635.7517304558651</v>
      </c>
      <c r="AI46" s="188">
        <f t="shared" si="37"/>
        <v>-1635.7517304558651</v>
      </c>
      <c r="AJ46" s="188">
        <f t="shared" si="38"/>
        <v>1635.7517304558651</v>
      </c>
      <c r="AK46" s="188">
        <f t="shared" si="27"/>
        <v>-1635.7517304558651</v>
      </c>
      <c r="AL46" s="188">
        <f t="shared" si="28"/>
        <v>1635.7517304558651</v>
      </c>
      <c r="AM46" s="188">
        <f t="shared" si="29"/>
        <v>-1635.7517304558651</v>
      </c>
      <c r="AN46" s="188">
        <f t="shared" si="30"/>
        <v>-1635.7517304558651</v>
      </c>
      <c r="AO46" s="188">
        <f t="shared" ref="AO46:AP77" si="40">IF(IF(T46=$H46,1,0)=1,ABS($X46*$G46),-ABS($X46*$G46))</f>
        <v>-1635.7517304558651</v>
      </c>
      <c r="AP46" s="188">
        <f t="shared" si="40"/>
        <v>1635.7517304558651</v>
      </c>
    </row>
    <row r="47" spans="1:42" ht="15.75" thickBot="1" x14ac:dyDescent="0.3">
      <c r="A47" s="1" t="s">
        <v>357</v>
      </c>
      <c r="B47" s="149" t="s">
        <v>513</v>
      </c>
      <c r="C47" s="192" t="s">
        <v>304</v>
      </c>
      <c r="E47" s="201">
        <f>'0811'!H47</f>
        <v>-1</v>
      </c>
      <c r="F47" s="186">
        <f t="shared" si="18"/>
        <v>-596.59936238015393</v>
      </c>
      <c r="G47" s="202">
        <v>-5.6677293659199999E-3</v>
      </c>
      <c r="H47" s="202">
        <v>-1</v>
      </c>
      <c r="I47" s="227">
        <v>-1</v>
      </c>
      <c r="J47" s="227">
        <v>1</v>
      </c>
      <c r="K47" s="227">
        <v>-1</v>
      </c>
      <c r="L47" s="202">
        <v>1</v>
      </c>
      <c r="M47" s="228">
        <v>-9</v>
      </c>
      <c r="N47" s="288">
        <v>42580</v>
      </c>
      <c r="O47">
        <f t="shared" si="19"/>
        <v>-1</v>
      </c>
      <c r="P47">
        <f t="shared" si="32"/>
        <v>-1</v>
      </c>
      <c r="Q47">
        <f t="shared" si="20"/>
        <v>1</v>
      </c>
      <c r="R47">
        <f t="shared" si="21"/>
        <v>-1</v>
      </c>
      <c r="S47">
        <f t="shared" si="22"/>
        <v>-1</v>
      </c>
      <c r="T47">
        <f t="shared" si="23"/>
        <v>1</v>
      </c>
      <c r="U47">
        <f t="shared" si="33"/>
        <v>1</v>
      </c>
      <c r="V47">
        <v>2</v>
      </c>
      <c r="W47">
        <v>1</v>
      </c>
      <c r="X47" s="354">
        <v>105262.5</v>
      </c>
      <c r="Y47" s="354">
        <v>15000</v>
      </c>
      <c r="Z47" s="188">
        <f t="shared" si="24"/>
        <v>596.59936238015393</v>
      </c>
      <c r="AA47" s="188">
        <f>IF(IF(sym!$Q36=H47,1,0)=1,ABS(X47*G47),-ABS(X47*G47))</f>
        <v>-596.59936238015393</v>
      </c>
      <c r="AB47" s="188">
        <f>IF(IF(sym!$P36=$H47,1,0)=1,ABS($X47*$G47),-ABS($X47*$G47))</f>
        <v>596.59936238015393</v>
      </c>
      <c r="AC47" s="188">
        <f t="shared" si="39"/>
        <v>596.59936238015393</v>
      </c>
      <c r="AD47" s="188">
        <f t="shared" si="25"/>
        <v>-596.59936238015393</v>
      </c>
      <c r="AE47" s="188">
        <f t="shared" si="26"/>
        <v>-596.59936238015393</v>
      </c>
      <c r="AF47" s="188">
        <f t="shared" si="34"/>
        <v>596.59936238015393</v>
      </c>
      <c r="AG47" s="188">
        <f t="shared" si="35"/>
        <v>596.59936238015393</v>
      </c>
      <c r="AH47" s="188">
        <f t="shared" si="36"/>
        <v>-596.59936238015393</v>
      </c>
      <c r="AI47" s="188">
        <f t="shared" si="37"/>
        <v>596.59936238015393</v>
      </c>
      <c r="AJ47" s="188">
        <f t="shared" si="38"/>
        <v>596.59936238015393</v>
      </c>
      <c r="AK47" s="188">
        <f t="shared" si="27"/>
        <v>596.59936238015393</v>
      </c>
      <c r="AL47" s="188">
        <f t="shared" si="28"/>
        <v>-596.59936238015393</v>
      </c>
      <c r="AM47" s="188">
        <f t="shared" si="29"/>
        <v>596.59936238015393</v>
      </c>
      <c r="AN47" s="188">
        <f t="shared" si="30"/>
        <v>596.59936238015393</v>
      </c>
      <c r="AO47" s="188">
        <f t="shared" si="40"/>
        <v>-596.59936238015393</v>
      </c>
      <c r="AP47" s="188">
        <f t="shared" si="40"/>
        <v>-596.59936238015393</v>
      </c>
    </row>
    <row r="48" spans="1:42" ht="15.75" thickBot="1" x14ac:dyDescent="0.3">
      <c r="A48" s="1" t="s">
        <v>1051</v>
      </c>
      <c r="B48" s="149" t="s">
        <v>614</v>
      </c>
      <c r="C48" s="192" t="s">
        <v>297</v>
      </c>
      <c r="E48" s="201">
        <f>'0811'!H48</f>
        <v>1</v>
      </c>
      <c r="F48" s="186">
        <f t="shared" si="18"/>
        <v>807.76228016981247</v>
      </c>
      <c r="G48" s="202">
        <v>9.7028502122499995E-3</v>
      </c>
      <c r="H48" s="202">
        <v>1</v>
      </c>
      <c r="I48" s="227">
        <v>1</v>
      </c>
      <c r="J48" s="227">
        <v>1</v>
      </c>
      <c r="K48" s="227">
        <v>1</v>
      </c>
      <c r="L48" s="202">
        <v>1</v>
      </c>
      <c r="M48" s="228">
        <v>-9</v>
      </c>
      <c r="N48" s="288">
        <v>42580</v>
      </c>
      <c r="O48">
        <f t="shared" si="19"/>
        <v>-1</v>
      </c>
      <c r="P48">
        <f t="shared" si="32"/>
        <v>1</v>
      </c>
      <c r="Q48">
        <f t="shared" si="20"/>
        <v>-1</v>
      </c>
      <c r="R48">
        <f t="shared" si="21"/>
        <v>-1</v>
      </c>
      <c r="S48">
        <f t="shared" si="22"/>
        <v>-1</v>
      </c>
      <c r="T48">
        <f t="shared" si="23"/>
        <v>1</v>
      </c>
      <c r="U48">
        <f t="shared" si="33"/>
        <v>-1</v>
      </c>
      <c r="V48">
        <v>4</v>
      </c>
      <c r="W48">
        <v>1</v>
      </c>
      <c r="X48" s="354">
        <v>83250</v>
      </c>
      <c r="Y48" s="354">
        <v>7000</v>
      </c>
      <c r="Z48" s="188">
        <f t="shared" si="24"/>
        <v>807.76228016981247</v>
      </c>
      <c r="AA48" s="188">
        <f>IF(IF(sym!$Q37=H48,1,0)=1,ABS(X48*G48),-ABS(X48*G48))</f>
        <v>807.76228016981247</v>
      </c>
      <c r="AB48" s="188">
        <f>IF(IF(sym!$P37=$H48,1,0)=1,ABS($X48*$G48),-ABS($X48*$G48))</f>
        <v>-807.76228016981247</v>
      </c>
      <c r="AC48" s="188">
        <f t="shared" si="39"/>
        <v>807.76228016981247</v>
      </c>
      <c r="AD48" s="188">
        <f t="shared" si="25"/>
        <v>-807.76228016981247</v>
      </c>
      <c r="AE48" s="188">
        <f t="shared" si="26"/>
        <v>807.76228016981247</v>
      </c>
      <c r="AF48" s="188">
        <f t="shared" si="34"/>
        <v>807.76228016981247</v>
      </c>
      <c r="AG48" s="188">
        <f t="shared" si="35"/>
        <v>807.76228016981247</v>
      </c>
      <c r="AH48" s="188">
        <f t="shared" si="36"/>
        <v>807.76228016981247</v>
      </c>
      <c r="AI48" s="188">
        <f t="shared" si="37"/>
        <v>-807.76228016981247</v>
      </c>
      <c r="AJ48" s="188">
        <f t="shared" si="38"/>
        <v>-807.76228016981247</v>
      </c>
      <c r="AK48" s="188">
        <f t="shared" si="27"/>
        <v>807.76228016981247</v>
      </c>
      <c r="AL48" s="188">
        <f t="shared" si="28"/>
        <v>-807.76228016981247</v>
      </c>
      <c r="AM48" s="188">
        <f t="shared" si="29"/>
        <v>-807.76228016981247</v>
      </c>
      <c r="AN48" s="188">
        <f t="shared" si="30"/>
        <v>-807.76228016981247</v>
      </c>
      <c r="AO48" s="188">
        <f t="shared" si="40"/>
        <v>807.76228016981247</v>
      </c>
      <c r="AP48" s="188">
        <f t="shared" si="40"/>
        <v>-807.76228016981247</v>
      </c>
    </row>
    <row r="49" spans="1:42" ht="15.75" thickBot="1" x14ac:dyDescent="0.3">
      <c r="A49" s="328" t="s">
        <v>359</v>
      </c>
      <c r="B49" s="329" t="s">
        <v>708</v>
      </c>
      <c r="C49" s="330" t="s">
        <v>1285</v>
      </c>
      <c r="E49" s="201">
        <f>'0811'!H49</f>
        <v>-1</v>
      </c>
      <c r="F49" s="186">
        <f t="shared" si="18"/>
        <v>0</v>
      </c>
      <c r="G49" s="202">
        <v>4.6497210167399999E-3</v>
      </c>
      <c r="H49" s="234">
        <v>1</v>
      </c>
      <c r="I49" s="230">
        <v>-1</v>
      </c>
      <c r="J49" s="230">
        <v>1</v>
      </c>
      <c r="K49" s="230">
        <v>-1</v>
      </c>
      <c r="L49" s="202">
        <v>1</v>
      </c>
      <c r="M49" s="228">
        <v>-2</v>
      </c>
      <c r="N49" s="288">
        <v>42583</v>
      </c>
      <c r="O49">
        <f t="shared" si="19"/>
        <v>-1</v>
      </c>
      <c r="P49">
        <f t="shared" si="32"/>
        <v>-1</v>
      </c>
      <c r="Q49">
        <f t="shared" si="20"/>
        <v>1</v>
      </c>
      <c r="R49">
        <f t="shared" si="21"/>
        <v>-1</v>
      </c>
      <c r="S49">
        <f t="shared" si="22"/>
        <v>-1</v>
      </c>
      <c r="T49">
        <f t="shared" si="23"/>
        <v>1</v>
      </c>
      <c r="U49">
        <f t="shared" si="33"/>
        <v>1</v>
      </c>
      <c r="V49">
        <v>0</v>
      </c>
      <c r="W49">
        <v>1</v>
      </c>
      <c r="X49" s="354">
        <v>0</v>
      </c>
      <c r="Y49" s="354">
        <v>0</v>
      </c>
      <c r="Z49" s="188">
        <f t="shared" si="24"/>
        <v>0</v>
      </c>
      <c r="AA49" s="188">
        <f>IF(IF(sym!$Q38=H49,1,0)=1,ABS(X49*G49),-ABS(X49*G49))</f>
        <v>0</v>
      </c>
      <c r="AB49" s="188">
        <f>IF(IF(sym!$P38=$H49,1,0)=1,ABS($X49*$G49),-ABS($X49*$G49))</f>
        <v>0</v>
      </c>
      <c r="AC49" s="188">
        <f t="shared" si="39"/>
        <v>0</v>
      </c>
      <c r="AD49" s="188">
        <f t="shared" si="25"/>
        <v>0</v>
      </c>
      <c r="AE49" s="188">
        <f t="shared" si="26"/>
        <v>0</v>
      </c>
      <c r="AF49" s="188">
        <f t="shared" si="34"/>
        <v>0</v>
      </c>
      <c r="AG49" s="188">
        <f t="shared" si="35"/>
        <v>0</v>
      </c>
      <c r="AH49" s="188">
        <f t="shared" si="36"/>
        <v>0</v>
      </c>
      <c r="AI49" s="188">
        <f t="shared" si="37"/>
        <v>0</v>
      </c>
      <c r="AJ49" s="188">
        <f t="shared" si="38"/>
        <v>0</v>
      </c>
      <c r="AK49" s="188">
        <f t="shared" si="27"/>
        <v>0</v>
      </c>
      <c r="AL49" s="188">
        <f t="shared" si="28"/>
        <v>0</v>
      </c>
      <c r="AM49" s="188">
        <f t="shared" si="29"/>
        <v>0</v>
      </c>
      <c r="AN49" s="188">
        <f t="shared" si="30"/>
        <v>0</v>
      </c>
      <c r="AO49" s="188">
        <f t="shared" si="40"/>
        <v>0</v>
      </c>
      <c r="AP49" s="188">
        <f t="shared" si="40"/>
        <v>0</v>
      </c>
    </row>
    <row r="50" spans="1:42" ht="15.75" thickBot="1" x14ac:dyDescent="0.3">
      <c r="A50" s="1" t="s">
        <v>361</v>
      </c>
      <c r="B50" s="149" t="s">
        <v>631</v>
      </c>
      <c r="C50" s="192" t="s">
        <v>313</v>
      </c>
      <c r="E50" s="201">
        <f>'0811'!H50</f>
        <v>-1</v>
      </c>
      <c r="F50" s="186">
        <f t="shared" si="18"/>
        <v>-29.993452640784181</v>
      </c>
      <c r="G50" s="202">
        <v>-2.18245307726E-4</v>
      </c>
      <c r="H50" s="202">
        <v>-1</v>
      </c>
      <c r="I50" s="227">
        <v>1</v>
      </c>
      <c r="J50" s="227">
        <v>1</v>
      </c>
      <c r="K50" s="227">
        <v>1</v>
      </c>
      <c r="L50" s="202">
        <v>-1</v>
      </c>
      <c r="M50" s="228">
        <v>15</v>
      </c>
      <c r="N50" s="288">
        <v>42572</v>
      </c>
      <c r="O50">
        <f t="shared" si="19"/>
        <v>-1</v>
      </c>
      <c r="P50">
        <f t="shared" si="32"/>
        <v>1</v>
      </c>
      <c r="Q50">
        <f t="shared" si="20"/>
        <v>1</v>
      </c>
      <c r="R50">
        <f t="shared" si="21"/>
        <v>1</v>
      </c>
      <c r="S50">
        <f t="shared" si="22"/>
        <v>1</v>
      </c>
      <c r="T50">
        <f t="shared" si="23"/>
        <v>-1</v>
      </c>
      <c r="U50">
        <f t="shared" si="33"/>
        <v>1</v>
      </c>
      <c r="V50">
        <v>3</v>
      </c>
      <c r="W50">
        <v>1</v>
      </c>
      <c r="X50" s="354">
        <v>137430</v>
      </c>
      <c r="Y50" s="354">
        <v>6750</v>
      </c>
      <c r="Z50" s="188">
        <f t="shared" si="24"/>
        <v>29.993452640784181</v>
      </c>
      <c r="AA50" s="188">
        <f>IF(IF(sym!$Q39=H50,1,0)=1,ABS(X50*G50),-ABS(X50*G50))</f>
        <v>-29.993452640784181</v>
      </c>
      <c r="AB50" s="188">
        <f>IF(IF(sym!$P39=$H50,1,0)=1,ABS($X50*$G50),-ABS($X50*$G50))</f>
        <v>29.993452640784181</v>
      </c>
      <c r="AC50" s="188">
        <f t="shared" si="39"/>
        <v>29.993452640784181</v>
      </c>
      <c r="AD50" s="188">
        <f t="shared" si="25"/>
        <v>-29.993452640784181</v>
      </c>
      <c r="AE50" s="188">
        <f t="shared" si="26"/>
        <v>-29.993452640784181</v>
      </c>
      <c r="AF50" s="188">
        <f t="shared" si="34"/>
        <v>-29.993452640784181</v>
      </c>
      <c r="AG50" s="188">
        <f t="shared" si="35"/>
        <v>-29.993452640784181</v>
      </c>
      <c r="AH50" s="188">
        <f t="shared" si="36"/>
        <v>29.993452640784181</v>
      </c>
      <c r="AI50" s="188">
        <f t="shared" si="37"/>
        <v>-29.993452640784181</v>
      </c>
      <c r="AJ50" s="188">
        <f t="shared" si="38"/>
        <v>29.993452640784181</v>
      </c>
      <c r="AK50" s="188">
        <f t="shared" si="27"/>
        <v>-29.993452640784181</v>
      </c>
      <c r="AL50" s="188">
        <f t="shared" si="28"/>
        <v>-29.993452640784181</v>
      </c>
      <c r="AM50" s="188">
        <f t="shared" si="29"/>
        <v>-29.993452640784181</v>
      </c>
      <c r="AN50" s="188">
        <f t="shared" si="30"/>
        <v>-29.993452640784181</v>
      </c>
      <c r="AO50" s="188">
        <f t="shared" si="40"/>
        <v>29.993452640784181</v>
      </c>
      <c r="AP50" s="188">
        <f t="shared" si="40"/>
        <v>-29.993452640784181</v>
      </c>
    </row>
    <row r="51" spans="1:42" ht="15.75" thickBot="1" x14ac:dyDescent="0.3">
      <c r="A51" s="1" t="s">
        <v>363</v>
      </c>
      <c r="B51" s="149" t="s">
        <v>476</v>
      </c>
      <c r="C51" s="192" t="s">
        <v>288</v>
      </c>
      <c r="E51" s="201">
        <f>'0811'!H51</f>
        <v>1</v>
      </c>
      <c r="F51" s="186">
        <f t="shared" si="18"/>
        <v>1793.0728165741298</v>
      </c>
      <c r="G51" s="202">
        <v>1.8791373051499999E-2</v>
      </c>
      <c r="H51" s="202">
        <v>1</v>
      </c>
      <c r="I51" s="227">
        <v>1</v>
      </c>
      <c r="J51" s="227">
        <v>1</v>
      </c>
      <c r="K51" s="227">
        <v>1</v>
      </c>
      <c r="L51" s="202">
        <v>-1</v>
      </c>
      <c r="M51" s="228">
        <v>-7</v>
      </c>
      <c r="N51" s="288">
        <v>42584</v>
      </c>
      <c r="O51">
        <f t="shared" si="19"/>
        <v>1</v>
      </c>
      <c r="P51">
        <f t="shared" si="32"/>
        <v>1</v>
      </c>
      <c r="Q51">
        <f t="shared" si="20"/>
        <v>1</v>
      </c>
      <c r="R51">
        <f t="shared" si="21"/>
        <v>1</v>
      </c>
      <c r="S51">
        <f t="shared" si="22"/>
        <v>1</v>
      </c>
      <c r="T51">
        <f t="shared" si="23"/>
        <v>-1</v>
      </c>
      <c r="U51">
        <f t="shared" si="33"/>
        <v>1</v>
      </c>
      <c r="V51">
        <v>2</v>
      </c>
      <c r="W51">
        <v>1</v>
      </c>
      <c r="X51" s="354">
        <v>95420</v>
      </c>
      <c r="Y51" s="354">
        <v>10000</v>
      </c>
      <c r="Z51" s="188">
        <f t="shared" si="24"/>
        <v>1793.0728165741298</v>
      </c>
      <c r="AA51" s="188">
        <f>IF(IF(sym!$Q40=H51,1,0)=1,ABS(X51*G51),-ABS(X51*G51))</f>
        <v>1793.0728165741298</v>
      </c>
      <c r="AB51" s="188">
        <f>IF(IF(sym!$P40=$H51,1,0)=1,ABS($X51*$G51),-ABS($X51*$G51))</f>
        <v>-1793.0728165741298</v>
      </c>
      <c r="AC51" s="188">
        <f t="shared" si="39"/>
        <v>1793.0728165741298</v>
      </c>
      <c r="AD51" s="188">
        <f t="shared" si="25"/>
        <v>-1793.0728165741298</v>
      </c>
      <c r="AE51" s="188">
        <f t="shared" si="26"/>
        <v>1793.0728165741298</v>
      </c>
      <c r="AF51" s="188">
        <f t="shared" si="34"/>
        <v>1793.0728165741298</v>
      </c>
      <c r="AG51" s="188">
        <f t="shared" si="35"/>
        <v>1793.0728165741298</v>
      </c>
      <c r="AH51" s="188">
        <f t="shared" si="36"/>
        <v>-1793.0728165741298</v>
      </c>
      <c r="AI51" s="188">
        <f t="shared" si="37"/>
        <v>1793.0728165741298</v>
      </c>
      <c r="AJ51" s="188">
        <f t="shared" si="38"/>
        <v>1793.0728165741298</v>
      </c>
      <c r="AK51" s="188">
        <f t="shared" si="27"/>
        <v>1793.0728165741298</v>
      </c>
      <c r="AL51" s="188">
        <f t="shared" si="28"/>
        <v>1793.0728165741298</v>
      </c>
      <c r="AM51" s="188">
        <f t="shared" si="29"/>
        <v>1793.0728165741298</v>
      </c>
      <c r="AN51" s="188">
        <f t="shared" si="30"/>
        <v>1793.0728165741298</v>
      </c>
      <c r="AO51" s="188">
        <f t="shared" si="40"/>
        <v>-1793.0728165741298</v>
      </c>
      <c r="AP51" s="188">
        <f t="shared" si="40"/>
        <v>1793.0728165741298</v>
      </c>
    </row>
    <row r="52" spans="1:42" ht="15.75" thickBot="1" x14ac:dyDescent="0.3">
      <c r="A52" s="1" t="s">
        <v>365</v>
      </c>
      <c r="B52" s="149" t="s">
        <v>1097</v>
      </c>
      <c r="C52" s="192" t="s">
        <v>288</v>
      </c>
      <c r="E52" s="201">
        <f>'0811'!H52</f>
        <v>1</v>
      </c>
      <c r="F52" s="186">
        <f t="shared" si="18"/>
        <v>1320.9677419383902</v>
      </c>
      <c r="G52" s="202">
        <v>1.6129032258100001E-2</v>
      </c>
      <c r="H52" s="202">
        <v>1</v>
      </c>
      <c r="I52" s="227">
        <v>-1</v>
      </c>
      <c r="J52" s="227">
        <v>-1</v>
      </c>
      <c r="K52" s="227">
        <v>1</v>
      </c>
      <c r="L52" s="202">
        <v>-1</v>
      </c>
      <c r="M52" s="228">
        <v>8</v>
      </c>
      <c r="N52" s="288">
        <v>42583</v>
      </c>
      <c r="O52">
        <f t="shared" si="19"/>
        <v>-1</v>
      </c>
      <c r="P52">
        <f t="shared" si="32"/>
        <v>1</v>
      </c>
      <c r="Q52">
        <f t="shared" si="20"/>
        <v>-1</v>
      </c>
      <c r="R52">
        <f t="shared" si="21"/>
        <v>-1</v>
      </c>
      <c r="S52">
        <f t="shared" si="22"/>
        <v>-1</v>
      </c>
      <c r="T52">
        <f t="shared" si="23"/>
        <v>1</v>
      </c>
      <c r="U52">
        <f t="shared" si="33"/>
        <v>-1</v>
      </c>
      <c r="V52">
        <v>2</v>
      </c>
      <c r="W52">
        <v>1</v>
      </c>
      <c r="X52" s="354">
        <v>81900</v>
      </c>
      <c r="Y52" s="354">
        <v>8800</v>
      </c>
      <c r="Z52" s="188">
        <f t="shared" si="24"/>
        <v>1320.9677419383902</v>
      </c>
      <c r="AA52" s="188">
        <f>IF(IF(sym!$Q41=H52,1,0)=1,ABS(X52*G52),-ABS(X52*G52))</f>
        <v>1320.9677419383902</v>
      </c>
      <c r="AB52" s="188">
        <f>IF(IF(sym!$P41=$H52,1,0)=1,ABS($X52*$G52),-ABS($X52*$G52))</f>
        <v>-1320.9677419383902</v>
      </c>
      <c r="AC52" s="188">
        <f t="shared" si="39"/>
        <v>1320.9677419383902</v>
      </c>
      <c r="AD52" s="188">
        <f t="shared" si="25"/>
        <v>-1320.9677419383902</v>
      </c>
      <c r="AE52" s="188">
        <f t="shared" si="26"/>
        <v>-1320.9677419383902</v>
      </c>
      <c r="AF52" s="188">
        <f t="shared" si="34"/>
        <v>-1320.9677419383902</v>
      </c>
      <c r="AG52" s="188">
        <f t="shared" si="35"/>
        <v>1320.9677419383902</v>
      </c>
      <c r="AH52" s="188">
        <f t="shared" si="36"/>
        <v>-1320.9677419383902</v>
      </c>
      <c r="AI52" s="188">
        <f t="shared" si="37"/>
        <v>1320.9677419383902</v>
      </c>
      <c r="AJ52" s="188">
        <f t="shared" si="38"/>
        <v>-1320.9677419383902</v>
      </c>
      <c r="AK52" s="188">
        <f t="shared" si="27"/>
        <v>1320.9677419383902</v>
      </c>
      <c r="AL52" s="188">
        <f t="shared" si="28"/>
        <v>-1320.9677419383902</v>
      </c>
      <c r="AM52" s="188">
        <f t="shared" si="29"/>
        <v>-1320.9677419383902</v>
      </c>
      <c r="AN52" s="188">
        <f t="shared" si="30"/>
        <v>-1320.9677419383902</v>
      </c>
      <c r="AO52" s="188">
        <f t="shared" si="40"/>
        <v>1320.9677419383902</v>
      </c>
      <c r="AP52" s="188">
        <f t="shared" si="40"/>
        <v>-1320.9677419383902</v>
      </c>
    </row>
    <row r="53" spans="1:42" ht="15.75" thickBot="1" x14ac:dyDescent="0.3">
      <c r="A53" s="1" t="s">
        <v>367</v>
      </c>
      <c r="B53" s="149" t="s">
        <v>625</v>
      </c>
      <c r="C53" s="192" t="s">
        <v>313</v>
      </c>
      <c r="E53" s="201">
        <f>'0811'!H53</f>
        <v>-1</v>
      </c>
      <c r="F53" s="186">
        <f t="shared" si="18"/>
        <v>1940.9499358127998</v>
      </c>
      <c r="G53" s="202">
        <v>2.6957637997399999E-2</v>
      </c>
      <c r="H53" s="202">
        <v>1</v>
      </c>
      <c r="I53" s="227">
        <v>-1</v>
      </c>
      <c r="J53" s="227">
        <v>1</v>
      </c>
      <c r="K53" s="227">
        <v>-1</v>
      </c>
      <c r="L53" s="202">
        <v>-1</v>
      </c>
      <c r="M53" s="228">
        <v>-1</v>
      </c>
      <c r="N53" s="288">
        <v>42583</v>
      </c>
      <c r="O53">
        <f t="shared" si="19"/>
        <v>1</v>
      </c>
      <c r="P53">
        <f t="shared" si="32"/>
        <v>-1</v>
      </c>
      <c r="Q53">
        <f t="shared" si="20"/>
        <v>1</v>
      </c>
      <c r="R53">
        <f t="shared" si="21"/>
        <v>1</v>
      </c>
      <c r="S53">
        <f t="shared" si="22"/>
        <v>1</v>
      </c>
      <c r="T53">
        <f t="shared" si="23"/>
        <v>-1</v>
      </c>
      <c r="U53">
        <f t="shared" si="33"/>
        <v>1</v>
      </c>
      <c r="V53">
        <v>3</v>
      </c>
      <c r="W53">
        <v>1</v>
      </c>
      <c r="X53" s="354">
        <v>72000</v>
      </c>
      <c r="Y53" s="354">
        <v>4500</v>
      </c>
      <c r="Z53" s="188">
        <f t="shared" si="24"/>
        <v>1940.9499358127998</v>
      </c>
      <c r="AA53" s="188">
        <f>IF(IF(sym!$Q42=H53,1,0)=1,ABS(X53*G53),-ABS(X53*G53))</f>
        <v>1940.9499358127998</v>
      </c>
      <c r="AB53" s="188">
        <f>IF(IF(sym!$P42=$H53,1,0)=1,ABS($X53*$G53),-ABS($X53*$G53))</f>
        <v>-1940.9499358127998</v>
      </c>
      <c r="AC53" s="188">
        <f t="shared" si="39"/>
        <v>-1940.9499358127998</v>
      </c>
      <c r="AD53" s="188">
        <f t="shared" si="25"/>
        <v>1940.9499358127998</v>
      </c>
      <c r="AE53" s="188">
        <f t="shared" si="26"/>
        <v>1940.9499358127998</v>
      </c>
      <c r="AF53" s="188">
        <f t="shared" si="34"/>
        <v>-1940.9499358127998</v>
      </c>
      <c r="AG53" s="188">
        <f t="shared" si="35"/>
        <v>-1940.9499358127998</v>
      </c>
      <c r="AH53" s="188">
        <f t="shared" si="36"/>
        <v>-1940.9499358127998</v>
      </c>
      <c r="AI53" s="188">
        <f t="shared" si="37"/>
        <v>1940.9499358127998</v>
      </c>
      <c r="AJ53" s="188">
        <f t="shared" si="38"/>
        <v>1940.9499358127998</v>
      </c>
      <c r="AK53" s="188">
        <f t="shared" si="27"/>
        <v>-1940.9499358127998</v>
      </c>
      <c r="AL53" s="188">
        <f t="shared" si="28"/>
        <v>1940.9499358127998</v>
      </c>
      <c r="AM53" s="188">
        <f t="shared" si="29"/>
        <v>1940.9499358127998</v>
      </c>
      <c r="AN53" s="188">
        <f t="shared" si="30"/>
        <v>1940.9499358127998</v>
      </c>
      <c r="AO53" s="188">
        <f t="shared" si="40"/>
        <v>-1940.9499358127998</v>
      </c>
      <c r="AP53" s="188">
        <f t="shared" si="40"/>
        <v>1940.9499358127998</v>
      </c>
    </row>
    <row r="54" spans="1:42" ht="15.75" thickBot="1" x14ac:dyDescent="0.3">
      <c r="A54" s="1" t="s">
        <v>511</v>
      </c>
      <c r="B54" s="149" t="s">
        <v>511</v>
      </c>
      <c r="C54" s="192" t="s">
        <v>304</v>
      </c>
      <c r="E54" s="201">
        <f>'0811'!H54</f>
        <v>-1</v>
      </c>
      <c r="F54" s="186">
        <f t="shared" si="18"/>
        <v>-498.61725663649804</v>
      </c>
      <c r="G54" s="202">
        <v>-2.7654867256600001E-3</v>
      </c>
      <c r="H54" s="202">
        <v>-1</v>
      </c>
      <c r="I54" s="227">
        <v>-1</v>
      </c>
      <c r="J54" s="227">
        <v>-1</v>
      </c>
      <c r="K54" s="227">
        <v>-1</v>
      </c>
      <c r="L54" s="202">
        <v>1</v>
      </c>
      <c r="M54" s="228">
        <v>1</v>
      </c>
      <c r="N54" s="288">
        <v>42580</v>
      </c>
      <c r="O54">
        <f t="shared" si="19"/>
        <v>1</v>
      </c>
      <c r="P54">
        <f t="shared" si="32"/>
        <v>-1</v>
      </c>
      <c r="Q54">
        <f t="shared" si="20"/>
        <v>1</v>
      </c>
      <c r="R54">
        <f t="shared" si="21"/>
        <v>-1</v>
      </c>
      <c r="S54">
        <f t="shared" si="22"/>
        <v>-1</v>
      </c>
      <c r="T54">
        <f t="shared" si="23"/>
        <v>-1</v>
      </c>
      <c r="U54">
        <f t="shared" si="33"/>
        <v>-1</v>
      </c>
      <c r="V54">
        <v>10</v>
      </c>
      <c r="W54">
        <v>1</v>
      </c>
      <c r="X54" s="354">
        <v>180300</v>
      </c>
      <c r="Y54" s="354">
        <v>19550</v>
      </c>
      <c r="Z54" s="188">
        <f t="shared" si="24"/>
        <v>498.61725663649804</v>
      </c>
      <c r="AA54" s="188">
        <f>IF(IF(sym!$Q43=H54,1,0)=1,ABS(X54*G54),-ABS(X54*G54))</f>
        <v>-498.61725663649804</v>
      </c>
      <c r="AB54" s="188">
        <f>IF(IF(sym!$P43=$H54,1,0)=1,ABS($X54*$G54),-ABS($X54*$G54))</f>
        <v>498.61725663649804</v>
      </c>
      <c r="AC54" s="188">
        <f t="shared" si="39"/>
        <v>498.61725663649804</v>
      </c>
      <c r="AD54" s="188">
        <f t="shared" si="25"/>
        <v>-498.61725663649804</v>
      </c>
      <c r="AE54" s="188">
        <f t="shared" si="26"/>
        <v>498.61725663649804</v>
      </c>
      <c r="AF54" s="188">
        <f t="shared" si="34"/>
        <v>498.61725663649804</v>
      </c>
      <c r="AG54" s="188">
        <f t="shared" si="35"/>
        <v>498.61725663649804</v>
      </c>
      <c r="AH54" s="188">
        <f t="shared" si="36"/>
        <v>-498.61725663649804</v>
      </c>
      <c r="AI54" s="188">
        <f t="shared" si="37"/>
        <v>498.61725663649804</v>
      </c>
      <c r="AJ54" s="188">
        <f t="shared" si="38"/>
        <v>-498.61725663649804</v>
      </c>
      <c r="AK54" s="188">
        <f t="shared" si="27"/>
        <v>498.61725663649804</v>
      </c>
      <c r="AL54" s="188">
        <f t="shared" si="28"/>
        <v>-498.61725663649804</v>
      </c>
      <c r="AM54" s="188">
        <f t="shared" si="29"/>
        <v>498.61725663649804</v>
      </c>
      <c r="AN54" s="188">
        <f t="shared" si="30"/>
        <v>498.61725663649804</v>
      </c>
      <c r="AO54" s="188">
        <f t="shared" si="40"/>
        <v>498.61725663649804</v>
      </c>
      <c r="AP54" s="188">
        <f t="shared" si="40"/>
        <v>498.61725663649804</v>
      </c>
    </row>
    <row r="55" spans="1:42" ht="15.75" thickBot="1" x14ac:dyDescent="0.3">
      <c r="A55" s="1" t="s">
        <v>988</v>
      </c>
      <c r="B55" s="149" t="s">
        <v>629</v>
      </c>
      <c r="C55" s="192" t="s">
        <v>304</v>
      </c>
      <c r="E55" s="201">
        <f>'0811'!H55</f>
        <v>1</v>
      </c>
      <c r="F55" s="186">
        <f t="shared" si="18"/>
        <v>280.7358738500792</v>
      </c>
      <c r="G55" s="202">
        <v>2.6281208935600001E-3</v>
      </c>
      <c r="H55" s="202">
        <v>1</v>
      </c>
      <c r="I55" s="227">
        <v>1</v>
      </c>
      <c r="J55" s="227">
        <v>-1</v>
      </c>
      <c r="K55" s="227">
        <v>1</v>
      </c>
      <c r="L55" s="202">
        <v>-1</v>
      </c>
      <c r="M55" s="228">
        <v>3</v>
      </c>
      <c r="N55" s="288">
        <v>42579</v>
      </c>
      <c r="O55">
        <f t="shared" si="19"/>
        <v>-1</v>
      </c>
      <c r="P55">
        <f t="shared" si="32"/>
        <v>1</v>
      </c>
      <c r="Q55">
        <f t="shared" si="20"/>
        <v>-1</v>
      </c>
      <c r="R55">
        <f t="shared" si="21"/>
        <v>1</v>
      </c>
      <c r="S55">
        <f t="shared" si="22"/>
        <v>1</v>
      </c>
      <c r="T55">
        <f t="shared" si="23"/>
        <v>1</v>
      </c>
      <c r="U55">
        <f t="shared" si="33"/>
        <v>-1</v>
      </c>
      <c r="V55">
        <v>4</v>
      </c>
      <c r="W55">
        <v>1</v>
      </c>
      <c r="X55" s="354">
        <v>106820</v>
      </c>
      <c r="Y55" s="354">
        <v>8312</v>
      </c>
      <c r="Z55" s="188">
        <f t="shared" si="24"/>
        <v>280.7358738500792</v>
      </c>
      <c r="AA55" s="188">
        <f>IF(IF(sym!$Q44=H55,1,0)=1,ABS(X55*G55),-ABS(X55*G55))</f>
        <v>280.7358738500792</v>
      </c>
      <c r="AB55" s="188">
        <f>IF(IF(sym!$P44=$H55,1,0)=1,ABS($X55*$G55),-ABS($X55*$G55))</f>
        <v>-280.7358738500792</v>
      </c>
      <c r="AC55" s="188">
        <f t="shared" si="39"/>
        <v>280.7358738500792</v>
      </c>
      <c r="AD55" s="188">
        <f t="shared" si="25"/>
        <v>-280.7358738500792</v>
      </c>
      <c r="AE55" s="188">
        <f t="shared" si="26"/>
        <v>-280.7358738500792</v>
      </c>
      <c r="AF55" s="188">
        <f t="shared" si="34"/>
        <v>280.7358738500792</v>
      </c>
      <c r="AG55" s="188">
        <f t="shared" si="35"/>
        <v>280.7358738500792</v>
      </c>
      <c r="AH55" s="188">
        <f t="shared" si="36"/>
        <v>-280.7358738500792</v>
      </c>
      <c r="AI55" s="188">
        <f t="shared" si="37"/>
        <v>280.7358738500792</v>
      </c>
      <c r="AJ55" s="188">
        <f t="shared" si="38"/>
        <v>-280.7358738500792</v>
      </c>
      <c r="AK55" s="188">
        <f t="shared" si="27"/>
        <v>280.7358738500792</v>
      </c>
      <c r="AL55" s="188">
        <f t="shared" si="28"/>
        <v>-280.7358738500792</v>
      </c>
      <c r="AM55" s="188">
        <f t="shared" si="29"/>
        <v>280.7358738500792</v>
      </c>
      <c r="AN55" s="188">
        <f t="shared" si="30"/>
        <v>280.7358738500792</v>
      </c>
      <c r="AO55" s="188">
        <f t="shared" si="40"/>
        <v>280.7358738500792</v>
      </c>
      <c r="AP55" s="188">
        <f t="shared" si="40"/>
        <v>-280.7358738500792</v>
      </c>
    </row>
    <row r="56" spans="1:42" ht="15.75" thickBot="1" x14ac:dyDescent="0.3">
      <c r="A56" s="1" t="s">
        <v>989</v>
      </c>
      <c r="B56" s="149" t="s">
        <v>655</v>
      </c>
      <c r="C56" s="192" t="s">
        <v>294</v>
      </c>
      <c r="E56" s="201">
        <f>'0811'!H56</f>
        <v>1</v>
      </c>
      <c r="F56" s="186">
        <f t="shared" si="18"/>
        <v>-617.89991258782072</v>
      </c>
      <c r="G56" s="202">
        <v>-3.3872377622399998E-3</v>
      </c>
      <c r="H56" s="202">
        <v>-1</v>
      </c>
      <c r="I56" s="227">
        <v>1</v>
      </c>
      <c r="J56" s="227">
        <v>-1</v>
      </c>
      <c r="K56" s="227">
        <v>1</v>
      </c>
      <c r="L56" s="202">
        <v>-1</v>
      </c>
      <c r="M56" s="228">
        <v>-18</v>
      </c>
      <c r="N56" s="288">
        <v>42569</v>
      </c>
      <c r="O56">
        <f t="shared" si="19"/>
        <v>1</v>
      </c>
      <c r="P56">
        <f t="shared" si="32"/>
        <v>1</v>
      </c>
      <c r="Q56">
        <f t="shared" si="20"/>
        <v>-1</v>
      </c>
      <c r="R56">
        <f t="shared" si="21"/>
        <v>1</v>
      </c>
      <c r="S56">
        <f t="shared" si="22"/>
        <v>1</v>
      </c>
      <c r="T56">
        <f t="shared" si="23"/>
        <v>-1</v>
      </c>
      <c r="U56">
        <f t="shared" si="33"/>
        <v>-1</v>
      </c>
      <c r="V56">
        <v>4</v>
      </c>
      <c r="W56">
        <v>1</v>
      </c>
      <c r="X56" s="354">
        <v>182420</v>
      </c>
      <c r="Y56" s="354">
        <v>9572</v>
      </c>
      <c r="Z56" s="188">
        <f t="shared" si="24"/>
        <v>617.89991258782072</v>
      </c>
      <c r="AA56" s="188">
        <f>IF(IF(sym!$Q45=H56,1,0)=1,ABS(X56*G56),-ABS(X56*G56))</f>
        <v>-617.89991258782072</v>
      </c>
      <c r="AB56" s="188">
        <f>IF(IF(sym!$P45=$H56,1,0)=1,ABS($X56*$G56),-ABS($X56*$G56))</f>
        <v>617.89991258782072</v>
      </c>
      <c r="AC56" s="188">
        <f t="shared" si="39"/>
        <v>-617.89991258782072</v>
      </c>
      <c r="AD56" s="188">
        <f t="shared" si="25"/>
        <v>617.89991258782072</v>
      </c>
      <c r="AE56" s="188">
        <f t="shared" si="26"/>
        <v>617.89991258782072</v>
      </c>
      <c r="AF56" s="188">
        <f t="shared" si="34"/>
        <v>-617.89991258782072</v>
      </c>
      <c r="AG56" s="188">
        <f t="shared" si="35"/>
        <v>-617.89991258782072</v>
      </c>
      <c r="AH56" s="188">
        <f t="shared" si="36"/>
        <v>617.89991258782072</v>
      </c>
      <c r="AI56" s="188">
        <f t="shared" si="37"/>
        <v>-617.89991258782072</v>
      </c>
      <c r="AJ56" s="188">
        <f t="shared" si="38"/>
        <v>-617.89991258782072</v>
      </c>
      <c r="AK56" s="188">
        <f t="shared" si="27"/>
        <v>-617.89991258782072</v>
      </c>
      <c r="AL56" s="188">
        <f t="shared" si="28"/>
        <v>617.89991258782072</v>
      </c>
      <c r="AM56" s="188">
        <f t="shared" si="29"/>
        <v>-617.89991258782072</v>
      </c>
      <c r="AN56" s="188">
        <f t="shared" si="30"/>
        <v>-617.89991258782072</v>
      </c>
      <c r="AO56" s="188">
        <f t="shared" si="40"/>
        <v>617.89991258782072</v>
      </c>
      <c r="AP56" s="188">
        <f t="shared" si="40"/>
        <v>617.89991258782072</v>
      </c>
    </row>
    <row r="57" spans="1:42" ht="15.75" thickBot="1" x14ac:dyDescent="0.3">
      <c r="A57" s="1" t="s">
        <v>369</v>
      </c>
      <c r="B57" s="149" t="s">
        <v>620</v>
      </c>
      <c r="C57" s="192" t="s">
        <v>294</v>
      </c>
      <c r="E57" s="201">
        <f>'0811'!H57</f>
        <v>1</v>
      </c>
      <c r="F57" s="186">
        <f t="shared" si="18"/>
        <v>270.54442680008054</v>
      </c>
      <c r="G57" s="202">
        <v>1.3903411506500001E-3</v>
      </c>
      <c r="H57" s="202">
        <v>1</v>
      </c>
      <c r="I57" s="227">
        <v>-1</v>
      </c>
      <c r="J57" s="227">
        <v>-1</v>
      </c>
      <c r="K57" s="227">
        <v>-1</v>
      </c>
      <c r="L57" s="202">
        <v>1</v>
      </c>
      <c r="M57" s="228">
        <v>-3</v>
      </c>
      <c r="N57" s="288">
        <v>42585</v>
      </c>
      <c r="O57">
        <f t="shared" si="19"/>
        <v>-1</v>
      </c>
      <c r="P57">
        <f t="shared" si="32"/>
        <v>-1</v>
      </c>
      <c r="Q57">
        <f t="shared" si="20"/>
        <v>-1</v>
      </c>
      <c r="R57">
        <f t="shared" si="21"/>
        <v>-1</v>
      </c>
      <c r="S57">
        <f t="shared" si="22"/>
        <v>-1</v>
      </c>
      <c r="T57">
        <f t="shared" si="23"/>
        <v>1</v>
      </c>
      <c r="U57">
        <f t="shared" si="33"/>
        <v>-1</v>
      </c>
      <c r="V57">
        <v>2</v>
      </c>
      <c r="W57">
        <v>1</v>
      </c>
      <c r="X57" s="354">
        <v>194588.52</v>
      </c>
      <c r="Y57" s="354">
        <v>25119</v>
      </c>
      <c r="Z57" s="188">
        <f t="shared" si="24"/>
        <v>270.54442680008054</v>
      </c>
      <c r="AA57" s="188">
        <f>IF(IF(sym!$Q46=H57,1,0)=1,ABS(X57*G57),-ABS(X57*G57))</f>
        <v>270.54442680008054</v>
      </c>
      <c r="AB57" s="188">
        <f>IF(IF(sym!$P46=$H57,1,0)=1,ABS($X57*$G57),-ABS($X57*$G57))</f>
        <v>-270.54442680008054</v>
      </c>
      <c r="AC57" s="188">
        <f t="shared" si="39"/>
        <v>270.54442680008054</v>
      </c>
      <c r="AD57" s="188">
        <f t="shared" si="25"/>
        <v>-270.54442680008054</v>
      </c>
      <c r="AE57" s="188">
        <f t="shared" si="26"/>
        <v>-270.54442680008054</v>
      </c>
      <c r="AF57" s="188">
        <f t="shared" si="34"/>
        <v>-270.54442680008054</v>
      </c>
      <c r="AG57" s="188">
        <f t="shared" si="35"/>
        <v>-270.54442680008054</v>
      </c>
      <c r="AH57" s="188">
        <f t="shared" si="36"/>
        <v>270.54442680008054</v>
      </c>
      <c r="AI57" s="188">
        <f t="shared" si="37"/>
        <v>-270.54442680008054</v>
      </c>
      <c r="AJ57" s="188">
        <f t="shared" si="38"/>
        <v>-270.54442680008054</v>
      </c>
      <c r="AK57" s="188">
        <f t="shared" si="27"/>
        <v>-270.54442680008054</v>
      </c>
      <c r="AL57" s="188">
        <f t="shared" si="28"/>
        <v>-270.54442680008054</v>
      </c>
      <c r="AM57" s="188">
        <f t="shared" si="29"/>
        <v>-270.54442680008054</v>
      </c>
      <c r="AN57" s="188">
        <f t="shared" si="30"/>
        <v>-270.54442680008054</v>
      </c>
      <c r="AO57" s="188">
        <f t="shared" si="40"/>
        <v>270.54442680008054</v>
      </c>
      <c r="AP57" s="188">
        <f t="shared" si="40"/>
        <v>-270.54442680008054</v>
      </c>
    </row>
    <row r="58" spans="1:42" ht="15.75" thickBot="1" x14ac:dyDescent="0.3">
      <c r="A58" s="1" t="s">
        <v>371</v>
      </c>
      <c r="B58" s="149" t="s">
        <v>635</v>
      </c>
      <c r="C58" s="192" t="s">
        <v>1121</v>
      </c>
      <c r="E58" s="201">
        <f>'0811'!H58</f>
        <v>1</v>
      </c>
      <c r="F58" s="186">
        <f t="shared" si="18"/>
        <v>-598.35676465285599</v>
      </c>
      <c r="G58" s="202">
        <v>-2.7387255796999998E-3</v>
      </c>
      <c r="H58" s="202">
        <v>-1</v>
      </c>
      <c r="I58" s="227">
        <v>1</v>
      </c>
      <c r="J58" s="227">
        <v>-1</v>
      </c>
      <c r="K58" s="227">
        <v>1</v>
      </c>
      <c r="L58" s="202">
        <v>-1</v>
      </c>
      <c r="M58" s="228">
        <v>-7</v>
      </c>
      <c r="N58" s="288">
        <v>42584</v>
      </c>
      <c r="O58">
        <f t="shared" si="19"/>
        <v>1</v>
      </c>
      <c r="P58">
        <f t="shared" si="32"/>
        <v>1</v>
      </c>
      <c r="Q58">
        <f t="shared" si="20"/>
        <v>-1</v>
      </c>
      <c r="R58">
        <f t="shared" si="21"/>
        <v>1</v>
      </c>
      <c r="S58">
        <f t="shared" si="22"/>
        <v>1</v>
      </c>
      <c r="T58">
        <f t="shared" si="23"/>
        <v>-1</v>
      </c>
      <c r="U58">
        <f t="shared" si="33"/>
        <v>-1</v>
      </c>
      <c r="V58">
        <v>8</v>
      </c>
      <c r="W58">
        <v>1</v>
      </c>
      <c r="X58" s="354">
        <v>218480</v>
      </c>
      <c r="Y58" s="354">
        <v>18496</v>
      </c>
      <c r="Z58" s="188">
        <f t="shared" si="24"/>
        <v>598.35676465285599</v>
      </c>
      <c r="AA58" s="188">
        <f>IF(IF(sym!$Q47=H58,1,0)=1,ABS(X58*G58),-ABS(X58*G58))</f>
        <v>-598.35676465285599</v>
      </c>
      <c r="AB58" s="188">
        <f>IF(IF(sym!$P47=$H58,1,0)=1,ABS($X58*$G58),-ABS($X58*$G58))</f>
        <v>598.35676465285599</v>
      </c>
      <c r="AC58" s="188">
        <f t="shared" si="39"/>
        <v>-598.35676465285599</v>
      </c>
      <c r="AD58" s="188">
        <f t="shared" si="25"/>
        <v>598.35676465285599</v>
      </c>
      <c r="AE58" s="188">
        <f t="shared" si="26"/>
        <v>598.35676465285599</v>
      </c>
      <c r="AF58" s="188">
        <f t="shared" si="34"/>
        <v>-598.35676465285599</v>
      </c>
      <c r="AG58" s="188">
        <f t="shared" si="35"/>
        <v>-598.35676465285599</v>
      </c>
      <c r="AH58" s="188">
        <f t="shared" si="36"/>
        <v>598.35676465285599</v>
      </c>
      <c r="AI58" s="188">
        <f t="shared" si="37"/>
        <v>-598.35676465285599</v>
      </c>
      <c r="AJ58" s="188">
        <f t="shared" si="38"/>
        <v>-598.35676465285599</v>
      </c>
      <c r="AK58" s="188">
        <f t="shared" si="27"/>
        <v>-598.35676465285599</v>
      </c>
      <c r="AL58" s="188">
        <f t="shared" si="28"/>
        <v>598.35676465285599</v>
      </c>
      <c r="AM58" s="188">
        <f t="shared" si="29"/>
        <v>-598.35676465285599</v>
      </c>
      <c r="AN58" s="188">
        <f t="shared" si="30"/>
        <v>-598.35676465285599</v>
      </c>
      <c r="AO58" s="188">
        <f t="shared" si="40"/>
        <v>598.35676465285599</v>
      </c>
      <c r="AP58" s="188">
        <f t="shared" si="40"/>
        <v>598.35676465285599</v>
      </c>
    </row>
    <row r="59" spans="1:42" ht="15.75" thickBot="1" x14ac:dyDescent="0.3">
      <c r="A59" s="1" t="s">
        <v>1052</v>
      </c>
      <c r="B59" s="149" t="s">
        <v>611</v>
      </c>
      <c r="C59" s="192" t="s">
        <v>297</v>
      </c>
      <c r="E59" s="201">
        <f>'0811'!H59</f>
        <v>1</v>
      </c>
      <c r="F59" s="186">
        <f t="shared" si="18"/>
        <v>2614.6660873910623</v>
      </c>
      <c r="G59" s="202">
        <v>2.03574975174E-2</v>
      </c>
      <c r="H59" s="202">
        <v>1</v>
      </c>
      <c r="I59" s="227">
        <v>1</v>
      </c>
      <c r="J59" s="227">
        <v>-1</v>
      </c>
      <c r="K59" s="227">
        <v>1</v>
      </c>
      <c r="L59" s="202">
        <v>1</v>
      </c>
      <c r="M59" s="228">
        <v>-8</v>
      </c>
      <c r="N59" s="288">
        <v>42583</v>
      </c>
      <c r="O59">
        <f t="shared" si="19"/>
        <v>-1</v>
      </c>
      <c r="P59">
        <f t="shared" si="32"/>
        <v>1</v>
      </c>
      <c r="Q59">
        <f t="shared" si="20"/>
        <v>-1</v>
      </c>
      <c r="R59">
        <f t="shared" si="21"/>
        <v>-1</v>
      </c>
      <c r="S59">
        <f t="shared" si="22"/>
        <v>-1</v>
      </c>
      <c r="T59">
        <f t="shared" si="23"/>
        <v>1</v>
      </c>
      <c r="U59">
        <f t="shared" si="33"/>
        <v>-1</v>
      </c>
      <c r="V59">
        <v>5</v>
      </c>
      <c r="W59">
        <v>1</v>
      </c>
      <c r="X59" s="354">
        <v>128437.5</v>
      </c>
      <c r="Y59" s="354">
        <v>17875</v>
      </c>
      <c r="Z59" s="188">
        <f t="shared" si="24"/>
        <v>2614.6660873910623</v>
      </c>
      <c r="AA59" s="188">
        <f>IF(IF(sym!$Q48=H59,1,0)=1,ABS(X59*G59),-ABS(X59*G59))</f>
        <v>2614.6660873910623</v>
      </c>
      <c r="AB59" s="188">
        <f>IF(IF(sym!$P48=$H59,1,0)=1,ABS($X59*$G59),-ABS($X59*$G59))</f>
        <v>-2614.6660873910623</v>
      </c>
      <c r="AC59" s="188">
        <f t="shared" si="39"/>
        <v>2614.6660873910623</v>
      </c>
      <c r="AD59" s="188">
        <f t="shared" si="25"/>
        <v>-2614.6660873910623</v>
      </c>
      <c r="AE59" s="188">
        <f t="shared" si="26"/>
        <v>-2614.6660873910623</v>
      </c>
      <c r="AF59" s="188">
        <f t="shared" si="34"/>
        <v>2614.6660873910623</v>
      </c>
      <c r="AG59" s="188">
        <f t="shared" si="35"/>
        <v>2614.6660873910623</v>
      </c>
      <c r="AH59" s="188">
        <f t="shared" si="36"/>
        <v>2614.6660873910623</v>
      </c>
      <c r="AI59" s="188">
        <f t="shared" si="37"/>
        <v>-2614.6660873910623</v>
      </c>
      <c r="AJ59" s="188">
        <f t="shared" si="38"/>
        <v>-2614.6660873910623</v>
      </c>
      <c r="AK59" s="188">
        <f t="shared" si="27"/>
        <v>2614.6660873910623</v>
      </c>
      <c r="AL59" s="188">
        <f t="shared" si="28"/>
        <v>-2614.6660873910623</v>
      </c>
      <c r="AM59" s="188">
        <f t="shared" si="29"/>
        <v>-2614.6660873910623</v>
      </c>
      <c r="AN59" s="188">
        <f t="shared" si="30"/>
        <v>-2614.6660873910623</v>
      </c>
      <c r="AO59" s="188">
        <f t="shared" si="40"/>
        <v>2614.6660873910623</v>
      </c>
      <c r="AP59" s="188">
        <f t="shared" si="40"/>
        <v>-2614.6660873910623</v>
      </c>
    </row>
    <row r="60" spans="1:42" ht="15.75" thickBot="1" x14ac:dyDescent="0.3">
      <c r="A60" s="1" t="s">
        <v>373</v>
      </c>
      <c r="B60" s="149" t="s">
        <v>692</v>
      </c>
      <c r="C60" s="192" t="s">
        <v>1121</v>
      </c>
      <c r="E60" s="201">
        <f>'0811'!H60</f>
        <v>1</v>
      </c>
      <c r="F60" s="186">
        <f t="shared" si="18"/>
        <v>-449.0624999992815</v>
      </c>
      <c r="G60" s="202">
        <v>-2.08333333333E-3</v>
      </c>
      <c r="H60" s="202">
        <v>-1</v>
      </c>
      <c r="I60" s="227">
        <v>-1</v>
      </c>
      <c r="J60" s="227">
        <v>1</v>
      </c>
      <c r="K60" s="227">
        <v>-1</v>
      </c>
      <c r="L60" s="202">
        <v>-1</v>
      </c>
      <c r="M60" s="228">
        <v>-15</v>
      </c>
      <c r="N60" s="288">
        <v>42572</v>
      </c>
      <c r="O60">
        <f t="shared" si="19"/>
        <v>1</v>
      </c>
      <c r="P60">
        <f t="shared" si="32"/>
        <v>1</v>
      </c>
      <c r="Q60">
        <f t="shared" si="20"/>
        <v>1</v>
      </c>
      <c r="R60">
        <f t="shared" si="21"/>
        <v>-1</v>
      </c>
      <c r="S60">
        <f t="shared" si="22"/>
        <v>1</v>
      </c>
      <c r="T60">
        <f t="shared" si="23"/>
        <v>1</v>
      </c>
      <c r="U60">
        <f t="shared" si="33"/>
        <v>1</v>
      </c>
      <c r="V60">
        <v>3</v>
      </c>
      <c r="W60">
        <v>1</v>
      </c>
      <c r="X60" s="354">
        <v>215550</v>
      </c>
      <c r="Y60" s="354">
        <v>9054</v>
      </c>
      <c r="Z60" s="188">
        <f t="shared" si="24"/>
        <v>449.0624999992815</v>
      </c>
      <c r="AA60" s="188">
        <f>IF(IF(sym!$Q49=H60,1,0)=1,ABS(X60*G60),-ABS(X60*G60))</f>
        <v>-449.0624999992815</v>
      </c>
      <c r="AB60" s="188">
        <f>IF(IF(sym!$P49=$H60,1,0)=1,ABS($X60*$G60),-ABS($X60*$G60))</f>
        <v>449.0624999992815</v>
      </c>
      <c r="AC60" s="188">
        <f t="shared" si="39"/>
        <v>-449.0624999992815</v>
      </c>
      <c r="AD60" s="188">
        <f t="shared" si="25"/>
        <v>449.0624999992815</v>
      </c>
      <c r="AE60" s="188">
        <f t="shared" si="26"/>
        <v>-449.0624999992815</v>
      </c>
      <c r="AF60" s="188">
        <f t="shared" si="34"/>
        <v>449.0624999992815</v>
      </c>
      <c r="AG60" s="188">
        <f t="shared" si="35"/>
        <v>449.0624999992815</v>
      </c>
      <c r="AH60" s="188">
        <f t="shared" si="36"/>
        <v>449.0624999992815</v>
      </c>
      <c r="AI60" s="188">
        <f t="shared" si="37"/>
        <v>-449.0624999992815</v>
      </c>
      <c r="AJ60" s="188">
        <f t="shared" si="38"/>
        <v>-449.0624999992815</v>
      </c>
      <c r="AK60" s="188">
        <f t="shared" si="27"/>
        <v>-449.0624999992815</v>
      </c>
      <c r="AL60" s="188">
        <f t="shared" si="28"/>
        <v>-449.0624999992815</v>
      </c>
      <c r="AM60" s="188">
        <f t="shared" si="29"/>
        <v>449.0624999992815</v>
      </c>
      <c r="AN60" s="188">
        <f t="shared" si="30"/>
        <v>-449.0624999992815</v>
      </c>
      <c r="AO60" s="188">
        <f t="shared" si="40"/>
        <v>-449.0624999992815</v>
      </c>
      <c r="AP60" s="188">
        <f t="shared" si="40"/>
        <v>-449.0624999992815</v>
      </c>
    </row>
    <row r="61" spans="1:42" ht="15.75" thickBot="1" x14ac:dyDescent="0.3">
      <c r="A61" s="1" t="s">
        <v>375</v>
      </c>
      <c r="B61" s="149" t="s">
        <v>690</v>
      </c>
      <c r="C61" s="192" t="s">
        <v>288</v>
      </c>
      <c r="E61" s="201">
        <f>'0811'!H61</f>
        <v>-1</v>
      </c>
      <c r="F61" s="186">
        <f t="shared" si="18"/>
        <v>1080.8703504412319</v>
      </c>
      <c r="G61" s="202">
        <v>1.37201110744E-2</v>
      </c>
      <c r="H61" s="202">
        <v>1</v>
      </c>
      <c r="I61" s="227">
        <v>-1</v>
      </c>
      <c r="J61" s="227">
        <v>1</v>
      </c>
      <c r="K61" s="227">
        <v>-1</v>
      </c>
      <c r="L61" s="202">
        <v>-1</v>
      </c>
      <c r="M61" s="228">
        <v>9</v>
      </c>
      <c r="N61" s="288">
        <v>42580</v>
      </c>
      <c r="O61">
        <f t="shared" si="19"/>
        <v>-1</v>
      </c>
      <c r="P61">
        <f t="shared" si="32"/>
        <v>-1</v>
      </c>
      <c r="Q61">
        <f t="shared" si="20"/>
        <v>1</v>
      </c>
      <c r="R61">
        <f t="shared" si="21"/>
        <v>1</v>
      </c>
      <c r="S61">
        <f t="shared" si="22"/>
        <v>1</v>
      </c>
      <c r="T61">
        <f t="shared" si="23"/>
        <v>1</v>
      </c>
      <c r="U61">
        <f t="shared" si="33"/>
        <v>1</v>
      </c>
      <c r="V61">
        <v>3</v>
      </c>
      <c r="W61">
        <v>1</v>
      </c>
      <c r="X61" s="354">
        <v>78780</v>
      </c>
      <c r="Y61" s="354">
        <v>6495</v>
      </c>
      <c r="Z61" s="188">
        <f t="shared" si="24"/>
        <v>1080.8703504412319</v>
      </c>
      <c r="AA61" s="188">
        <f>IF(IF(sym!$Q50=H61,1,0)=1,ABS(X61*G61),-ABS(X61*G61))</f>
        <v>1080.8703504412319</v>
      </c>
      <c r="AB61" s="188">
        <f>IF(IF(sym!$P50=$H61,1,0)=1,ABS($X61*$G61),-ABS($X61*$G61))</f>
        <v>-1080.8703504412319</v>
      </c>
      <c r="AC61" s="188">
        <f t="shared" si="39"/>
        <v>-1080.8703504412319</v>
      </c>
      <c r="AD61" s="188">
        <f t="shared" si="25"/>
        <v>1080.8703504412319</v>
      </c>
      <c r="AE61" s="188">
        <f t="shared" si="26"/>
        <v>1080.8703504412319</v>
      </c>
      <c r="AF61" s="188">
        <f t="shared" si="34"/>
        <v>-1080.8703504412319</v>
      </c>
      <c r="AG61" s="188">
        <f t="shared" si="35"/>
        <v>-1080.8703504412319</v>
      </c>
      <c r="AH61" s="188">
        <f t="shared" si="36"/>
        <v>-1080.8703504412319</v>
      </c>
      <c r="AI61" s="188">
        <f t="shared" si="37"/>
        <v>1080.8703504412319</v>
      </c>
      <c r="AJ61" s="188">
        <f t="shared" si="38"/>
        <v>-1080.8703504412319</v>
      </c>
      <c r="AK61" s="188">
        <f t="shared" si="27"/>
        <v>-1080.8703504412319</v>
      </c>
      <c r="AL61" s="188">
        <f t="shared" si="28"/>
        <v>1080.8703504412319</v>
      </c>
      <c r="AM61" s="188">
        <f t="shared" si="29"/>
        <v>1080.8703504412319</v>
      </c>
      <c r="AN61" s="188">
        <f t="shared" si="30"/>
        <v>1080.8703504412319</v>
      </c>
      <c r="AO61" s="188">
        <f t="shared" si="40"/>
        <v>1080.8703504412319</v>
      </c>
      <c r="AP61" s="188">
        <f t="shared" si="40"/>
        <v>1080.8703504412319</v>
      </c>
    </row>
    <row r="62" spans="1:42" ht="15.75" thickBot="1" x14ac:dyDescent="0.3">
      <c r="A62" s="1" t="s">
        <v>377</v>
      </c>
      <c r="B62" s="149" t="s">
        <v>694</v>
      </c>
      <c r="C62" s="192" t="s">
        <v>294</v>
      </c>
      <c r="E62" s="201">
        <f>'0811'!H62</f>
        <v>1</v>
      </c>
      <c r="F62" s="186">
        <f t="shared" si="18"/>
        <v>-492.45994317374391</v>
      </c>
      <c r="G62" s="202">
        <v>-2.9655990510099998E-3</v>
      </c>
      <c r="H62" s="202">
        <v>-1</v>
      </c>
      <c r="I62" s="227">
        <v>1</v>
      </c>
      <c r="J62" s="227">
        <v>-1</v>
      </c>
      <c r="K62" s="227">
        <v>1</v>
      </c>
      <c r="L62" s="202">
        <v>-1</v>
      </c>
      <c r="M62" s="228">
        <v>-6</v>
      </c>
      <c r="N62" s="288">
        <v>42585</v>
      </c>
      <c r="O62">
        <f t="shared" si="19"/>
        <v>1</v>
      </c>
      <c r="P62">
        <f t="shared" si="32"/>
        <v>1</v>
      </c>
      <c r="Q62">
        <f t="shared" si="20"/>
        <v>-1</v>
      </c>
      <c r="R62">
        <f t="shared" si="21"/>
        <v>1</v>
      </c>
      <c r="S62">
        <f t="shared" si="22"/>
        <v>1</v>
      </c>
      <c r="T62">
        <f t="shared" si="23"/>
        <v>-1</v>
      </c>
      <c r="U62">
        <f t="shared" si="33"/>
        <v>-1</v>
      </c>
      <c r="V62">
        <v>2</v>
      </c>
      <c r="W62">
        <v>1</v>
      </c>
      <c r="X62" s="354">
        <v>166057.49283809148</v>
      </c>
      <c r="Y62" s="354">
        <v>12500</v>
      </c>
      <c r="Z62" s="188">
        <f t="shared" si="24"/>
        <v>492.45994317374391</v>
      </c>
      <c r="AA62" s="188">
        <f>IF(IF(sym!$Q51=H62,1,0)=1,ABS(X62*G62),-ABS(X62*G62))</f>
        <v>-492.45994317374391</v>
      </c>
      <c r="AB62" s="188">
        <f>IF(IF(sym!$P51=$H62,1,0)=1,ABS($X62*$G62),-ABS($X62*$G62))</f>
        <v>492.45994317374391</v>
      </c>
      <c r="AC62" s="188">
        <f t="shared" si="39"/>
        <v>-492.45994317374391</v>
      </c>
      <c r="AD62" s="188">
        <f t="shared" si="25"/>
        <v>492.45994317374391</v>
      </c>
      <c r="AE62" s="188">
        <f t="shared" si="26"/>
        <v>492.45994317374391</v>
      </c>
      <c r="AF62" s="188">
        <f t="shared" si="34"/>
        <v>-492.45994317374391</v>
      </c>
      <c r="AG62" s="188">
        <f t="shared" si="35"/>
        <v>-492.45994317374391</v>
      </c>
      <c r="AH62" s="188">
        <f t="shared" si="36"/>
        <v>492.45994317374391</v>
      </c>
      <c r="AI62" s="188">
        <f t="shared" si="37"/>
        <v>-492.45994317374391</v>
      </c>
      <c r="AJ62" s="188">
        <f t="shared" si="38"/>
        <v>-492.45994317374391</v>
      </c>
      <c r="AK62" s="188">
        <f t="shared" si="27"/>
        <v>-492.45994317374391</v>
      </c>
      <c r="AL62" s="188">
        <f t="shared" si="28"/>
        <v>492.45994317374391</v>
      </c>
      <c r="AM62" s="188">
        <f t="shared" si="29"/>
        <v>-492.45994317374391</v>
      </c>
      <c r="AN62" s="188">
        <f t="shared" si="30"/>
        <v>-492.45994317374391</v>
      </c>
      <c r="AO62" s="188">
        <f t="shared" si="40"/>
        <v>492.45994317374391</v>
      </c>
      <c r="AP62" s="188">
        <f t="shared" si="40"/>
        <v>492.45994317374391</v>
      </c>
    </row>
    <row r="63" spans="1:42" ht="15.75" thickBot="1" x14ac:dyDescent="0.3">
      <c r="A63" s="1" t="s">
        <v>379</v>
      </c>
      <c r="B63" s="149" t="s">
        <v>550</v>
      </c>
      <c r="C63" s="192" t="s">
        <v>294</v>
      </c>
      <c r="E63" s="201">
        <f>'0811'!H63</f>
        <v>1</v>
      </c>
      <c r="F63" s="186">
        <f t="shared" si="18"/>
        <v>255.22578125009608</v>
      </c>
      <c r="G63" s="202">
        <v>8.8541666666700001E-4</v>
      </c>
      <c r="H63" s="202">
        <v>1</v>
      </c>
      <c r="I63" s="227">
        <v>1</v>
      </c>
      <c r="J63" s="227">
        <v>-1</v>
      </c>
      <c r="K63" s="227">
        <v>1</v>
      </c>
      <c r="L63" s="202">
        <v>1</v>
      </c>
      <c r="M63" s="228">
        <v>-17</v>
      </c>
      <c r="N63" s="288">
        <v>42570</v>
      </c>
      <c r="O63">
        <f t="shared" si="19"/>
        <v>-1</v>
      </c>
      <c r="P63">
        <f t="shared" si="32"/>
        <v>1</v>
      </c>
      <c r="Q63">
        <f t="shared" si="20"/>
        <v>-1</v>
      </c>
      <c r="R63">
        <f t="shared" si="21"/>
        <v>-1</v>
      </c>
      <c r="S63">
        <f t="shared" si="22"/>
        <v>-1</v>
      </c>
      <c r="T63">
        <f t="shared" si="23"/>
        <v>1</v>
      </c>
      <c r="U63">
        <f t="shared" si="33"/>
        <v>-1</v>
      </c>
      <c r="V63">
        <v>3</v>
      </c>
      <c r="W63">
        <v>1</v>
      </c>
      <c r="X63" s="354">
        <v>288255</v>
      </c>
      <c r="Y63" s="354">
        <v>15000</v>
      </c>
      <c r="Z63" s="188">
        <f t="shared" si="24"/>
        <v>255.22578125009608</v>
      </c>
      <c r="AA63" s="188">
        <f>IF(IF(sym!$Q52=H63,1,0)=1,ABS(X63*G63),-ABS(X63*G63))</f>
        <v>255.22578125009608</v>
      </c>
      <c r="AB63" s="188">
        <f>IF(IF(sym!$P52=$H63,1,0)=1,ABS($X63*$G63),-ABS($X63*$G63))</f>
        <v>-255.22578125009608</v>
      </c>
      <c r="AC63" s="188">
        <f t="shared" si="39"/>
        <v>255.22578125009608</v>
      </c>
      <c r="AD63" s="188">
        <f t="shared" si="25"/>
        <v>-255.22578125009608</v>
      </c>
      <c r="AE63" s="188">
        <f t="shared" si="26"/>
        <v>-255.22578125009608</v>
      </c>
      <c r="AF63" s="188">
        <f t="shared" si="34"/>
        <v>255.22578125009608</v>
      </c>
      <c r="AG63" s="188">
        <f t="shared" si="35"/>
        <v>255.22578125009608</v>
      </c>
      <c r="AH63" s="188">
        <f t="shared" si="36"/>
        <v>255.22578125009608</v>
      </c>
      <c r="AI63" s="188">
        <f t="shared" si="37"/>
        <v>-255.22578125009608</v>
      </c>
      <c r="AJ63" s="188">
        <f t="shared" si="38"/>
        <v>-255.22578125009608</v>
      </c>
      <c r="AK63" s="188">
        <f t="shared" si="27"/>
        <v>255.22578125009608</v>
      </c>
      <c r="AL63" s="188">
        <f t="shared" si="28"/>
        <v>-255.22578125009608</v>
      </c>
      <c r="AM63" s="188">
        <f t="shared" si="29"/>
        <v>-255.22578125009608</v>
      </c>
      <c r="AN63" s="188">
        <f t="shared" si="30"/>
        <v>-255.22578125009608</v>
      </c>
      <c r="AO63" s="188">
        <f t="shared" si="40"/>
        <v>255.22578125009608</v>
      </c>
      <c r="AP63" s="188">
        <f t="shared" si="40"/>
        <v>-255.22578125009608</v>
      </c>
    </row>
    <row r="64" spans="1:42" ht="15.75" thickBot="1" x14ac:dyDescent="0.3">
      <c r="A64" s="4" t="s">
        <v>1050</v>
      </c>
      <c r="B64" s="149" t="s">
        <v>700</v>
      </c>
      <c r="C64" s="192" t="s">
        <v>297</v>
      </c>
      <c r="E64" s="201">
        <f>'0811'!H64</f>
        <v>-1</v>
      </c>
      <c r="F64" s="186">
        <f t="shared" si="18"/>
        <v>-336.10920329677498</v>
      </c>
      <c r="G64" s="202">
        <v>-4.1208791208799996E-3</v>
      </c>
      <c r="H64" s="202">
        <v>-1</v>
      </c>
      <c r="I64" s="227">
        <v>-1</v>
      </c>
      <c r="J64" s="227">
        <v>1</v>
      </c>
      <c r="K64" s="227">
        <v>-1</v>
      </c>
      <c r="L64" s="202">
        <v>1</v>
      </c>
      <c r="M64" s="228">
        <v>7</v>
      </c>
      <c r="N64" s="288">
        <v>42584</v>
      </c>
      <c r="O64">
        <f t="shared" si="19"/>
        <v>1</v>
      </c>
      <c r="P64">
        <f t="shared" si="32"/>
        <v>-1</v>
      </c>
      <c r="Q64">
        <f t="shared" si="20"/>
        <v>1</v>
      </c>
      <c r="R64">
        <f t="shared" si="21"/>
        <v>-1</v>
      </c>
      <c r="S64">
        <f t="shared" si="22"/>
        <v>-1</v>
      </c>
      <c r="T64">
        <f t="shared" si="23"/>
        <v>-1</v>
      </c>
      <c r="U64">
        <f t="shared" si="33"/>
        <v>1</v>
      </c>
      <c r="V64">
        <v>9</v>
      </c>
      <c r="W64">
        <v>1</v>
      </c>
      <c r="X64" s="354">
        <v>81562.5</v>
      </c>
      <c r="Y64" s="354">
        <v>6750</v>
      </c>
      <c r="Z64" s="188">
        <f t="shared" si="24"/>
        <v>336.10920329677498</v>
      </c>
      <c r="AA64" s="188">
        <f>IF(IF(sym!$Q53=H64,1,0)=1,ABS(X64*G64),-ABS(X64*G64))</f>
        <v>-336.10920329677498</v>
      </c>
      <c r="AB64" s="188">
        <f>IF(IF(sym!$P53=$H64,1,0)=1,ABS($X64*$G64),-ABS($X64*$G64))</f>
        <v>336.10920329677498</v>
      </c>
      <c r="AC64" s="188">
        <f t="shared" si="39"/>
        <v>336.10920329677498</v>
      </c>
      <c r="AD64" s="188">
        <f t="shared" si="25"/>
        <v>-336.10920329677498</v>
      </c>
      <c r="AE64" s="188">
        <f t="shared" si="26"/>
        <v>-336.10920329677498</v>
      </c>
      <c r="AF64" s="188">
        <f t="shared" si="34"/>
        <v>336.10920329677498</v>
      </c>
      <c r="AG64" s="188">
        <f t="shared" si="35"/>
        <v>336.10920329677498</v>
      </c>
      <c r="AH64" s="188">
        <f t="shared" si="36"/>
        <v>-336.10920329677498</v>
      </c>
      <c r="AI64" s="188">
        <f t="shared" si="37"/>
        <v>336.10920329677498</v>
      </c>
      <c r="AJ64" s="188">
        <f t="shared" si="38"/>
        <v>-336.10920329677498</v>
      </c>
      <c r="AK64" s="188">
        <f t="shared" si="27"/>
        <v>336.10920329677498</v>
      </c>
      <c r="AL64" s="188">
        <f t="shared" si="28"/>
        <v>-336.10920329677498</v>
      </c>
      <c r="AM64" s="188">
        <f t="shared" si="29"/>
        <v>336.10920329677498</v>
      </c>
      <c r="AN64" s="188">
        <f t="shared" si="30"/>
        <v>336.10920329677498</v>
      </c>
      <c r="AO64" s="188">
        <f t="shared" si="40"/>
        <v>336.10920329677498</v>
      </c>
      <c r="AP64" s="188">
        <f t="shared" si="40"/>
        <v>-336.10920329677498</v>
      </c>
    </row>
    <row r="65" spans="1:42" ht="15.75" thickBot="1" x14ac:dyDescent="0.3">
      <c r="A65" s="1" t="s">
        <v>0</v>
      </c>
      <c r="B65" s="149" t="s">
        <v>702</v>
      </c>
      <c r="C65" s="192" t="s">
        <v>304</v>
      </c>
      <c r="E65" s="201">
        <f>'0811'!H65</f>
        <v>1</v>
      </c>
      <c r="F65" s="186">
        <f t="shared" si="18"/>
        <v>-768.95123944311752</v>
      </c>
      <c r="G65" s="202">
        <v>-1.41650776355E-2</v>
      </c>
      <c r="H65" s="233">
        <v>-1</v>
      </c>
      <c r="I65" s="229">
        <v>1</v>
      </c>
      <c r="J65" s="229">
        <v>1</v>
      </c>
      <c r="K65" s="229">
        <v>1</v>
      </c>
      <c r="L65" s="202">
        <v>1</v>
      </c>
      <c r="M65" s="228">
        <v>-3</v>
      </c>
      <c r="N65" s="288">
        <v>42587</v>
      </c>
      <c r="O65">
        <f t="shared" si="19"/>
        <v>-1</v>
      </c>
      <c r="P65">
        <f t="shared" si="32"/>
        <v>1</v>
      </c>
      <c r="Q65">
        <f t="shared" si="20"/>
        <v>-1</v>
      </c>
      <c r="R65">
        <f t="shared" si="21"/>
        <v>-1</v>
      </c>
      <c r="S65">
        <f t="shared" si="22"/>
        <v>-1</v>
      </c>
      <c r="T65">
        <f t="shared" si="23"/>
        <v>1</v>
      </c>
      <c r="U65">
        <f t="shared" si="33"/>
        <v>-1</v>
      </c>
      <c r="V65">
        <v>2</v>
      </c>
      <c r="W65">
        <v>1</v>
      </c>
      <c r="X65" s="354">
        <v>54285</v>
      </c>
      <c r="Y65" s="354">
        <v>4376</v>
      </c>
      <c r="Z65" s="188">
        <f t="shared" si="24"/>
        <v>768.95123944311752</v>
      </c>
      <c r="AA65" s="188">
        <f>IF(IF(sym!$Q54=H65,1,0)=1,ABS(X65*G65),-ABS(X65*G65))</f>
        <v>-768.95123944311752</v>
      </c>
      <c r="AB65" s="188">
        <f>IF(IF(sym!$P54=$H65,1,0)=1,ABS($X65*$G65),-ABS($X65*$G65))</f>
        <v>768.95123944311752</v>
      </c>
      <c r="AC65" s="188">
        <f t="shared" si="39"/>
        <v>-768.95123944311752</v>
      </c>
      <c r="AD65" s="188">
        <f t="shared" si="25"/>
        <v>768.95123944311752</v>
      </c>
      <c r="AE65" s="188">
        <f t="shared" si="26"/>
        <v>-768.95123944311752</v>
      </c>
      <c r="AF65" s="188">
        <f t="shared" si="34"/>
        <v>-768.95123944311752</v>
      </c>
      <c r="AG65" s="188">
        <f t="shared" si="35"/>
        <v>-768.95123944311752</v>
      </c>
      <c r="AH65" s="188">
        <f t="shared" si="36"/>
        <v>-768.95123944311752</v>
      </c>
      <c r="AI65" s="188">
        <f t="shared" si="37"/>
        <v>768.95123944311752</v>
      </c>
      <c r="AJ65" s="188">
        <f t="shared" si="38"/>
        <v>768.95123944311752</v>
      </c>
      <c r="AK65" s="188">
        <f t="shared" si="27"/>
        <v>-768.95123944311752</v>
      </c>
      <c r="AL65" s="188">
        <f t="shared" si="28"/>
        <v>768.95123944311752</v>
      </c>
      <c r="AM65" s="188">
        <f t="shared" si="29"/>
        <v>768.95123944311752</v>
      </c>
      <c r="AN65" s="188">
        <f t="shared" si="30"/>
        <v>768.95123944311752</v>
      </c>
      <c r="AO65" s="188">
        <f t="shared" si="40"/>
        <v>-768.95123944311752</v>
      </c>
      <c r="AP65" s="188">
        <f t="shared" si="40"/>
        <v>768.95123944311752</v>
      </c>
    </row>
    <row r="66" spans="1:42" ht="15.75" thickBot="1" x14ac:dyDescent="0.3">
      <c r="A66" s="1" t="s">
        <v>384</v>
      </c>
      <c r="B66" s="149" t="s">
        <v>704</v>
      </c>
      <c r="C66" s="192" t="s">
        <v>347</v>
      </c>
      <c r="E66" s="201">
        <f>'0811'!H66</f>
        <v>-1</v>
      </c>
      <c r="F66" s="186">
        <f t="shared" si="18"/>
        <v>-199.7108991032496</v>
      </c>
      <c r="G66" s="202">
        <v>-1.44550448106E-3</v>
      </c>
      <c r="H66" s="202">
        <v>-1</v>
      </c>
      <c r="I66" s="227">
        <v>1</v>
      </c>
      <c r="J66" s="227">
        <v>1</v>
      </c>
      <c r="K66" s="227">
        <v>1</v>
      </c>
      <c r="L66" s="202">
        <v>-1</v>
      </c>
      <c r="M66" s="228">
        <v>1</v>
      </c>
      <c r="N66" s="288">
        <v>42584</v>
      </c>
      <c r="O66">
        <f t="shared" si="19"/>
        <v>-1</v>
      </c>
      <c r="P66">
        <f t="shared" si="32"/>
        <v>1</v>
      </c>
      <c r="Q66">
        <f t="shared" si="20"/>
        <v>1</v>
      </c>
      <c r="R66">
        <f t="shared" si="21"/>
        <v>1</v>
      </c>
      <c r="S66">
        <f t="shared" si="22"/>
        <v>1</v>
      </c>
      <c r="T66">
        <f t="shared" si="23"/>
        <v>-1</v>
      </c>
      <c r="U66">
        <f t="shared" si="33"/>
        <v>1</v>
      </c>
      <c r="V66">
        <v>2</v>
      </c>
      <c r="W66">
        <v>1</v>
      </c>
      <c r="X66" s="354">
        <v>138160</v>
      </c>
      <c r="Y66" s="354">
        <v>10500</v>
      </c>
      <c r="Z66" s="188">
        <f t="shared" si="24"/>
        <v>199.7108991032496</v>
      </c>
      <c r="AA66" s="188">
        <f>IF(IF(sym!$Q55=H66,1,0)=1,ABS(X66*G66),-ABS(X66*G66))</f>
        <v>-199.7108991032496</v>
      </c>
      <c r="AB66" s="188">
        <f>IF(IF(sym!$P55=$H66,1,0)=1,ABS($X66*$G66),-ABS($X66*$G66))</f>
        <v>199.7108991032496</v>
      </c>
      <c r="AC66" s="188">
        <f t="shared" si="39"/>
        <v>199.7108991032496</v>
      </c>
      <c r="AD66" s="188">
        <f t="shared" si="25"/>
        <v>-199.7108991032496</v>
      </c>
      <c r="AE66" s="188">
        <f t="shared" si="26"/>
        <v>-199.7108991032496</v>
      </c>
      <c r="AF66" s="188">
        <f t="shared" si="34"/>
        <v>-199.7108991032496</v>
      </c>
      <c r="AG66" s="188">
        <f t="shared" si="35"/>
        <v>-199.7108991032496</v>
      </c>
      <c r="AH66" s="188">
        <f t="shared" si="36"/>
        <v>199.7108991032496</v>
      </c>
      <c r="AI66" s="188">
        <f t="shared" si="37"/>
        <v>-199.7108991032496</v>
      </c>
      <c r="AJ66" s="188">
        <f t="shared" si="38"/>
        <v>199.7108991032496</v>
      </c>
      <c r="AK66" s="188">
        <f t="shared" si="27"/>
        <v>-199.7108991032496</v>
      </c>
      <c r="AL66" s="188">
        <f t="shared" si="28"/>
        <v>-199.7108991032496</v>
      </c>
      <c r="AM66" s="188">
        <f t="shared" si="29"/>
        <v>-199.7108991032496</v>
      </c>
      <c r="AN66" s="188">
        <f t="shared" si="30"/>
        <v>-199.7108991032496</v>
      </c>
      <c r="AO66" s="188">
        <f t="shared" si="40"/>
        <v>199.7108991032496</v>
      </c>
      <c r="AP66" s="188">
        <f t="shared" si="40"/>
        <v>-199.7108991032496</v>
      </c>
    </row>
    <row r="67" spans="1:42" ht="15.75" thickBot="1" x14ac:dyDescent="0.3">
      <c r="A67" s="1" t="s">
        <v>386</v>
      </c>
      <c r="B67" s="149" t="s">
        <v>706</v>
      </c>
      <c r="C67" s="192" t="s">
        <v>347</v>
      </c>
      <c r="E67" s="201">
        <f>'0811'!H67</f>
        <v>-1</v>
      </c>
      <c r="F67" s="186">
        <f t="shared" si="18"/>
        <v>-2675.0946658634621</v>
      </c>
      <c r="G67" s="202">
        <v>-2.3688078153399999E-2</v>
      </c>
      <c r="H67" s="202">
        <v>-1</v>
      </c>
      <c r="I67" s="227">
        <v>-1</v>
      </c>
      <c r="J67" s="227">
        <v>-1</v>
      </c>
      <c r="K67" s="227">
        <v>1</v>
      </c>
      <c r="L67" s="202">
        <v>-1</v>
      </c>
      <c r="M67" s="228">
        <v>-20</v>
      </c>
      <c r="N67" s="288">
        <v>42565</v>
      </c>
      <c r="O67">
        <f t="shared" si="19"/>
        <v>1</v>
      </c>
      <c r="P67">
        <f t="shared" si="32"/>
        <v>1</v>
      </c>
      <c r="Q67">
        <f t="shared" si="20"/>
        <v>1</v>
      </c>
      <c r="R67">
        <f t="shared" si="21"/>
        <v>1</v>
      </c>
      <c r="S67">
        <f t="shared" si="22"/>
        <v>1</v>
      </c>
      <c r="T67">
        <f t="shared" si="23"/>
        <v>-1</v>
      </c>
      <c r="U67">
        <f t="shared" si="33"/>
        <v>1</v>
      </c>
      <c r="V67">
        <v>2</v>
      </c>
      <c r="W67">
        <v>1</v>
      </c>
      <c r="X67" s="354">
        <v>112930</v>
      </c>
      <c r="Y67" s="354">
        <v>6192</v>
      </c>
      <c r="Z67" s="188">
        <f t="shared" si="24"/>
        <v>2675.0946658634621</v>
      </c>
      <c r="AA67" s="188">
        <f>IF(IF(sym!$Q56=H67,1,0)=1,ABS(X67*G67),-ABS(X67*G67))</f>
        <v>2675.0946658634621</v>
      </c>
      <c r="AB67" s="188">
        <f>IF(IF(sym!$P56=$H67,1,0)=1,ABS($X67*$G67),-ABS($X67*$G67))</f>
        <v>-2675.0946658634621</v>
      </c>
      <c r="AC67" s="188">
        <f t="shared" si="39"/>
        <v>2675.0946658634621</v>
      </c>
      <c r="AD67" s="188">
        <f t="shared" si="25"/>
        <v>-2675.0946658634621</v>
      </c>
      <c r="AE67" s="188">
        <f t="shared" si="26"/>
        <v>2675.0946658634621</v>
      </c>
      <c r="AF67" s="188">
        <f t="shared" si="34"/>
        <v>2675.0946658634621</v>
      </c>
      <c r="AG67" s="188">
        <f t="shared" si="35"/>
        <v>-2675.0946658634621</v>
      </c>
      <c r="AH67" s="188">
        <f t="shared" si="36"/>
        <v>2675.0946658634621</v>
      </c>
      <c r="AI67" s="188">
        <f t="shared" si="37"/>
        <v>-2675.0946658634621</v>
      </c>
      <c r="AJ67" s="188">
        <f t="shared" si="38"/>
        <v>-2675.0946658634621</v>
      </c>
      <c r="AK67" s="188">
        <f t="shared" si="27"/>
        <v>-2675.0946658634621</v>
      </c>
      <c r="AL67" s="188">
        <f t="shared" si="28"/>
        <v>-2675.0946658634621</v>
      </c>
      <c r="AM67" s="188">
        <f t="shared" si="29"/>
        <v>-2675.0946658634621</v>
      </c>
      <c r="AN67" s="188">
        <f t="shared" si="30"/>
        <v>-2675.0946658634621</v>
      </c>
      <c r="AO67" s="188">
        <f t="shared" si="40"/>
        <v>2675.0946658634621</v>
      </c>
      <c r="AP67" s="188">
        <f t="shared" si="40"/>
        <v>-2675.0946658634621</v>
      </c>
    </row>
    <row r="68" spans="1:42" ht="15.75" thickBot="1" x14ac:dyDescent="0.3">
      <c r="A68" s="1" t="s">
        <v>388</v>
      </c>
      <c r="B68" s="149" t="s">
        <v>710</v>
      </c>
      <c r="C68" s="192" t="s">
        <v>288</v>
      </c>
      <c r="E68" s="201">
        <f>'0811'!H68</f>
        <v>1</v>
      </c>
      <c r="F68" s="186">
        <f t="shared" si="18"/>
        <v>778.02123815851633</v>
      </c>
      <c r="G68" s="202">
        <v>6.7562605566600003E-3</v>
      </c>
      <c r="H68" s="233">
        <v>1</v>
      </c>
      <c r="I68" s="229">
        <v>1</v>
      </c>
      <c r="J68" s="229">
        <v>1</v>
      </c>
      <c r="K68" s="229">
        <v>-1</v>
      </c>
      <c r="L68" s="202">
        <v>-1</v>
      </c>
      <c r="M68" s="228">
        <v>1</v>
      </c>
      <c r="N68" s="288">
        <v>42587</v>
      </c>
      <c r="O68">
        <f t="shared" si="19"/>
        <v>-1</v>
      </c>
      <c r="P68">
        <f t="shared" si="32"/>
        <v>1</v>
      </c>
      <c r="Q68">
        <f t="shared" si="20"/>
        <v>-1</v>
      </c>
      <c r="R68">
        <f t="shared" si="21"/>
        <v>1</v>
      </c>
      <c r="S68">
        <f t="shared" si="22"/>
        <v>1</v>
      </c>
      <c r="T68">
        <f t="shared" si="23"/>
        <v>1</v>
      </c>
      <c r="U68">
        <f t="shared" si="33"/>
        <v>1</v>
      </c>
      <c r="V68">
        <v>2</v>
      </c>
      <c r="W68">
        <v>1</v>
      </c>
      <c r="X68" s="354">
        <v>115155.6</v>
      </c>
      <c r="Y68" s="354">
        <v>12236</v>
      </c>
      <c r="Z68" s="188">
        <f t="shared" si="24"/>
        <v>778.02123815851633</v>
      </c>
      <c r="AA68" s="188">
        <f>IF(IF(sym!$Q57=H68,1,0)=1,ABS(X68*G68),-ABS(X68*G68))</f>
        <v>778.02123815851633</v>
      </c>
      <c r="AB68" s="188">
        <f>IF(IF(sym!$P57=$H68,1,0)=1,ABS($X68*$G68),-ABS($X68*$G68))</f>
        <v>-778.02123815851633</v>
      </c>
      <c r="AC68" s="188">
        <f t="shared" si="39"/>
        <v>778.02123815851633</v>
      </c>
      <c r="AD68" s="188">
        <f t="shared" si="25"/>
        <v>-778.02123815851633</v>
      </c>
      <c r="AE68" s="188">
        <f t="shared" si="26"/>
        <v>778.02123815851633</v>
      </c>
      <c r="AF68" s="188">
        <f t="shared" si="34"/>
        <v>778.02123815851633</v>
      </c>
      <c r="AG68" s="188">
        <f t="shared" si="35"/>
        <v>-778.02123815851633</v>
      </c>
      <c r="AH68" s="188">
        <f t="shared" si="36"/>
        <v>-778.02123815851633</v>
      </c>
      <c r="AI68" s="188">
        <f t="shared" si="37"/>
        <v>778.02123815851633</v>
      </c>
      <c r="AJ68" s="188">
        <f t="shared" si="38"/>
        <v>-778.02123815851633</v>
      </c>
      <c r="AK68" s="188">
        <f t="shared" si="27"/>
        <v>778.02123815851633</v>
      </c>
      <c r="AL68" s="188">
        <f t="shared" si="28"/>
        <v>-778.02123815851633</v>
      </c>
      <c r="AM68" s="188">
        <f t="shared" si="29"/>
        <v>778.02123815851633</v>
      </c>
      <c r="AN68" s="188">
        <f t="shared" si="30"/>
        <v>778.02123815851633</v>
      </c>
      <c r="AO68" s="188">
        <f t="shared" si="40"/>
        <v>778.02123815851633</v>
      </c>
      <c r="AP68" s="188">
        <f t="shared" si="40"/>
        <v>778.02123815851633</v>
      </c>
    </row>
    <row r="69" spans="1:42" s="2" customFormat="1" ht="15.75" thickBot="1" x14ac:dyDescent="0.3">
      <c r="A69" s="1" t="s">
        <v>389</v>
      </c>
      <c r="B69" s="149" t="s">
        <v>712</v>
      </c>
      <c r="C69" s="192" t="s">
        <v>297</v>
      </c>
      <c r="D69"/>
      <c r="E69" s="201">
        <f>'0811'!H69</f>
        <v>-1</v>
      </c>
      <c r="F69" s="186">
        <f t="shared" si="18"/>
        <v>3524.1009125041646</v>
      </c>
      <c r="G69" s="202">
        <v>3.6500268384299997E-2</v>
      </c>
      <c r="H69" s="202">
        <v>1</v>
      </c>
      <c r="I69" s="227">
        <v>1</v>
      </c>
      <c r="J69" s="227">
        <v>1</v>
      </c>
      <c r="K69" s="227">
        <v>1</v>
      </c>
      <c r="L69" s="202">
        <v>1</v>
      </c>
      <c r="M69" s="228">
        <v>2</v>
      </c>
      <c r="N69" s="288">
        <v>42587</v>
      </c>
      <c r="O69">
        <f t="shared" si="19"/>
        <v>1</v>
      </c>
      <c r="P69">
        <f t="shared" si="32"/>
        <v>-1</v>
      </c>
      <c r="Q69">
        <f t="shared" si="20"/>
        <v>1</v>
      </c>
      <c r="R69">
        <f t="shared" si="21"/>
        <v>1</v>
      </c>
      <c r="S69">
        <f t="shared" si="22"/>
        <v>1</v>
      </c>
      <c r="T69">
        <f t="shared" si="23"/>
        <v>-1</v>
      </c>
      <c r="U69">
        <f t="shared" si="33"/>
        <v>1</v>
      </c>
      <c r="V69">
        <v>5</v>
      </c>
      <c r="W69">
        <v>1</v>
      </c>
      <c r="X69" s="354">
        <v>96550</v>
      </c>
      <c r="Y69" s="354">
        <v>6850</v>
      </c>
      <c r="Z69" s="188">
        <f t="shared" si="24"/>
        <v>3524.1009125041646</v>
      </c>
      <c r="AA69" s="188">
        <f>IF(IF(sym!$Q58=H69,1,0)=1,ABS(X69*G69),-ABS(X69*G69))</f>
        <v>3524.1009125041646</v>
      </c>
      <c r="AB69" s="188">
        <f>IF(IF(sym!$P58=$H69,1,0)=1,ABS($X69*$G69),-ABS($X69*$G69))</f>
        <v>-3524.1009125041646</v>
      </c>
      <c r="AC69" s="188">
        <f t="shared" si="39"/>
        <v>-3524.1009125041646</v>
      </c>
      <c r="AD69" s="188">
        <f t="shared" si="25"/>
        <v>3524.1009125041646</v>
      </c>
      <c r="AE69" s="188">
        <f t="shared" si="26"/>
        <v>3524.1009125041646</v>
      </c>
      <c r="AF69" s="188">
        <f t="shared" si="34"/>
        <v>3524.1009125041646</v>
      </c>
      <c r="AG69" s="188">
        <f t="shared" si="35"/>
        <v>3524.1009125041646</v>
      </c>
      <c r="AH69" s="188">
        <f t="shared" si="36"/>
        <v>3524.1009125041646</v>
      </c>
      <c r="AI69" s="188">
        <f t="shared" si="37"/>
        <v>-3524.1009125041646</v>
      </c>
      <c r="AJ69" s="188">
        <f t="shared" si="38"/>
        <v>3524.1009125041646</v>
      </c>
      <c r="AK69" s="188">
        <f t="shared" si="27"/>
        <v>-3524.1009125041646</v>
      </c>
      <c r="AL69" s="188">
        <f t="shared" si="28"/>
        <v>3524.1009125041646</v>
      </c>
      <c r="AM69" s="188">
        <f t="shared" si="29"/>
        <v>3524.1009125041646</v>
      </c>
      <c r="AN69" s="188">
        <f t="shared" si="30"/>
        <v>3524.1009125041646</v>
      </c>
      <c r="AO69" s="188">
        <f t="shared" si="40"/>
        <v>-3524.1009125041646</v>
      </c>
      <c r="AP69" s="188">
        <f t="shared" si="40"/>
        <v>3524.1009125041646</v>
      </c>
    </row>
    <row r="70" spans="1:42" s="2" customFormat="1" ht="15.75" thickBot="1" x14ac:dyDescent="0.3">
      <c r="A70" s="1" t="s">
        <v>391</v>
      </c>
      <c r="B70" s="149" t="s">
        <v>490</v>
      </c>
      <c r="C70" s="192" t="s">
        <v>297</v>
      </c>
      <c r="D70"/>
      <c r="E70" s="201">
        <f>'0811'!H70</f>
        <v>1</v>
      </c>
      <c r="F70" s="186">
        <f t="shared" si="18"/>
        <v>-235.63327130097514</v>
      </c>
      <c r="G70" s="202">
        <v>-1.94678780013E-3</v>
      </c>
      <c r="H70" s="202">
        <v>-1</v>
      </c>
      <c r="I70" s="227">
        <v>1</v>
      </c>
      <c r="J70" s="227">
        <v>1</v>
      </c>
      <c r="K70" s="227">
        <v>1</v>
      </c>
      <c r="L70" s="202">
        <v>1</v>
      </c>
      <c r="M70" s="228">
        <v>6</v>
      </c>
      <c r="N70" s="288">
        <v>42585</v>
      </c>
      <c r="O70">
        <f t="shared" si="19"/>
        <v>1</v>
      </c>
      <c r="P70">
        <f t="shared" si="32"/>
        <v>1</v>
      </c>
      <c r="Q70">
        <f t="shared" si="20"/>
        <v>1</v>
      </c>
      <c r="R70">
        <f t="shared" si="21"/>
        <v>-1</v>
      </c>
      <c r="S70">
        <f t="shared" si="22"/>
        <v>1</v>
      </c>
      <c r="T70">
        <f t="shared" si="23"/>
        <v>-1</v>
      </c>
      <c r="U70">
        <f t="shared" si="33"/>
        <v>-1</v>
      </c>
      <c r="V70">
        <v>17</v>
      </c>
      <c r="W70">
        <v>1</v>
      </c>
      <c r="X70" s="354">
        <v>121036.95702492092</v>
      </c>
      <c r="Y70" s="354">
        <v>4603.8114343029083</v>
      </c>
      <c r="Z70" s="188">
        <f t="shared" si="24"/>
        <v>235.63327130097514</v>
      </c>
      <c r="AA70" s="188">
        <f>IF(IF(sym!$Q59=H70,1,0)=1,ABS(X70*G70),-ABS(X70*G70))</f>
        <v>-235.63327130097514</v>
      </c>
      <c r="AB70" s="188">
        <f>IF(IF(sym!$P59=$H70,1,0)=1,ABS($X70*$G70),-ABS($X70*$G70))</f>
        <v>235.63327130097514</v>
      </c>
      <c r="AC70" s="188">
        <f t="shared" si="39"/>
        <v>-235.63327130097514</v>
      </c>
      <c r="AD70" s="188">
        <f t="shared" si="25"/>
        <v>235.63327130097514</v>
      </c>
      <c r="AE70" s="188">
        <f t="shared" si="26"/>
        <v>-235.63327130097514</v>
      </c>
      <c r="AF70" s="188">
        <f t="shared" si="34"/>
        <v>-235.63327130097514</v>
      </c>
      <c r="AG70" s="188">
        <f t="shared" si="35"/>
        <v>-235.63327130097514</v>
      </c>
      <c r="AH70" s="188">
        <f t="shared" si="36"/>
        <v>-235.63327130097514</v>
      </c>
      <c r="AI70" s="188">
        <f t="shared" si="37"/>
        <v>235.63327130097514</v>
      </c>
      <c r="AJ70" s="188">
        <f t="shared" si="38"/>
        <v>-235.63327130097514</v>
      </c>
      <c r="AK70" s="188">
        <f t="shared" si="27"/>
        <v>-235.63327130097514</v>
      </c>
      <c r="AL70" s="188">
        <f t="shared" si="28"/>
        <v>-235.63327130097514</v>
      </c>
      <c r="AM70" s="188">
        <f t="shared" si="29"/>
        <v>235.63327130097514</v>
      </c>
      <c r="AN70" s="188">
        <f t="shared" si="30"/>
        <v>-235.63327130097514</v>
      </c>
      <c r="AO70" s="188">
        <f t="shared" si="40"/>
        <v>235.63327130097514</v>
      </c>
      <c r="AP70" s="188">
        <f t="shared" si="40"/>
        <v>235.63327130097514</v>
      </c>
    </row>
    <row r="71" spans="1:42" ht="15.75" thickBot="1" x14ac:dyDescent="0.3">
      <c r="A71" s="1" t="s">
        <v>29</v>
      </c>
      <c r="B71" s="149" t="s">
        <v>730</v>
      </c>
      <c r="C71" s="192" t="s">
        <v>297</v>
      </c>
      <c r="D71" s="2"/>
      <c r="E71" s="201">
        <f>'0811'!H71</f>
        <v>1</v>
      </c>
      <c r="F71" s="186">
        <f t="shared" si="18"/>
        <v>-224.48551829232375</v>
      </c>
      <c r="G71" s="202">
        <v>-2.2865853658499999E-3</v>
      </c>
      <c r="H71" s="202">
        <v>-1</v>
      </c>
      <c r="I71" s="227">
        <v>1</v>
      </c>
      <c r="J71" s="227">
        <v>-1</v>
      </c>
      <c r="K71" s="227">
        <v>1</v>
      </c>
      <c r="L71" s="202">
        <v>1</v>
      </c>
      <c r="M71" s="228">
        <v>-7</v>
      </c>
      <c r="N71" s="288">
        <v>42584</v>
      </c>
      <c r="O71">
        <f t="shared" si="19"/>
        <v>-1</v>
      </c>
      <c r="P71">
        <f t="shared" si="32"/>
        <v>1</v>
      </c>
      <c r="Q71">
        <f t="shared" si="20"/>
        <v>-1</v>
      </c>
      <c r="R71">
        <f t="shared" si="21"/>
        <v>-1</v>
      </c>
      <c r="S71">
        <f t="shared" si="22"/>
        <v>-1</v>
      </c>
      <c r="T71">
        <f t="shared" si="23"/>
        <v>1</v>
      </c>
      <c r="U71">
        <f t="shared" si="33"/>
        <v>-1</v>
      </c>
      <c r="V71">
        <v>2</v>
      </c>
      <c r="W71">
        <v>1</v>
      </c>
      <c r="X71" s="354">
        <v>98175</v>
      </c>
      <c r="Y71" s="354">
        <v>15250</v>
      </c>
      <c r="Z71" s="188">
        <f t="shared" si="24"/>
        <v>224.48551829232375</v>
      </c>
      <c r="AA71" s="188">
        <f>IF(IF(sym!$Q60=H71,1,0)=1,ABS(X71*G71),-ABS(X71*G71))</f>
        <v>-224.48551829232375</v>
      </c>
      <c r="AB71" s="188">
        <f>IF(IF(sym!$P60=$H71,1,0)=1,ABS($X71*$G71),-ABS($X71*$G71))</f>
        <v>224.48551829232375</v>
      </c>
      <c r="AC71" s="188">
        <f t="shared" si="39"/>
        <v>-224.48551829232375</v>
      </c>
      <c r="AD71" s="188">
        <f t="shared" si="25"/>
        <v>224.48551829232375</v>
      </c>
      <c r="AE71" s="188">
        <f t="shared" si="26"/>
        <v>224.48551829232375</v>
      </c>
      <c r="AF71" s="188">
        <f t="shared" si="34"/>
        <v>-224.48551829232375</v>
      </c>
      <c r="AG71" s="188">
        <f t="shared" si="35"/>
        <v>-224.48551829232375</v>
      </c>
      <c r="AH71" s="188">
        <f t="shared" si="36"/>
        <v>-224.48551829232375</v>
      </c>
      <c r="AI71" s="188">
        <f t="shared" si="37"/>
        <v>224.48551829232375</v>
      </c>
      <c r="AJ71" s="188">
        <f t="shared" si="38"/>
        <v>224.48551829232375</v>
      </c>
      <c r="AK71" s="188">
        <f t="shared" si="27"/>
        <v>-224.48551829232375</v>
      </c>
      <c r="AL71" s="188">
        <f t="shared" si="28"/>
        <v>224.48551829232375</v>
      </c>
      <c r="AM71" s="188">
        <f t="shared" si="29"/>
        <v>224.48551829232375</v>
      </c>
      <c r="AN71" s="188">
        <f t="shared" si="30"/>
        <v>224.48551829232375</v>
      </c>
      <c r="AO71" s="188">
        <f t="shared" si="40"/>
        <v>-224.48551829232375</v>
      </c>
      <c r="AP71" s="188">
        <f t="shared" si="40"/>
        <v>224.48551829232375</v>
      </c>
    </row>
    <row r="72" spans="1:42" ht="15.75" thickBot="1" x14ac:dyDescent="0.3">
      <c r="A72" s="1" t="s">
        <v>394</v>
      </c>
      <c r="B72" s="149" t="s">
        <v>742</v>
      </c>
      <c r="C72" s="192" t="s">
        <v>304</v>
      </c>
      <c r="E72" s="201">
        <f>'0811'!H72</f>
        <v>-1</v>
      </c>
      <c r="F72" s="186">
        <f t="shared" si="18"/>
        <v>495.56571428578644</v>
      </c>
      <c r="G72" s="202">
        <v>5.6122448979600004E-3</v>
      </c>
      <c r="H72" s="202">
        <v>1</v>
      </c>
      <c r="I72" s="227">
        <v>1</v>
      </c>
      <c r="J72" s="227">
        <v>1</v>
      </c>
      <c r="K72" s="227">
        <v>1</v>
      </c>
      <c r="L72" s="202">
        <v>-1</v>
      </c>
      <c r="M72" s="228">
        <v>3</v>
      </c>
      <c r="N72" s="288">
        <v>42579</v>
      </c>
      <c r="O72">
        <f t="shared" si="19"/>
        <v>-1</v>
      </c>
      <c r="P72">
        <f t="shared" si="32"/>
        <v>1</v>
      </c>
      <c r="Q72">
        <f t="shared" si="20"/>
        <v>1</v>
      </c>
      <c r="R72">
        <f t="shared" si="21"/>
        <v>1</v>
      </c>
      <c r="S72">
        <f t="shared" si="22"/>
        <v>1</v>
      </c>
      <c r="T72">
        <f t="shared" si="23"/>
        <v>-1</v>
      </c>
      <c r="U72">
        <f t="shared" si="33"/>
        <v>1</v>
      </c>
      <c r="V72">
        <v>4</v>
      </c>
      <c r="W72">
        <v>1</v>
      </c>
      <c r="X72" s="354">
        <v>88300.800000000003</v>
      </c>
      <c r="Y72" s="354">
        <v>12000</v>
      </c>
      <c r="Z72" s="188">
        <f t="shared" si="24"/>
        <v>495.56571428578644</v>
      </c>
      <c r="AA72" s="188">
        <f>IF(IF(sym!$Q61=H72,1,0)=1,ABS(X72*G72),-ABS(X72*G72))</f>
        <v>495.56571428578644</v>
      </c>
      <c r="AB72" s="188">
        <f>IF(IF(sym!$P61=$H72,1,0)=1,ABS($X72*$G72),-ABS($X72*$G72))</f>
        <v>-495.56571428578644</v>
      </c>
      <c r="AC72" s="188">
        <f t="shared" si="39"/>
        <v>-495.56571428578644</v>
      </c>
      <c r="AD72" s="188">
        <f t="shared" si="25"/>
        <v>495.56571428578644</v>
      </c>
      <c r="AE72" s="188">
        <f t="shared" si="26"/>
        <v>495.56571428578644</v>
      </c>
      <c r="AF72" s="188">
        <f t="shared" si="34"/>
        <v>495.56571428578644</v>
      </c>
      <c r="AG72" s="188">
        <f t="shared" si="35"/>
        <v>495.56571428578644</v>
      </c>
      <c r="AH72" s="188">
        <f t="shared" si="36"/>
        <v>-495.56571428578644</v>
      </c>
      <c r="AI72" s="188">
        <f t="shared" si="37"/>
        <v>495.56571428578644</v>
      </c>
      <c r="AJ72" s="188">
        <f t="shared" si="38"/>
        <v>-495.56571428578644</v>
      </c>
      <c r="AK72" s="188">
        <f t="shared" si="27"/>
        <v>495.56571428578644</v>
      </c>
      <c r="AL72" s="188">
        <f t="shared" si="28"/>
        <v>495.56571428578644</v>
      </c>
      <c r="AM72" s="188">
        <f t="shared" si="29"/>
        <v>495.56571428578644</v>
      </c>
      <c r="AN72" s="188">
        <f t="shared" si="30"/>
        <v>495.56571428578644</v>
      </c>
      <c r="AO72" s="188">
        <f t="shared" si="40"/>
        <v>-495.56571428578644</v>
      </c>
      <c r="AP72" s="188">
        <f t="shared" si="40"/>
        <v>495.56571428578644</v>
      </c>
    </row>
    <row r="73" spans="1:42" ht="15.75" thickBot="1" x14ac:dyDescent="0.3">
      <c r="A73" s="1" t="s">
        <v>396</v>
      </c>
      <c r="B73" s="149" t="s">
        <v>744</v>
      </c>
      <c r="C73" s="192" t="s">
        <v>1121</v>
      </c>
      <c r="E73" s="201">
        <f>'0811'!H73</f>
        <v>1</v>
      </c>
      <c r="F73" s="186">
        <f t="shared" si="18"/>
        <v>-262.32127224965228</v>
      </c>
      <c r="G73" s="202">
        <v>-6.8086761988099998E-4</v>
      </c>
      <c r="H73" s="202">
        <v>-1</v>
      </c>
      <c r="I73" s="227">
        <v>1</v>
      </c>
      <c r="J73" s="227">
        <v>-1</v>
      </c>
      <c r="K73" s="227">
        <v>1</v>
      </c>
      <c r="L73" s="202">
        <v>1</v>
      </c>
      <c r="M73" s="228">
        <v>12</v>
      </c>
      <c r="N73" s="288">
        <v>42584</v>
      </c>
      <c r="O73">
        <f t="shared" si="19"/>
        <v>1</v>
      </c>
      <c r="P73">
        <f t="shared" si="32"/>
        <v>1</v>
      </c>
      <c r="Q73">
        <f t="shared" si="20"/>
        <v>-1</v>
      </c>
      <c r="R73">
        <f t="shared" si="21"/>
        <v>-1</v>
      </c>
      <c r="S73">
        <f t="shared" si="22"/>
        <v>-1</v>
      </c>
      <c r="T73">
        <f t="shared" si="23"/>
        <v>-1</v>
      </c>
      <c r="U73">
        <f t="shared" si="33"/>
        <v>-1</v>
      </c>
      <c r="V73">
        <v>3</v>
      </c>
      <c r="W73">
        <v>1</v>
      </c>
      <c r="X73" s="354">
        <v>385275.00000000006</v>
      </c>
      <c r="Y73" s="354">
        <v>33606</v>
      </c>
      <c r="Z73" s="188">
        <f t="shared" si="24"/>
        <v>262.32127224965228</v>
      </c>
      <c r="AA73" s="188">
        <f>IF(IF(sym!$Q62=H73,1,0)=1,ABS(X73*G73),-ABS(X73*G73))</f>
        <v>-262.32127224965228</v>
      </c>
      <c r="AB73" s="188">
        <f>IF(IF(sym!$P62=$H73,1,0)=1,ABS($X73*$G73),-ABS($X73*$G73))</f>
        <v>262.32127224965228</v>
      </c>
      <c r="AC73" s="188">
        <f t="shared" si="39"/>
        <v>-262.32127224965228</v>
      </c>
      <c r="AD73" s="188">
        <f t="shared" si="25"/>
        <v>262.32127224965228</v>
      </c>
      <c r="AE73" s="188">
        <f t="shared" si="26"/>
        <v>262.32127224965228</v>
      </c>
      <c r="AF73" s="188">
        <f t="shared" si="34"/>
        <v>-262.32127224965228</v>
      </c>
      <c r="AG73" s="188">
        <f t="shared" si="35"/>
        <v>-262.32127224965228</v>
      </c>
      <c r="AH73" s="188">
        <f t="shared" si="36"/>
        <v>-262.32127224965228</v>
      </c>
      <c r="AI73" s="188">
        <f t="shared" si="37"/>
        <v>262.32127224965228</v>
      </c>
      <c r="AJ73" s="188">
        <f t="shared" si="38"/>
        <v>-262.32127224965228</v>
      </c>
      <c r="AK73" s="188">
        <f t="shared" si="27"/>
        <v>-262.32127224965228</v>
      </c>
      <c r="AL73" s="188">
        <f t="shared" si="28"/>
        <v>262.32127224965228</v>
      </c>
      <c r="AM73" s="188">
        <f t="shared" si="29"/>
        <v>262.32127224965228</v>
      </c>
      <c r="AN73" s="188">
        <f t="shared" si="30"/>
        <v>262.32127224965228</v>
      </c>
      <c r="AO73" s="188">
        <f t="shared" si="40"/>
        <v>262.32127224965228</v>
      </c>
      <c r="AP73" s="188">
        <f t="shared" si="40"/>
        <v>262.32127224965228</v>
      </c>
    </row>
    <row r="74" spans="1:42" ht="15.75" thickBot="1" x14ac:dyDescent="0.3">
      <c r="A74" s="1" t="s">
        <v>398</v>
      </c>
      <c r="B74" s="149" t="s">
        <v>722</v>
      </c>
      <c r="C74" s="192" t="s">
        <v>347</v>
      </c>
      <c r="E74" s="201">
        <f>'0811'!H74</f>
        <v>-1</v>
      </c>
      <c r="F74" s="186">
        <f t="shared" si="18"/>
        <v>-1559.9028471562131</v>
      </c>
      <c r="G74" s="202">
        <v>-1.5834165834200001E-2</v>
      </c>
      <c r="H74" s="202">
        <v>-1</v>
      </c>
      <c r="I74" s="227">
        <v>1</v>
      </c>
      <c r="J74" s="227">
        <v>1</v>
      </c>
      <c r="K74" s="227">
        <v>-1</v>
      </c>
      <c r="L74" s="202">
        <v>-1</v>
      </c>
      <c r="M74" s="228">
        <v>16</v>
      </c>
      <c r="N74" s="288">
        <v>42584</v>
      </c>
      <c r="O74">
        <f t="shared" si="19"/>
        <v>-1</v>
      </c>
      <c r="P74">
        <f t="shared" si="32"/>
        <v>-1</v>
      </c>
      <c r="Q74">
        <f t="shared" si="20"/>
        <v>1</v>
      </c>
      <c r="R74">
        <f t="shared" si="21"/>
        <v>1</v>
      </c>
      <c r="S74">
        <f t="shared" si="22"/>
        <v>1</v>
      </c>
      <c r="T74">
        <f t="shared" si="23"/>
        <v>1</v>
      </c>
      <c r="U74">
        <f t="shared" si="33"/>
        <v>1</v>
      </c>
      <c r="V74">
        <v>1</v>
      </c>
      <c r="W74">
        <v>1</v>
      </c>
      <c r="X74" s="354">
        <v>98515</v>
      </c>
      <c r="Y74" s="354">
        <v>1296</v>
      </c>
      <c r="Z74" s="188">
        <f t="shared" si="24"/>
        <v>1559.9028471562131</v>
      </c>
      <c r="AA74" s="188">
        <f>IF(IF(sym!$Q63=H74,1,0)=1,ABS(X74*G74),-ABS(X74*G74))</f>
        <v>1559.9028471562131</v>
      </c>
      <c r="AB74" s="188">
        <f>IF(IF(sym!$P63=$H74,1,0)=1,ABS($X74*$G74),-ABS($X74*$G74))</f>
        <v>-1559.9028471562131</v>
      </c>
      <c r="AC74" s="188">
        <f t="shared" si="39"/>
        <v>1559.9028471562131</v>
      </c>
      <c r="AD74" s="188">
        <f t="shared" si="25"/>
        <v>-1559.9028471562131</v>
      </c>
      <c r="AE74" s="188">
        <f t="shared" si="26"/>
        <v>-1559.9028471562131</v>
      </c>
      <c r="AF74" s="188">
        <f t="shared" si="34"/>
        <v>-1559.9028471562131</v>
      </c>
      <c r="AG74" s="188">
        <f t="shared" si="35"/>
        <v>1559.9028471562131</v>
      </c>
      <c r="AH74" s="188">
        <f t="shared" si="36"/>
        <v>1559.9028471562131</v>
      </c>
      <c r="AI74" s="188">
        <f t="shared" si="37"/>
        <v>-1559.9028471562131</v>
      </c>
      <c r="AJ74" s="188">
        <f t="shared" si="38"/>
        <v>1559.9028471562131</v>
      </c>
      <c r="AK74" s="188">
        <f t="shared" si="27"/>
        <v>1559.9028471562131</v>
      </c>
      <c r="AL74" s="188">
        <f t="shared" si="28"/>
        <v>-1559.9028471562131</v>
      </c>
      <c r="AM74" s="188">
        <f t="shared" si="29"/>
        <v>-1559.9028471562131</v>
      </c>
      <c r="AN74" s="188">
        <f t="shared" si="30"/>
        <v>-1559.9028471562131</v>
      </c>
      <c r="AO74" s="188">
        <f t="shared" si="40"/>
        <v>-1559.9028471562131</v>
      </c>
      <c r="AP74" s="188">
        <f t="shared" si="40"/>
        <v>-1559.9028471562131</v>
      </c>
    </row>
    <row r="75" spans="1:42" ht="15.75" thickBot="1" x14ac:dyDescent="0.3">
      <c r="A75" s="1" t="s">
        <v>400</v>
      </c>
      <c r="B75" s="149" t="s">
        <v>732</v>
      </c>
      <c r="C75" s="192" t="s">
        <v>294</v>
      </c>
      <c r="E75" s="201">
        <f>'0811'!H75</f>
        <v>1</v>
      </c>
      <c r="F75" s="186">
        <f t="shared" si="18"/>
        <v>1389.2085412555637</v>
      </c>
      <c r="G75" s="291">
        <v>6.6728559823599999E-3</v>
      </c>
      <c r="H75" s="202">
        <v>1</v>
      </c>
      <c r="I75" s="227">
        <v>1</v>
      </c>
      <c r="J75" s="227">
        <v>-1</v>
      </c>
      <c r="K75" s="227">
        <v>1</v>
      </c>
      <c r="L75" s="202">
        <v>1</v>
      </c>
      <c r="M75" s="228">
        <v>3</v>
      </c>
      <c r="N75" s="288">
        <v>42572</v>
      </c>
      <c r="O75">
        <f t="shared" si="19"/>
        <v>1</v>
      </c>
      <c r="P75">
        <f t="shared" si="32"/>
        <v>1</v>
      </c>
      <c r="Q75">
        <f t="shared" si="20"/>
        <v>-1</v>
      </c>
      <c r="R75">
        <f t="shared" si="21"/>
        <v>-1</v>
      </c>
      <c r="S75">
        <f t="shared" si="22"/>
        <v>-1</v>
      </c>
      <c r="T75">
        <f t="shared" si="23"/>
        <v>-1</v>
      </c>
      <c r="U75">
        <f t="shared" si="33"/>
        <v>-1</v>
      </c>
      <c r="V75">
        <v>12</v>
      </c>
      <c r="W75">
        <v>1</v>
      </c>
      <c r="X75" s="354">
        <v>208188</v>
      </c>
      <c r="Y75" s="354">
        <v>6756</v>
      </c>
      <c r="Z75" s="188">
        <f t="shared" si="24"/>
        <v>1389.2085412555637</v>
      </c>
      <c r="AA75" s="188">
        <f>IF(IF(sym!$Q64=H75,1,0)=1,ABS(X75*G75),-ABS(X75*G75))</f>
        <v>1389.2085412555637</v>
      </c>
      <c r="AB75" s="188">
        <f>IF(IF(sym!$P64=$H75,1,0)=1,ABS($X75*$G75),-ABS($X75*$G75))</f>
        <v>-1389.2085412555637</v>
      </c>
      <c r="AC75" s="188">
        <f t="shared" si="39"/>
        <v>1389.2085412555637</v>
      </c>
      <c r="AD75" s="188">
        <f t="shared" si="25"/>
        <v>-1389.2085412555637</v>
      </c>
      <c r="AE75" s="188">
        <f t="shared" si="26"/>
        <v>-1389.2085412555637</v>
      </c>
      <c r="AF75" s="188">
        <f t="shared" si="34"/>
        <v>1389.2085412555637</v>
      </c>
      <c r="AG75" s="188">
        <f t="shared" si="35"/>
        <v>1389.2085412555637</v>
      </c>
      <c r="AH75" s="188">
        <f t="shared" si="36"/>
        <v>1389.2085412555637</v>
      </c>
      <c r="AI75" s="188">
        <f t="shared" si="37"/>
        <v>-1389.2085412555637</v>
      </c>
      <c r="AJ75" s="188">
        <f t="shared" si="38"/>
        <v>1389.2085412555637</v>
      </c>
      <c r="AK75" s="188">
        <f t="shared" si="27"/>
        <v>1389.2085412555637</v>
      </c>
      <c r="AL75" s="188">
        <f t="shared" si="28"/>
        <v>-1389.2085412555637</v>
      </c>
      <c r="AM75" s="188">
        <f t="shared" si="29"/>
        <v>-1389.2085412555637</v>
      </c>
      <c r="AN75" s="188">
        <f t="shared" si="30"/>
        <v>-1389.2085412555637</v>
      </c>
      <c r="AO75" s="188">
        <f t="shared" si="40"/>
        <v>-1389.2085412555637</v>
      </c>
      <c r="AP75" s="188">
        <f t="shared" si="40"/>
        <v>-1389.2085412555637</v>
      </c>
    </row>
    <row r="76" spans="1:42" ht="15.75" thickBot="1" x14ac:dyDescent="0.3">
      <c r="A76" s="1" t="s">
        <v>992</v>
      </c>
      <c r="B76" s="149" t="s">
        <v>443</v>
      </c>
      <c r="C76" s="192" t="s">
        <v>1122</v>
      </c>
      <c r="E76" s="201">
        <f>'0811'!H76</f>
        <v>1</v>
      </c>
      <c r="F76" s="186">
        <f t="shared" si="18"/>
        <v>-345.58772541483575</v>
      </c>
      <c r="G76" s="202">
        <v>-4.6155874983500001E-4</v>
      </c>
      <c r="H76" s="202">
        <v>-1</v>
      </c>
      <c r="I76" s="227">
        <v>-1</v>
      </c>
      <c r="J76" s="227">
        <v>-1</v>
      </c>
      <c r="K76" s="227">
        <v>-1</v>
      </c>
      <c r="L76" s="202">
        <v>1</v>
      </c>
      <c r="M76" s="228">
        <v>3</v>
      </c>
      <c r="N76" s="288">
        <v>42578</v>
      </c>
      <c r="O76">
        <f t="shared" si="19"/>
        <v>1</v>
      </c>
      <c r="P76">
        <f t="shared" si="32"/>
        <v>-1</v>
      </c>
      <c r="Q76">
        <f t="shared" si="20"/>
        <v>-1</v>
      </c>
      <c r="R76">
        <f t="shared" si="21"/>
        <v>-1</v>
      </c>
      <c r="S76">
        <f t="shared" si="22"/>
        <v>-1</v>
      </c>
      <c r="T76">
        <f t="shared" si="23"/>
        <v>1</v>
      </c>
      <c r="U76">
        <f t="shared" si="33"/>
        <v>-1</v>
      </c>
      <c r="V76">
        <v>5</v>
      </c>
      <c r="W76">
        <v>1</v>
      </c>
      <c r="X76" s="354">
        <v>748740.49194902694</v>
      </c>
      <c r="Y76" s="354">
        <v>2469.6236293588854</v>
      </c>
      <c r="Z76" s="188">
        <f t="shared" si="24"/>
        <v>345.58772541483575</v>
      </c>
      <c r="AA76" s="188">
        <f>IF(IF(sym!$Q65=H76,1,0)=1,ABS(X76*G76),-ABS(X76*G76))</f>
        <v>345.58772541483575</v>
      </c>
      <c r="AB76" s="188">
        <f>IF(IF(sym!$P65=$H76,1,0)=1,ABS($X76*$G76),-ABS($X76*$G76))</f>
        <v>-345.58772541483575</v>
      </c>
      <c r="AC76" s="188">
        <f t="shared" si="39"/>
        <v>-345.58772541483575</v>
      </c>
      <c r="AD76" s="188">
        <f t="shared" si="25"/>
        <v>345.58772541483575</v>
      </c>
      <c r="AE76" s="188">
        <f t="shared" si="26"/>
        <v>345.58772541483575</v>
      </c>
      <c r="AF76" s="188">
        <f t="shared" si="34"/>
        <v>345.58772541483575</v>
      </c>
      <c r="AG76" s="188">
        <f t="shared" si="35"/>
        <v>345.58772541483575</v>
      </c>
      <c r="AH76" s="188">
        <f t="shared" si="36"/>
        <v>-345.58772541483575</v>
      </c>
      <c r="AI76" s="188">
        <f t="shared" si="37"/>
        <v>345.58772541483575</v>
      </c>
      <c r="AJ76" s="188">
        <f t="shared" si="38"/>
        <v>-345.58772541483575</v>
      </c>
      <c r="AK76" s="188">
        <f t="shared" si="27"/>
        <v>345.58772541483575</v>
      </c>
      <c r="AL76" s="188">
        <f t="shared" si="28"/>
        <v>345.58772541483575</v>
      </c>
      <c r="AM76" s="188">
        <f t="shared" si="29"/>
        <v>345.58772541483575</v>
      </c>
      <c r="AN76" s="188">
        <f t="shared" si="30"/>
        <v>345.58772541483575</v>
      </c>
      <c r="AO76" s="188">
        <f t="shared" si="40"/>
        <v>-345.58772541483575</v>
      </c>
      <c r="AP76" s="188">
        <f t="shared" si="40"/>
        <v>345.58772541483575</v>
      </c>
    </row>
    <row r="77" spans="1:42" ht="15.75" thickBot="1" x14ac:dyDescent="0.3">
      <c r="A77" s="1" t="s">
        <v>401</v>
      </c>
      <c r="B77" s="149" t="s">
        <v>726</v>
      </c>
      <c r="C77" s="192" t="s">
        <v>297</v>
      </c>
      <c r="E77" s="201">
        <f>'0811'!H77</f>
        <v>-1</v>
      </c>
      <c r="F77" s="186">
        <f t="shared" si="18"/>
        <v>-625.98969384611883</v>
      </c>
      <c r="G77" s="202">
        <v>-6.36556532282E-3</v>
      </c>
      <c r="H77" s="202">
        <v>-1</v>
      </c>
      <c r="I77" s="227">
        <v>1</v>
      </c>
      <c r="J77" s="227">
        <v>-1</v>
      </c>
      <c r="K77" s="227">
        <v>1</v>
      </c>
      <c r="L77" s="202">
        <v>1</v>
      </c>
      <c r="M77" s="228">
        <v>3</v>
      </c>
      <c r="N77" s="288">
        <v>42586</v>
      </c>
      <c r="O77">
        <f t="shared" si="19"/>
        <v>1</v>
      </c>
      <c r="P77">
        <f t="shared" si="32"/>
        <v>-1</v>
      </c>
      <c r="Q77">
        <f t="shared" si="20"/>
        <v>1</v>
      </c>
      <c r="R77">
        <f t="shared" si="21"/>
        <v>1</v>
      </c>
      <c r="S77">
        <f t="shared" si="22"/>
        <v>1</v>
      </c>
      <c r="T77">
        <f t="shared" si="23"/>
        <v>-1</v>
      </c>
      <c r="U77">
        <f t="shared" si="33"/>
        <v>-1</v>
      </c>
      <c r="V77">
        <v>3</v>
      </c>
      <c r="W77">
        <v>1</v>
      </c>
      <c r="X77" s="354">
        <v>98340</v>
      </c>
      <c r="Y77" s="354">
        <v>18000</v>
      </c>
      <c r="Z77" s="188">
        <f t="shared" si="24"/>
        <v>625.98969384611883</v>
      </c>
      <c r="AA77" s="188">
        <f>IF(IF(sym!$Q66=H77,1,0)=1,ABS(X77*G77),-ABS(X77*G77))</f>
        <v>-625.98969384611883</v>
      </c>
      <c r="AB77" s="188">
        <f>IF(IF(sym!$P66=$H77,1,0)=1,ABS($X77*$G77),-ABS($X77*$G77))</f>
        <v>625.98969384611883</v>
      </c>
      <c r="AC77" s="188">
        <f t="shared" si="39"/>
        <v>625.98969384611883</v>
      </c>
      <c r="AD77" s="188">
        <f t="shared" si="25"/>
        <v>-625.98969384611883</v>
      </c>
      <c r="AE77" s="188">
        <f t="shared" si="26"/>
        <v>625.98969384611883</v>
      </c>
      <c r="AF77" s="188">
        <f t="shared" si="34"/>
        <v>-625.98969384611883</v>
      </c>
      <c r="AG77" s="188">
        <f t="shared" si="35"/>
        <v>-625.98969384611883</v>
      </c>
      <c r="AH77" s="188">
        <f t="shared" si="36"/>
        <v>-625.98969384611883</v>
      </c>
      <c r="AI77" s="188">
        <f t="shared" si="37"/>
        <v>625.98969384611883</v>
      </c>
      <c r="AJ77" s="188">
        <f t="shared" si="38"/>
        <v>-625.98969384611883</v>
      </c>
      <c r="AK77" s="188">
        <f t="shared" si="27"/>
        <v>625.98969384611883</v>
      </c>
      <c r="AL77" s="188">
        <f t="shared" si="28"/>
        <v>-625.98969384611883</v>
      </c>
      <c r="AM77" s="188">
        <f t="shared" si="29"/>
        <v>-625.98969384611883</v>
      </c>
      <c r="AN77" s="188">
        <f t="shared" si="30"/>
        <v>-625.98969384611883</v>
      </c>
      <c r="AO77" s="188">
        <f t="shared" si="40"/>
        <v>625.98969384611883</v>
      </c>
      <c r="AP77" s="188">
        <f t="shared" si="40"/>
        <v>625.98969384611883</v>
      </c>
    </row>
    <row r="78" spans="1:42" ht="15.75" thickBot="1" x14ac:dyDescent="0.3">
      <c r="A78" s="1" t="s">
        <v>868</v>
      </c>
      <c r="B78" s="149" t="s">
        <v>746</v>
      </c>
      <c r="C78" s="192" t="s">
        <v>294</v>
      </c>
      <c r="E78" s="201">
        <f>'0811'!H78</f>
        <v>1</v>
      </c>
      <c r="F78" s="186">
        <f t="shared" ref="F78:F92" si="41">G78*X78</f>
        <v>0</v>
      </c>
      <c r="G78" s="202">
        <v>0</v>
      </c>
      <c r="H78" s="202">
        <v>1</v>
      </c>
      <c r="I78" s="227">
        <v>1</v>
      </c>
      <c r="J78" s="227">
        <v>-1</v>
      </c>
      <c r="K78" s="227">
        <v>1</v>
      </c>
      <c r="L78" s="202">
        <v>1</v>
      </c>
      <c r="M78" s="228">
        <v>-11</v>
      </c>
      <c r="N78" s="288">
        <v>42585</v>
      </c>
      <c r="O78">
        <f t="shared" ref="O78:O92" si="42">IF(M78&lt;0,L78*-1,L78)</f>
        <v>-1</v>
      </c>
      <c r="P78">
        <f t="shared" si="32"/>
        <v>1</v>
      </c>
      <c r="Q78">
        <f t="shared" ref="Q78:Q92" si="43">IF(J78+O78+-1*E78&gt;0,1,-1)</f>
        <v>-1</v>
      </c>
      <c r="R78">
        <f t="shared" ref="R78:R92" si="44">IF(I78-L78-E78&gt;0,1,-1)</f>
        <v>-1</v>
      </c>
      <c r="S78">
        <f t="shared" ref="S78:S92" si="45">IF(P78+R78+Q78&lt;0,-1,1)</f>
        <v>-1</v>
      </c>
      <c r="T78">
        <f t="shared" ref="T78:T92" si="46">IF(E78-K78-O78&lt;0,-1,1)</f>
        <v>1</v>
      </c>
      <c r="U78">
        <f t="shared" si="33"/>
        <v>-1</v>
      </c>
      <c r="V78">
        <v>3</v>
      </c>
      <c r="W78">
        <v>1</v>
      </c>
      <c r="X78" s="354">
        <v>254904.57623640465</v>
      </c>
      <c r="Y78" s="354">
        <v>26352.349681920787</v>
      </c>
      <c r="Z78" s="188">
        <f t="shared" ref="Z78:Z92" si="47">ABS(X78*G78)</f>
        <v>0</v>
      </c>
      <c r="AA78" s="188">
        <f>IF(IF(sym!$Q67=H78,1,0)=1,ABS(X78*G78),-ABS(X78*G78))</f>
        <v>0</v>
      </c>
      <c r="AB78" s="188">
        <f>IF(IF(sym!$P67=$H78,1,0)=1,ABS($X78*$G78),-ABS($X78*$G78))</f>
        <v>0</v>
      </c>
      <c r="AC78" s="188">
        <f t="shared" si="39"/>
        <v>0</v>
      </c>
      <c r="AD78" s="188">
        <f t="shared" ref="AD78:AD92" si="48">IF(IF(-E78=H78,1,0)=1,ABS(X78*G78),-ABS(X78*G78))</f>
        <v>0</v>
      </c>
      <c r="AE78" s="188">
        <f t="shared" ref="AE78:AE92" si="49">IF(IF(J78=H78,1,0)=1,ABS(X78*G78),-ABS(X78*G78))</f>
        <v>0</v>
      </c>
      <c r="AF78" s="188">
        <f t="shared" si="34"/>
        <v>0</v>
      </c>
      <c r="AG78" s="188">
        <f t="shared" si="35"/>
        <v>0</v>
      </c>
      <c r="AH78" s="188">
        <f t="shared" si="36"/>
        <v>0</v>
      </c>
      <c r="AI78" s="188">
        <f t="shared" si="37"/>
        <v>0</v>
      </c>
      <c r="AJ78" s="188">
        <f t="shared" si="38"/>
        <v>0</v>
      </c>
      <c r="AK78" s="188">
        <f t="shared" ref="AK78:AK92" si="50">IF(IF(P78=H78,1,0)=1,ABS(X78*G78),-ABS(X78*G78))</f>
        <v>0</v>
      </c>
      <c r="AL78" s="188">
        <f t="shared" ref="AL78:AL92" si="51">IF(IF(H78=Q78,1,0)=1,ABS(X78*G78),-ABS(X78*G78))</f>
        <v>0</v>
      </c>
      <c r="AM78" s="188">
        <f t="shared" ref="AM78:AM92" si="52">IF(IF(R78=H78,1,0)=1,ABS(X78*G78),-ABS(X78*G78))</f>
        <v>0</v>
      </c>
      <c r="AN78" s="188">
        <f t="shared" ref="AN78:AN92" si="53">IF(IF(S78=H78,1,0)=1,ABS(X78*G78),-ABS(X78*G78))</f>
        <v>0</v>
      </c>
      <c r="AO78" s="188">
        <f t="shared" ref="AO78:AP92" si="54">IF(IF(T78=$H78,1,0)=1,ABS($X78*$G78),-ABS($X78*$G78))</f>
        <v>0</v>
      </c>
      <c r="AP78" s="188">
        <f t="shared" si="54"/>
        <v>0</v>
      </c>
    </row>
    <row r="79" spans="1:42" ht="15.75" thickBot="1" x14ac:dyDescent="0.3">
      <c r="A79" s="1" t="s">
        <v>403</v>
      </c>
      <c r="B79" s="149" t="s">
        <v>681</v>
      </c>
      <c r="C79" s="192" t="s">
        <v>294</v>
      </c>
      <c r="E79" s="201">
        <f>'0811'!H79</f>
        <v>1</v>
      </c>
      <c r="F79" s="186">
        <f t="shared" si="41"/>
        <v>-772.92245994430323</v>
      </c>
      <c r="G79" s="202">
        <v>-4.1191381495600003E-3</v>
      </c>
      <c r="H79" s="202">
        <v>-1</v>
      </c>
      <c r="I79" s="227">
        <v>1</v>
      </c>
      <c r="J79" s="227">
        <v>-1</v>
      </c>
      <c r="K79" s="227">
        <v>1</v>
      </c>
      <c r="L79" s="202">
        <v>-1</v>
      </c>
      <c r="M79" s="228">
        <v>-5</v>
      </c>
      <c r="N79" s="288">
        <v>42585</v>
      </c>
      <c r="O79">
        <f t="shared" si="42"/>
        <v>1</v>
      </c>
      <c r="P79">
        <f t="shared" ref="P79:P92" si="55">IF(E79+K79-L79&gt;0,1,-1)</f>
        <v>1</v>
      </c>
      <c r="Q79">
        <f t="shared" si="43"/>
        <v>-1</v>
      </c>
      <c r="R79">
        <f t="shared" si="44"/>
        <v>1</v>
      </c>
      <c r="S79">
        <f t="shared" si="45"/>
        <v>1</v>
      </c>
      <c r="T79">
        <f t="shared" si="46"/>
        <v>-1</v>
      </c>
      <c r="U79">
        <f t="shared" ref="U79:U92" si="56">IF(-E79+J79-L79&lt;0,-1,1)</f>
        <v>-1</v>
      </c>
      <c r="V79">
        <v>4</v>
      </c>
      <c r="W79">
        <v>1</v>
      </c>
      <c r="X79" s="354">
        <v>187641.7910447761</v>
      </c>
      <c r="Y79" s="354">
        <v>6193.9199999999992</v>
      </c>
      <c r="Z79" s="188">
        <f t="shared" si="47"/>
        <v>772.92245994430323</v>
      </c>
      <c r="AA79" s="188">
        <f>IF(IF(sym!$Q68=H79,1,0)=1,ABS(X79*G79),-ABS(X79*G79))</f>
        <v>-772.92245994430323</v>
      </c>
      <c r="AB79" s="188">
        <f>IF(IF(sym!$P68=$H79,1,0)=1,ABS($X79*$G79),-ABS($X79*$G79))</f>
        <v>772.92245994430323</v>
      </c>
      <c r="AC79" s="188">
        <f t="shared" si="39"/>
        <v>-772.92245994430323</v>
      </c>
      <c r="AD79" s="188">
        <f t="shared" si="48"/>
        <v>772.92245994430323</v>
      </c>
      <c r="AE79" s="188">
        <f t="shared" si="49"/>
        <v>772.92245994430323</v>
      </c>
      <c r="AF79" s="188">
        <f t="shared" ref="AF79:AF92" si="57">IF(IF(I79=H79,1,0)=1,ABS(X79*G79),-ABS(X79*G79))</f>
        <v>-772.92245994430323</v>
      </c>
      <c r="AG79" s="188">
        <f t="shared" ref="AG79:AG92" si="58">IF(IF(K79=H79,1,0)=1,ABS(X79*G79),-ABS(X79*G79))</f>
        <v>-772.92245994430323</v>
      </c>
      <c r="AH79" s="188">
        <f t="shared" ref="AH79:AH92" si="59">IF(IF(L79=H79,1,0)=1,ABS(X79*G79),-ABS(X79*G79))</f>
        <v>772.92245994430323</v>
      </c>
      <c r="AI79" s="188">
        <f t="shared" ref="AI79:AI92" si="60">IF(IF(-L79=H79,1,0)=1,ABS(X79*G79),-ABS(X79*G79))</f>
        <v>-772.92245994430323</v>
      </c>
      <c r="AJ79" s="188">
        <f t="shared" ref="AJ79:AJ92" si="61">IF(IF(O79=H79,1,0)=1,ABS(X79*G79),-ABS(X79*G79))</f>
        <v>-772.92245994430323</v>
      </c>
      <c r="AK79" s="188">
        <f t="shared" si="50"/>
        <v>-772.92245994430323</v>
      </c>
      <c r="AL79" s="188">
        <f t="shared" si="51"/>
        <v>772.92245994430323</v>
      </c>
      <c r="AM79" s="188">
        <f t="shared" si="52"/>
        <v>-772.92245994430323</v>
      </c>
      <c r="AN79" s="188">
        <f t="shared" si="53"/>
        <v>-772.92245994430323</v>
      </c>
      <c r="AO79" s="188">
        <f t="shared" si="54"/>
        <v>772.92245994430323</v>
      </c>
      <c r="AP79" s="188">
        <f t="shared" si="54"/>
        <v>772.92245994430323</v>
      </c>
    </row>
    <row r="80" spans="1:42" ht="15.75" thickBot="1" x14ac:dyDescent="0.3">
      <c r="A80" s="1" t="s">
        <v>405</v>
      </c>
      <c r="B80" s="149" t="s">
        <v>686</v>
      </c>
      <c r="C80" s="192" t="s">
        <v>294</v>
      </c>
      <c r="E80" s="201">
        <f>'0811'!H80</f>
        <v>-1</v>
      </c>
      <c r="F80" s="186">
        <f t="shared" si="41"/>
        <v>1207.0817350242041</v>
      </c>
      <c r="G80" s="202">
        <v>5.9014458542300001E-3</v>
      </c>
      <c r="H80" s="202">
        <v>1</v>
      </c>
      <c r="I80" s="227">
        <v>1</v>
      </c>
      <c r="J80" s="227">
        <v>-1</v>
      </c>
      <c r="K80" s="227">
        <v>1</v>
      </c>
      <c r="L80" s="202">
        <v>1</v>
      </c>
      <c r="M80" s="228">
        <v>-20</v>
      </c>
      <c r="N80" s="288">
        <v>42565</v>
      </c>
      <c r="O80">
        <f t="shared" si="42"/>
        <v>-1</v>
      </c>
      <c r="P80">
        <f t="shared" si="55"/>
        <v>-1</v>
      </c>
      <c r="Q80">
        <f t="shared" si="43"/>
        <v>-1</v>
      </c>
      <c r="R80">
        <f t="shared" si="44"/>
        <v>1</v>
      </c>
      <c r="S80">
        <f t="shared" si="45"/>
        <v>-1</v>
      </c>
      <c r="T80">
        <f t="shared" si="46"/>
        <v>-1</v>
      </c>
      <c r="U80">
        <f t="shared" si="56"/>
        <v>-1</v>
      </c>
      <c r="V80">
        <v>6</v>
      </c>
      <c r="W80">
        <v>1</v>
      </c>
      <c r="X80" s="354">
        <v>204540</v>
      </c>
      <c r="Y80" s="354">
        <v>11250</v>
      </c>
      <c r="Z80" s="188">
        <f t="shared" si="47"/>
        <v>1207.0817350242041</v>
      </c>
      <c r="AA80" s="188">
        <f>IF(IF(sym!$Q69=H80,1,0)=1,ABS(X80*G80),-ABS(X80*G80))</f>
        <v>1207.0817350242041</v>
      </c>
      <c r="AB80" s="188">
        <f>IF(IF(sym!$P69=$H80,1,0)=1,ABS($X80*$G80),-ABS($X80*$G80))</f>
        <v>-1207.0817350242041</v>
      </c>
      <c r="AC80" s="188">
        <f t="shared" ref="AC80:AC92" si="62">IF(IF(E80=H80,1,0)=1,ABS(X80*G80),-ABS(X80*G80))</f>
        <v>-1207.0817350242041</v>
      </c>
      <c r="AD80" s="188">
        <f t="shared" si="48"/>
        <v>1207.0817350242041</v>
      </c>
      <c r="AE80" s="188">
        <f t="shared" si="49"/>
        <v>-1207.0817350242041</v>
      </c>
      <c r="AF80" s="188">
        <f t="shared" si="57"/>
        <v>1207.0817350242041</v>
      </c>
      <c r="AG80" s="188">
        <f t="shared" si="58"/>
        <v>1207.0817350242041</v>
      </c>
      <c r="AH80" s="188">
        <f t="shared" si="59"/>
        <v>1207.0817350242041</v>
      </c>
      <c r="AI80" s="188">
        <f t="shared" si="60"/>
        <v>-1207.0817350242041</v>
      </c>
      <c r="AJ80" s="188">
        <f t="shared" si="61"/>
        <v>-1207.0817350242041</v>
      </c>
      <c r="AK80" s="188">
        <f t="shared" si="50"/>
        <v>-1207.0817350242041</v>
      </c>
      <c r="AL80" s="188">
        <f t="shared" si="51"/>
        <v>-1207.0817350242041</v>
      </c>
      <c r="AM80" s="188">
        <f t="shared" si="52"/>
        <v>1207.0817350242041</v>
      </c>
      <c r="AN80" s="188">
        <f t="shared" si="53"/>
        <v>-1207.0817350242041</v>
      </c>
      <c r="AO80" s="188">
        <f t="shared" si="54"/>
        <v>-1207.0817350242041</v>
      </c>
      <c r="AP80" s="188">
        <f t="shared" si="54"/>
        <v>-1207.0817350242041</v>
      </c>
    </row>
    <row r="81" spans="1:42" ht="15.75" thickBot="1" x14ac:dyDescent="0.3">
      <c r="A81" s="1" t="s">
        <v>408</v>
      </c>
      <c r="B81" s="149" t="s">
        <v>527</v>
      </c>
      <c r="C81" s="192" t="s">
        <v>294</v>
      </c>
      <c r="D81" s="2"/>
      <c r="E81" s="201">
        <f>'0811'!H81</f>
        <v>1</v>
      </c>
      <c r="F81" s="186">
        <f t="shared" si="41"/>
        <v>111.71335085409238</v>
      </c>
      <c r="G81" s="202">
        <v>6.5703022339000004E-4</v>
      </c>
      <c r="H81" s="202">
        <v>1</v>
      </c>
      <c r="I81" s="227">
        <v>1</v>
      </c>
      <c r="J81" s="227">
        <v>-1</v>
      </c>
      <c r="K81" s="227">
        <v>1</v>
      </c>
      <c r="L81" s="202">
        <v>-1</v>
      </c>
      <c r="M81" s="228">
        <v>-7</v>
      </c>
      <c r="N81" s="288">
        <v>42584</v>
      </c>
      <c r="O81">
        <f t="shared" si="42"/>
        <v>1</v>
      </c>
      <c r="P81">
        <f t="shared" si="55"/>
        <v>1</v>
      </c>
      <c r="Q81">
        <f t="shared" si="43"/>
        <v>-1</v>
      </c>
      <c r="R81">
        <f t="shared" si="44"/>
        <v>1</v>
      </c>
      <c r="S81">
        <f t="shared" si="45"/>
        <v>1</v>
      </c>
      <c r="T81">
        <f t="shared" si="46"/>
        <v>-1</v>
      </c>
      <c r="U81">
        <f t="shared" si="56"/>
        <v>-1</v>
      </c>
      <c r="V81">
        <v>5</v>
      </c>
      <c r="W81">
        <v>1</v>
      </c>
      <c r="X81" s="354">
        <v>170027.72</v>
      </c>
      <c r="Y81" s="354">
        <v>16187.8</v>
      </c>
      <c r="Z81" s="188">
        <f t="shared" si="47"/>
        <v>111.71335085409238</v>
      </c>
      <c r="AA81" s="188">
        <f>IF(IF(sym!$Q70=H81,1,0)=1,ABS(X81*G81),-ABS(X81*G81))</f>
        <v>111.71335085409238</v>
      </c>
      <c r="AB81" s="188">
        <f>IF(IF(sym!$P70=$H81,1,0)=1,ABS($X81*$G81),-ABS($X81*$G81))</f>
        <v>-111.71335085409238</v>
      </c>
      <c r="AC81" s="188">
        <f t="shared" si="62"/>
        <v>111.71335085409238</v>
      </c>
      <c r="AD81" s="188">
        <f t="shared" si="48"/>
        <v>-111.71335085409238</v>
      </c>
      <c r="AE81" s="188">
        <f t="shared" si="49"/>
        <v>-111.71335085409238</v>
      </c>
      <c r="AF81" s="188">
        <f t="shared" si="57"/>
        <v>111.71335085409238</v>
      </c>
      <c r="AG81" s="188">
        <f t="shared" si="58"/>
        <v>111.71335085409238</v>
      </c>
      <c r="AH81" s="188">
        <f t="shared" si="59"/>
        <v>-111.71335085409238</v>
      </c>
      <c r="AI81" s="188">
        <f t="shared" si="60"/>
        <v>111.71335085409238</v>
      </c>
      <c r="AJ81" s="188">
        <f t="shared" si="61"/>
        <v>111.71335085409238</v>
      </c>
      <c r="AK81" s="188">
        <f t="shared" si="50"/>
        <v>111.71335085409238</v>
      </c>
      <c r="AL81" s="188">
        <f t="shared" si="51"/>
        <v>-111.71335085409238</v>
      </c>
      <c r="AM81" s="188">
        <f t="shared" si="52"/>
        <v>111.71335085409238</v>
      </c>
      <c r="AN81" s="188">
        <f t="shared" si="53"/>
        <v>111.71335085409238</v>
      </c>
      <c r="AO81" s="188">
        <f t="shared" si="54"/>
        <v>-111.71335085409238</v>
      </c>
      <c r="AP81" s="188">
        <f t="shared" si="54"/>
        <v>-111.71335085409238</v>
      </c>
    </row>
    <row r="82" spans="1:42" ht="15.75" thickBot="1" x14ac:dyDescent="0.3">
      <c r="A82" s="1" t="s">
        <v>410</v>
      </c>
      <c r="B82" s="149" t="s">
        <v>556</v>
      </c>
      <c r="C82" s="192" t="s">
        <v>294</v>
      </c>
      <c r="E82" s="201">
        <f>'0811'!H82</f>
        <v>1</v>
      </c>
      <c r="F82" s="186">
        <f t="shared" si="41"/>
        <v>-19.998370406576225</v>
      </c>
      <c r="G82" s="202">
        <v>-8.14796708221E-5</v>
      </c>
      <c r="H82" s="202">
        <v>-1</v>
      </c>
      <c r="I82" s="227">
        <v>1</v>
      </c>
      <c r="J82" s="227">
        <v>1</v>
      </c>
      <c r="K82" s="227">
        <v>1</v>
      </c>
      <c r="L82" s="202">
        <v>1</v>
      </c>
      <c r="M82" s="228">
        <v>-26</v>
      </c>
      <c r="N82" s="288">
        <v>42557</v>
      </c>
      <c r="O82">
        <f t="shared" si="42"/>
        <v>-1</v>
      </c>
      <c r="P82">
        <f t="shared" si="55"/>
        <v>1</v>
      </c>
      <c r="Q82">
        <f t="shared" si="43"/>
        <v>-1</v>
      </c>
      <c r="R82">
        <f t="shared" si="44"/>
        <v>-1</v>
      </c>
      <c r="S82">
        <f t="shared" si="45"/>
        <v>-1</v>
      </c>
      <c r="T82">
        <f t="shared" si="46"/>
        <v>1</v>
      </c>
      <c r="U82">
        <f t="shared" si="56"/>
        <v>-1</v>
      </c>
      <c r="V82">
        <v>2</v>
      </c>
      <c r="W82">
        <v>1</v>
      </c>
      <c r="X82" s="354">
        <v>245440</v>
      </c>
      <c r="Y82" s="354">
        <v>13500</v>
      </c>
      <c r="Z82" s="188">
        <f t="shared" si="47"/>
        <v>19.998370406576225</v>
      </c>
      <c r="AA82" s="188">
        <f>IF(IF(sym!$Q71=H82,1,0)=1,ABS(X82*G82),-ABS(X82*G82))</f>
        <v>-19.998370406576225</v>
      </c>
      <c r="AB82" s="188">
        <f>IF(IF(sym!$P71=$H82,1,0)=1,ABS($X82*$G82),-ABS($X82*$G82))</f>
        <v>19.998370406576225</v>
      </c>
      <c r="AC82" s="188">
        <f t="shared" si="62"/>
        <v>-19.998370406576225</v>
      </c>
      <c r="AD82" s="188">
        <f t="shared" si="48"/>
        <v>19.998370406576225</v>
      </c>
      <c r="AE82" s="188">
        <f t="shared" si="49"/>
        <v>-19.998370406576225</v>
      </c>
      <c r="AF82" s="188">
        <f t="shared" si="57"/>
        <v>-19.998370406576225</v>
      </c>
      <c r="AG82" s="188">
        <f t="shared" si="58"/>
        <v>-19.998370406576225</v>
      </c>
      <c r="AH82" s="188">
        <f t="shared" si="59"/>
        <v>-19.998370406576225</v>
      </c>
      <c r="AI82" s="188">
        <f t="shared" si="60"/>
        <v>19.998370406576225</v>
      </c>
      <c r="AJ82" s="188">
        <f t="shared" si="61"/>
        <v>19.998370406576225</v>
      </c>
      <c r="AK82" s="188">
        <f t="shared" si="50"/>
        <v>-19.998370406576225</v>
      </c>
      <c r="AL82" s="188">
        <f t="shared" si="51"/>
        <v>19.998370406576225</v>
      </c>
      <c r="AM82" s="188">
        <f t="shared" si="52"/>
        <v>19.998370406576225</v>
      </c>
      <c r="AN82" s="188">
        <f t="shared" si="53"/>
        <v>19.998370406576225</v>
      </c>
      <c r="AO82" s="188">
        <f t="shared" si="54"/>
        <v>-19.998370406576225</v>
      </c>
      <c r="AP82" s="188">
        <f t="shared" si="54"/>
        <v>19.998370406576225</v>
      </c>
    </row>
    <row r="83" spans="1:42" ht="15.75" thickBot="1" x14ac:dyDescent="0.3">
      <c r="A83" s="1" t="s">
        <v>412</v>
      </c>
      <c r="B83" s="149" t="s">
        <v>763</v>
      </c>
      <c r="C83" s="192" t="s">
        <v>1122</v>
      </c>
      <c r="E83" s="201">
        <f>'0811'!H83</f>
        <v>-1</v>
      </c>
      <c r="F83" s="186">
        <f t="shared" si="41"/>
        <v>1892.1111279836432</v>
      </c>
      <c r="G83" s="202">
        <v>7.8605116478499995E-4</v>
      </c>
      <c r="H83" s="202">
        <v>1</v>
      </c>
      <c r="I83" s="227">
        <v>-1</v>
      </c>
      <c r="J83" s="227">
        <v>-1</v>
      </c>
      <c r="K83" s="227">
        <v>-1</v>
      </c>
      <c r="L83" s="202">
        <v>1</v>
      </c>
      <c r="M83" s="228">
        <v>-5</v>
      </c>
      <c r="N83" s="288">
        <v>42586</v>
      </c>
      <c r="O83">
        <f t="shared" si="42"/>
        <v>-1</v>
      </c>
      <c r="P83">
        <f t="shared" si="55"/>
        <v>-1</v>
      </c>
      <c r="Q83">
        <f t="shared" si="43"/>
        <v>-1</v>
      </c>
      <c r="R83">
        <f t="shared" si="44"/>
        <v>-1</v>
      </c>
      <c r="S83">
        <f t="shared" si="45"/>
        <v>-1</v>
      </c>
      <c r="T83">
        <f t="shared" si="46"/>
        <v>1</v>
      </c>
      <c r="U83">
        <f t="shared" si="56"/>
        <v>-1</v>
      </c>
      <c r="V83">
        <v>11</v>
      </c>
      <c r="W83">
        <v>1</v>
      </c>
      <c r="X83" s="354">
        <v>2407109.375</v>
      </c>
      <c r="Y83" s="354">
        <v>7557</v>
      </c>
      <c r="Z83" s="188">
        <f t="shared" si="47"/>
        <v>1892.1111279836432</v>
      </c>
      <c r="AA83" s="188">
        <f>IF(IF(sym!$Q72=H83,1,0)=1,ABS(X83*G83),-ABS(X83*G83))</f>
        <v>-1892.1111279836432</v>
      </c>
      <c r="AB83" s="188">
        <f>IF(IF(sym!$P72=$H83,1,0)=1,ABS($X83*$G83),-ABS($X83*$G83))</f>
        <v>1892.1111279836432</v>
      </c>
      <c r="AC83" s="188">
        <f t="shared" si="62"/>
        <v>-1892.1111279836432</v>
      </c>
      <c r="AD83" s="188">
        <f t="shared" si="48"/>
        <v>1892.1111279836432</v>
      </c>
      <c r="AE83" s="188">
        <f t="shared" si="49"/>
        <v>-1892.1111279836432</v>
      </c>
      <c r="AF83" s="188">
        <f t="shared" si="57"/>
        <v>-1892.1111279836432</v>
      </c>
      <c r="AG83" s="188">
        <f t="shared" si="58"/>
        <v>-1892.1111279836432</v>
      </c>
      <c r="AH83" s="188">
        <f t="shared" si="59"/>
        <v>1892.1111279836432</v>
      </c>
      <c r="AI83" s="188">
        <f t="shared" si="60"/>
        <v>-1892.1111279836432</v>
      </c>
      <c r="AJ83" s="188">
        <f t="shared" si="61"/>
        <v>-1892.1111279836432</v>
      </c>
      <c r="AK83" s="188">
        <f t="shared" si="50"/>
        <v>-1892.1111279836432</v>
      </c>
      <c r="AL83" s="188">
        <f t="shared" si="51"/>
        <v>-1892.1111279836432</v>
      </c>
      <c r="AM83" s="188">
        <f t="shared" si="52"/>
        <v>-1892.1111279836432</v>
      </c>
      <c r="AN83" s="188">
        <f t="shared" si="53"/>
        <v>-1892.1111279836432</v>
      </c>
      <c r="AO83" s="188">
        <f t="shared" si="54"/>
        <v>1892.1111279836432</v>
      </c>
      <c r="AP83" s="188">
        <f t="shared" si="54"/>
        <v>-1892.1111279836432</v>
      </c>
    </row>
    <row r="84" spans="1:42" ht="15.75" thickBot="1" x14ac:dyDescent="0.3">
      <c r="A84" s="1" t="s">
        <v>413</v>
      </c>
      <c r="B84" s="149" t="s">
        <v>761</v>
      </c>
      <c r="C84" s="192" t="s">
        <v>1122</v>
      </c>
      <c r="E84" s="201">
        <f>'0811'!H84</f>
        <v>-1</v>
      </c>
      <c r="F84" s="186">
        <f t="shared" si="41"/>
        <v>1944.60714708307</v>
      </c>
      <c r="G84" s="202">
        <v>3.6682049461600002E-3</v>
      </c>
      <c r="H84" s="202">
        <v>1</v>
      </c>
      <c r="I84" s="227">
        <v>-1</v>
      </c>
      <c r="J84" s="227">
        <v>-1</v>
      </c>
      <c r="K84" s="227">
        <v>-1</v>
      </c>
      <c r="L84" s="202">
        <v>1</v>
      </c>
      <c r="M84" s="228">
        <v>-1</v>
      </c>
      <c r="N84" s="288">
        <v>42580</v>
      </c>
      <c r="O84">
        <f t="shared" si="42"/>
        <v>-1</v>
      </c>
      <c r="P84">
        <f t="shared" si="55"/>
        <v>-1</v>
      </c>
      <c r="Q84">
        <f t="shared" si="43"/>
        <v>-1</v>
      </c>
      <c r="R84">
        <f t="shared" si="44"/>
        <v>-1</v>
      </c>
      <c r="S84">
        <f t="shared" si="45"/>
        <v>-1</v>
      </c>
      <c r="T84">
        <f t="shared" si="46"/>
        <v>1</v>
      </c>
      <c r="U84">
        <f t="shared" si="56"/>
        <v>-1</v>
      </c>
      <c r="V84">
        <v>4</v>
      </c>
      <c r="W84">
        <v>1</v>
      </c>
      <c r="X84" s="354">
        <v>530125</v>
      </c>
      <c r="Y84" s="354">
        <v>6248</v>
      </c>
      <c r="Z84" s="188">
        <f t="shared" si="47"/>
        <v>1944.60714708307</v>
      </c>
      <c r="AA84" s="188">
        <f>IF(IF(sym!$Q73=H84,1,0)=1,ABS(X84*G84),-ABS(X84*G84))</f>
        <v>-1944.60714708307</v>
      </c>
      <c r="AB84" s="188">
        <f>IF(IF(sym!$P73=$H84,1,0)=1,ABS($X84*$G84),-ABS($X84*$G84))</f>
        <v>1944.60714708307</v>
      </c>
      <c r="AC84" s="188">
        <f t="shared" si="62"/>
        <v>-1944.60714708307</v>
      </c>
      <c r="AD84" s="188">
        <f t="shared" si="48"/>
        <v>1944.60714708307</v>
      </c>
      <c r="AE84" s="188">
        <f t="shared" si="49"/>
        <v>-1944.60714708307</v>
      </c>
      <c r="AF84" s="188">
        <f t="shared" si="57"/>
        <v>-1944.60714708307</v>
      </c>
      <c r="AG84" s="188">
        <f t="shared" si="58"/>
        <v>-1944.60714708307</v>
      </c>
      <c r="AH84" s="188">
        <f t="shared" si="59"/>
        <v>1944.60714708307</v>
      </c>
      <c r="AI84" s="188">
        <f t="shared" si="60"/>
        <v>-1944.60714708307</v>
      </c>
      <c r="AJ84" s="188">
        <f t="shared" si="61"/>
        <v>-1944.60714708307</v>
      </c>
      <c r="AK84" s="188">
        <f t="shared" si="50"/>
        <v>-1944.60714708307</v>
      </c>
      <c r="AL84" s="188">
        <f t="shared" si="51"/>
        <v>-1944.60714708307</v>
      </c>
      <c r="AM84" s="188">
        <f t="shared" si="52"/>
        <v>-1944.60714708307</v>
      </c>
      <c r="AN84" s="188">
        <f t="shared" si="53"/>
        <v>-1944.60714708307</v>
      </c>
      <c r="AO84" s="188">
        <f t="shared" si="54"/>
        <v>1944.60714708307</v>
      </c>
      <c r="AP84" s="188">
        <f t="shared" si="54"/>
        <v>-1944.60714708307</v>
      </c>
    </row>
    <row r="85" spans="1:42" ht="15.75" thickBot="1" x14ac:dyDescent="0.3">
      <c r="A85" s="1" t="s">
        <v>414</v>
      </c>
      <c r="B85" s="149" t="s">
        <v>759</v>
      </c>
      <c r="C85" s="192" t="s">
        <v>1122</v>
      </c>
      <c r="E85" s="201">
        <f>'0811'!H85</f>
        <v>-1</v>
      </c>
      <c r="F85" s="186">
        <f t="shared" si="41"/>
        <v>2391.4180462065469</v>
      </c>
      <c r="G85" s="202">
        <v>6.9128615608500003E-3</v>
      </c>
      <c r="H85" s="202">
        <v>1</v>
      </c>
      <c r="I85" s="227">
        <v>1</v>
      </c>
      <c r="J85" s="227">
        <v>1</v>
      </c>
      <c r="K85" s="227">
        <v>1</v>
      </c>
      <c r="L85" s="202">
        <v>1</v>
      </c>
      <c r="M85" s="228">
        <v>4</v>
      </c>
      <c r="N85" s="288">
        <v>42587</v>
      </c>
      <c r="O85">
        <f t="shared" si="42"/>
        <v>1</v>
      </c>
      <c r="P85">
        <f t="shared" si="55"/>
        <v>-1</v>
      </c>
      <c r="Q85">
        <f t="shared" si="43"/>
        <v>1</v>
      </c>
      <c r="R85">
        <f t="shared" si="44"/>
        <v>1</v>
      </c>
      <c r="S85">
        <f t="shared" si="45"/>
        <v>1</v>
      </c>
      <c r="T85">
        <f t="shared" si="46"/>
        <v>-1</v>
      </c>
      <c r="U85">
        <f t="shared" si="56"/>
        <v>1</v>
      </c>
      <c r="V85">
        <v>2</v>
      </c>
      <c r="W85">
        <v>1</v>
      </c>
      <c r="X85" s="354">
        <v>345937.5</v>
      </c>
      <c r="Y85" s="354">
        <v>9124</v>
      </c>
      <c r="Z85" s="188">
        <f t="shared" si="47"/>
        <v>2391.4180462065469</v>
      </c>
      <c r="AA85" s="188">
        <f>IF(IF(sym!$Q74=H85,1,0)=1,ABS(X85*G85),-ABS(X85*G85))</f>
        <v>-2391.4180462065469</v>
      </c>
      <c r="AB85" s="188">
        <f>IF(IF(sym!$P74=$H85,1,0)=1,ABS($X85*$G85),-ABS($X85*$G85))</f>
        <v>2391.4180462065469</v>
      </c>
      <c r="AC85" s="188">
        <f t="shared" si="62"/>
        <v>-2391.4180462065469</v>
      </c>
      <c r="AD85" s="188">
        <f t="shared" si="48"/>
        <v>2391.4180462065469</v>
      </c>
      <c r="AE85" s="188">
        <f t="shared" si="49"/>
        <v>2391.4180462065469</v>
      </c>
      <c r="AF85" s="188">
        <f t="shared" si="57"/>
        <v>2391.4180462065469</v>
      </c>
      <c r="AG85" s="188">
        <f t="shared" si="58"/>
        <v>2391.4180462065469</v>
      </c>
      <c r="AH85" s="188">
        <f t="shared" si="59"/>
        <v>2391.4180462065469</v>
      </c>
      <c r="AI85" s="188">
        <f t="shared" si="60"/>
        <v>-2391.4180462065469</v>
      </c>
      <c r="AJ85" s="188">
        <f t="shared" si="61"/>
        <v>2391.4180462065469</v>
      </c>
      <c r="AK85" s="188">
        <f t="shared" si="50"/>
        <v>-2391.4180462065469</v>
      </c>
      <c r="AL85" s="188">
        <f t="shared" si="51"/>
        <v>2391.4180462065469</v>
      </c>
      <c r="AM85" s="188">
        <f t="shared" si="52"/>
        <v>2391.4180462065469</v>
      </c>
      <c r="AN85" s="188">
        <f t="shared" si="53"/>
        <v>2391.4180462065469</v>
      </c>
      <c r="AO85" s="188">
        <f t="shared" si="54"/>
        <v>-2391.4180462065469</v>
      </c>
      <c r="AP85" s="188">
        <f t="shared" si="54"/>
        <v>2391.4180462065469</v>
      </c>
    </row>
    <row r="86" spans="1:42" ht="15.75" thickBot="1" x14ac:dyDescent="0.3">
      <c r="A86" s="1" t="s">
        <v>416</v>
      </c>
      <c r="B86" s="149" t="s">
        <v>494</v>
      </c>
      <c r="C86" s="192" t="s">
        <v>294</v>
      </c>
      <c r="E86" s="201">
        <f>'0811'!H86</f>
        <v>-1</v>
      </c>
      <c r="F86" s="186">
        <f t="shared" si="41"/>
        <v>-298.00995024863926</v>
      </c>
      <c r="G86" s="202">
        <v>-6.63349917081E-3</v>
      </c>
      <c r="H86" s="202">
        <v>-1</v>
      </c>
      <c r="I86" s="227">
        <v>-1</v>
      </c>
      <c r="J86" s="227">
        <v>1</v>
      </c>
      <c r="K86" s="227">
        <v>-1</v>
      </c>
      <c r="L86" s="202">
        <v>1</v>
      </c>
      <c r="M86" s="228">
        <v>-14</v>
      </c>
      <c r="N86" s="288">
        <v>42573</v>
      </c>
      <c r="O86">
        <f t="shared" si="42"/>
        <v>-1</v>
      </c>
      <c r="P86">
        <f t="shared" si="55"/>
        <v>-1</v>
      </c>
      <c r="Q86">
        <f t="shared" si="43"/>
        <v>1</v>
      </c>
      <c r="R86">
        <f t="shared" si="44"/>
        <v>-1</v>
      </c>
      <c r="S86">
        <f t="shared" si="45"/>
        <v>-1</v>
      </c>
      <c r="T86">
        <f t="shared" si="46"/>
        <v>1</v>
      </c>
      <c r="U86">
        <f t="shared" si="56"/>
        <v>1</v>
      </c>
      <c r="V86">
        <v>3</v>
      </c>
      <c r="W86">
        <v>1</v>
      </c>
      <c r="X86" s="354">
        <v>44925</v>
      </c>
      <c r="Y86" s="354">
        <v>26148</v>
      </c>
      <c r="Z86" s="188">
        <f t="shared" si="47"/>
        <v>298.00995024863926</v>
      </c>
      <c r="AA86" s="188">
        <f>IF(IF(sym!$Q75=H86,1,0)=1,ABS(X86*G86),-ABS(X86*G86))</f>
        <v>298.00995024863926</v>
      </c>
      <c r="AB86" s="188">
        <f>IF(IF(sym!$P75=$H86,1,0)=1,ABS($X86*$G86),-ABS($X86*$G86))</f>
        <v>-298.00995024863926</v>
      </c>
      <c r="AC86" s="188">
        <f t="shared" si="62"/>
        <v>298.00995024863926</v>
      </c>
      <c r="AD86" s="188">
        <f t="shared" si="48"/>
        <v>-298.00995024863926</v>
      </c>
      <c r="AE86" s="188">
        <f t="shared" si="49"/>
        <v>-298.00995024863926</v>
      </c>
      <c r="AF86" s="188">
        <f t="shared" si="57"/>
        <v>298.00995024863926</v>
      </c>
      <c r="AG86" s="188">
        <f t="shared" si="58"/>
        <v>298.00995024863926</v>
      </c>
      <c r="AH86" s="188">
        <f t="shared" si="59"/>
        <v>-298.00995024863926</v>
      </c>
      <c r="AI86" s="188">
        <f t="shared" si="60"/>
        <v>298.00995024863926</v>
      </c>
      <c r="AJ86" s="188">
        <f t="shared" si="61"/>
        <v>298.00995024863926</v>
      </c>
      <c r="AK86" s="188">
        <f t="shared" si="50"/>
        <v>298.00995024863926</v>
      </c>
      <c r="AL86" s="188">
        <f t="shared" si="51"/>
        <v>-298.00995024863926</v>
      </c>
      <c r="AM86" s="188">
        <f t="shared" si="52"/>
        <v>298.00995024863926</v>
      </c>
      <c r="AN86" s="188">
        <f t="shared" si="53"/>
        <v>298.00995024863926</v>
      </c>
      <c r="AO86" s="188">
        <f t="shared" si="54"/>
        <v>-298.00995024863926</v>
      </c>
      <c r="AP86" s="188">
        <f t="shared" si="54"/>
        <v>-298.00995024863926</v>
      </c>
    </row>
    <row r="87" spans="1:42" s="2" customFormat="1" ht="15.75" thickBot="1" x14ac:dyDescent="0.3">
      <c r="A87" s="1" t="s">
        <v>418</v>
      </c>
      <c r="B87" s="149" t="s">
        <v>767</v>
      </c>
      <c r="C87" s="192" t="s">
        <v>297</v>
      </c>
      <c r="D87"/>
      <c r="E87" s="201">
        <f>'0811'!H87</f>
        <v>-1</v>
      </c>
      <c r="F87" s="186">
        <f t="shared" si="41"/>
        <v>604.11899313480001</v>
      </c>
      <c r="G87" s="202">
        <v>6.8649885583499997E-3</v>
      </c>
      <c r="H87" s="202">
        <v>1</v>
      </c>
      <c r="I87" s="227">
        <v>-1</v>
      </c>
      <c r="J87" s="227">
        <v>-1</v>
      </c>
      <c r="K87" s="227">
        <v>-1</v>
      </c>
      <c r="L87" s="202">
        <v>1</v>
      </c>
      <c r="M87" s="228">
        <v>7</v>
      </c>
      <c r="N87" s="288">
        <v>42584</v>
      </c>
      <c r="O87">
        <f t="shared" si="42"/>
        <v>1</v>
      </c>
      <c r="P87">
        <f t="shared" si="55"/>
        <v>-1</v>
      </c>
      <c r="Q87">
        <f t="shared" si="43"/>
        <v>1</v>
      </c>
      <c r="R87">
        <f t="shared" si="44"/>
        <v>-1</v>
      </c>
      <c r="S87">
        <f t="shared" si="45"/>
        <v>-1</v>
      </c>
      <c r="T87">
        <f t="shared" si="46"/>
        <v>-1</v>
      </c>
      <c r="U87">
        <f t="shared" si="56"/>
        <v>-1</v>
      </c>
      <c r="V87">
        <v>4</v>
      </c>
      <c r="W87">
        <v>1</v>
      </c>
      <c r="X87" s="354">
        <v>88000</v>
      </c>
      <c r="Y87" s="354">
        <v>14000</v>
      </c>
      <c r="Z87" s="188">
        <f t="shared" si="47"/>
        <v>604.11899313480001</v>
      </c>
      <c r="AA87" s="188">
        <f>IF(IF(sym!$Q76=H87,1,0)=1,ABS(X87*G87),-ABS(X87*G87))</f>
        <v>604.11899313480001</v>
      </c>
      <c r="AB87" s="188">
        <f>IF(IF(sym!$P76=$H87,1,0)=1,ABS($X87*$G87),-ABS($X87*$G87))</f>
        <v>-604.11899313480001</v>
      </c>
      <c r="AC87" s="188">
        <f t="shared" si="62"/>
        <v>-604.11899313480001</v>
      </c>
      <c r="AD87" s="188">
        <f t="shared" si="48"/>
        <v>604.11899313480001</v>
      </c>
      <c r="AE87" s="188">
        <f t="shared" si="49"/>
        <v>-604.11899313480001</v>
      </c>
      <c r="AF87" s="188">
        <f t="shared" si="57"/>
        <v>-604.11899313480001</v>
      </c>
      <c r="AG87" s="188">
        <f t="shared" si="58"/>
        <v>-604.11899313480001</v>
      </c>
      <c r="AH87" s="188">
        <f t="shared" si="59"/>
        <v>604.11899313480001</v>
      </c>
      <c r="AI87" s="188">
        <f t="shared" si="60"/>
        <v>-604.11899313480001</v>
      </c>
      <c r="AJ87" s="188">
        <f t="shared" si="61"/>
        <v>604.11899313480001</v>
      </c>
      <c r="AK87" s="188">
        <f t="shared" si="50"/>
        <v>-604.11899313480001</v>
      </c>
      <c r="AL87" s="188">
        <f t="shared" si="51"/>
        <v>604.11899313480001</v>
      </c>
      <c r="AM87" s="188">
        <f t="shared" si="52"/>
        <v>-604.11899313480001</v>
      </c>
      <c r="AN87" s="188">
        <f t="shared" si="53"/>
        <v>-604.11899313480001</v>
      </c>
      <c r="AO87" s="188">
        <f t="shared" si="54"/>
        <v>-604.11899313480001</v>
      </c>
      <c r="AP87" s="188">
        <f t="shared" si="54"/>
        <v>-604.11899313480001</v>
      </c>
    </row>
    <row r="88" spans="1:42" s="2" customFormat="1" ht="15.75" thickBot="1" x14ac:dyDescent="0.3">
      <c r="A88" s="1" t="s">
        <v>1053</v>
      </c>
      <c r="B88" s="149" t="s">
        <v>738</v>
      </c>
      <c r="C88" s="192" t="s">
        <v>294</v>
      </c>
      <c r="D88"/>
      <c r="E88" s="201">
        <f>'0811'!H88</f>
        <v>-1</v>
      </c>
      <c r="F88" s="186">
        <f t="shared" si="41"/>
        <v>1151.6994510526654</v>
      </c>
      <c r="G88" s="202">
        <v>3.6596523330300001E-3</v>
      </c>
      <c r="H88" s="202">
        <v>1</v>
      </c>
      <c r="I88" s="227">
        <v>-1</v>
      </c>
      <c r="J88" s="227">
        <v>1</v>
      </c>
      <c r="K88" s="227">
        <v>-1</v>
      </c>
      <c r="L88" s="202">
        <v>1</v>
      </c>
      <c r="M88" s="228">
        <v>8</v>
      </c>
      <c r="N88" s="288">
        <v>42583</v>
      </c>
      <c r="O88">
        <f t="shared" si="42"/>
        <v>1</v>
      </c>
      <c r="P88">
        <f t="shared" si="55"/>
        <v>-1</v>
      </c>
      <c r="Q88">
        <f t="shared" si="43"/>
        <v>1</v>
      </c>
      <c r="R88">
        <f t="shared" si="44"/>
        <v>-1</v>
      </c>
      <c r="S88">
        <f t="shared" si="45"/>
        <v>-1</v>
      </c>
      <c r="T88">
        <f t="shared" si="46"/>
        <v>-1</v>
      </c>
      <c r="U88">
        <f t="shared" si="56"/>
        <v>1</v>
      </c>
      <c r="V88">
        <v>3</v>
      </c>
      <c r="W88">
        <v>1</v>
      </c>
      <c r="X88" s="354">
        <v>314701.875</v>
      </c>
      <c r="Y88" s="354">
        <v>19362.915000000001</v>
      </c>
      <c r="Z88" s="188">
        <f t="shared" si="47"/>
        <v>1151.6994510526654</v>
      </c>
      <c r="AA88" s="188">
        <f>IF(IF(sym!$Q77=H88,1,0)=1,ABS(X88*G88),-ABS(X88*G88))</f>
        <v>1151.6994510526654</v>
      </c>
      <c r="AB88" s="188">
        <f>IF(IF(sym!$P77=$H88,1,0)=1,ABS($X88*$G88),-ABS($X88*$G88))</f>
        <v>-1151.6994510526654</v>
      </c>
      <c r="AC88" s="188">
        <f t="shared" si="62"/>
        <v>-1151.6994510526654</v>
      </c>
      <c r="AD88" s="188">
        <f t="shared" si="48"/>
        <v>1151.6994510526654</v>
      </c>
      <c r="AE88" s="188">
        <f t="shared" si="49"/>
        <v>1151.6994510526654</v>
      </c>
      <c r="AF88" s="188">
        <f t="shared" si="57"/>
        <v>-1151.6994510526654</v>
      </c>
      <c r="AG88" s="188">
        <f t="shared" si="58"/>
        <v>-1151.6994510526654</v>
      </c>
      <c r="AH88" s="188">
        <f t="shared" si="59"/>
        <v>1151.6994510526654</v>
      </c>
      <c r="AI88" s="188">
        <f t="shared" si="60"/>
        <v>-1151.6994510526654</v>
      </c>
      <c r="AJ88" s="188">
        <f t="shared" si="61"/>
        <v>1151.6994510526654</v>
      </c>
      <c r="AK88" s="188">
        <f t="shared" si="50"/>
        <v>-1151.6994510526654</v>
      </c>
      <c r="AL88" s="188">
        <f t="shared" si="51"/>
        <v>1151.6994510526654</v>
      </c>
      <c r="AM88" s="188">
        <f t="shared" si="52"/>
        <v>-1151.6994510526654</v>
      </c>
      <c r="AN88" s="188">
        <f t="shared" si="53"/>
        <v>-1151.6994510526654</v>
      </c>
      <c r="AO88" s="188">
        <f t="shared" si="54"/>
        <v>-1151.6994510526654</v>
      </c>
      <c r="AP88" s="188">
        <f t="shared" si="54"/>
        <v>1151.6994510526654</v>
      </c>
    </row>
    <row r="89" spans="1:42" s="2" customFormat="1" ht="15.75" thickBot="1" x14ac:dyDescent="0.3">
      <c r="A89" s="328" t="s">
        <v>1054</v>
      </c>
      <c r="B89" s="329" t="s">
        <v>463</v>
      </c>
      <c r="C89" s="330" t="s">
        <v>1285</v>
      </c>
      <c r="D89"/>
      <c r="E89" s="201">
        <f>'0811'!H89</f>
        <v>1</v>
      </c>
      <c r="F89" s="186">
        <f t="shared" si="41"/>
        <v>0</v>
      </c>
      <c r="G89" s="202">
        <v>0</v>
      </c>
      <c r="H89" s="202">
        <v>1</v>
      </c>
      <c r="I89" s="227">
        <v>1</v>
      </c>
      <c r="J89" s="227">
        <v>1</v>
      </c>
      <c r="K89" s="227">
        <v>1</v>
      </c>
      <c r="L89" s="202">
        <v>-1</v>
      </c>
      <c r="M89" s="228">
        <v>-7</v>
      </c>
      <c r="N89" s="288">
        <v>42584</v>
      </c>
      <c r="O89">
        <f t="shared" si="42"/>
        <v>1</v>
      </c>
      <c r="P89">
        <f t="shared" si="55"/>
        <v>1</v>
      </c>
      <c r="Q89">
        <f t="shared" si="43"/>
        <v>1</v>
      </c>
      <c r="R89">
        <f t="shared" si="44"/>
        <v>1</v>
      </c>
      <c r="S89">
        <f t="shared" si="45"/>
        <v>1</v>
      </c>
      <c r="T89">
        <f t="shared" si="46"/>
        <v>-1</v>
      </c>
      <c r="U89">
        <f t="shared" si="56"/>
        <v>1</v>
      </c>
      <c r="V89">
        <v>0</v>
      </c>
      <c r="W89">
        <v>1</v>
      </c>
      <c r="X89" s="354">
        <v>0</v>
      </c>
      <c r="Y89" s="354">
        <v>0</v>
      </c>
      <c r="Z89" s="188">
        <f t="shared" si="47"/>
        <v>0</v>
      </c>
      <c r="AA89" s="188">
        <f>IF(IF(sym!$Q78=H89,1,0)=1,ABS(X89*G89),-ABS(X89*G89))</f>
        <v>0</v>
      </c>
      <c r="AB89" s="188">
        <f>IF(IF(sym!$P78=$H89,1,0)=1,ABS($X89*$G89),-ABS($X89*$G89))</f>
        <v>0</v>
      </c>
      <c r="AC89" s="188">
        <f t="shared" si="62"/>
        <v>0</v>
      </c>
      <c r="AD89" s="188">
        <f t="shared" si="48"/>
        <v>0</v>
      </c>
      <c r="AE89" s="188">
        <f t="shared" si="49"/>
        <v>0</v>
      </c>
      <c r="AF89" s="188">
        <f t="shared" si="57"/>
        <v>0</v>
      </c>
      <c r="AG89" s="188">
        <f t="shared" si="58"/>
        <v>0</v>
      </c>
      <c r="AH89" s="188">
        <f t="shared" si="59"/>
        <v>0</v>
      </c>
      <c r="AI89" s="188">
        <f t="shared" si="60"/>
        <v>0</v>
      </c>
      <c r="AJ89" s="188">
        <f t="shared" si="61"/>
        <v>0</v>
      </c>
      <c r="AK89" s="188">
        <f t="shared" si="50"/>
        <v>0</v>
      </c>
      <c r="AL89" s="188">
        <f t="shared" si="51"/>
        <v>0</v>
      </c>
      <c r="AM89" s="188">
        <f t="shared" si="52"/>
        <v>0</v>
      </c>
      <c r="AN89" s="188">
        <f t="shared" si="53"/>
        <v>0</v>
      </c>
      <c r="AO89" s="188">
        <f t="shared" si="54"/>
        <v>0</v>
      </c>
      <c r="AP89" s="188">
        <f t="shared" si="54"/>
        <v>0</v>
      </c>
    </row>
    <row r="90" spans="1:42" s="4" customFormat="1" ht="15.75" thickBot="1" x14ac:dyDescent="0.3">
      <c r="A90" s="1" t="s">
        <v>422</v>
      </c>
      <c r="B90" s="149" t="s">
        <v>639</v>
      </c>
      <c r="C90" s="192" t="s">
        <v>294</v>
      </c>
      <c r="E90" s="201">
        <f>'0811'!H90</f>
        <v>1</v>
      </c>
      <c r="F90" s="186">
        <f t="shared" si="41"/>
        <v>-838.09964987801095</v>
      </c>
      <c r="G90" s="202">
        <v>-2.2623215728499999E-3</v>
      </c>
      <c r="H90" s="202">
        <v>-1</v>
      </c>
      <c r="I90" s="227">
        <v>1</v>
      </c>
      <c r="J90" s="227">
        <v>-1</v>
      </c>
      <c r="K90" s="227">
        <v>1</v>
      </c>
      <c r="L90" s="202">
        <v>1</v>
      </c>
      <c r="M90" s="228">
        <v>-7</v>
      </c>
      <c r="N90" s="288">
        <v>42584</v>
      </c>
      <c r="O90">
        <f t="shared" si="42"/>
        <v>-1</v>
      </c>
      <c r="P90">
        <f t="shared" si="55"/>
        <v>1</v>
      </c>
      <c r="Q90">
        <f t="shared" si="43"/>
        <v>-1</v>
      </c>
      <c r="R90">
        <f t="shared" si="44"/>
        <v>-1</v>
      </c>
      <c r="S90">
        <f t="shared" si="45"/>
        <v>-1</v>
      </c>
      <c r="T90">
        <f t="shared" si="46"/>
        <v>1</v>
      </c>
      <c r="U90">
        <f t="shared" si="56"/>
        <v>-1</v>
      </c>
      <c r="V90">
        <v>4</v>
      </c>
      <c r="W90">
        <v>1</v>
      </c>
      <c r="X90" s="354">
        <v>370460</v>
      </c>
      <c r="Y90" s="354">
        <v>16248</v>
      </c>
      <c r="Z90" s="188">
        <f t="shared" si="47"/>
        <v>838.09964987801095</v>
      </c>
      <c r="AA90" s="188">
        <f>IF(IF(sym!$Q79=H90,1,0)=1,ABS(X90*G90),-ABS(X90*G90))</f>
        <v>-838.09964987801095</v>
      </c>
      <c r="AB90" s="188">
        <f>IF(IF(sym!$P79=$H90,1,0)=1,ABS($X90*$G90),-ABS($X90*$G90))</f>
        <v>838.09964987801095</v>
      </c>
      <c r="AC90" s="188">
        <f t="shared" si="62"/>
        <v>-838.09964987801095</v>
      </c>
      <c r="AD90" s="188">
        <f t="shared" si="48"/>
        <v>838.09964987801095</v>
      </c>
      <c r="AE90" s="188">
        <f t="shared" si="49"/>
        <v>838.09964987801095</v>
      </c>
      <c r="AF90" s="188">
        <f t="shared" si="57"/>
        <v>-838.09964987801095</v>
      </c>
      <c r="AG90" s="188">
        <f t="shared" si="58"/>
        <v>-838.09964987801095</v>
      </c>
      <c r="AH90" s="188">
        <f t="shared" si="59"/>
        <v>-838.09964987801095</v>
      </c>
      <c r="AI90" s="188">
        <f t="shared" si="60"/>
        <v>838.09964987801095</v>
      </c>
      <c r="AJ90" s="188">
        <f t="shared" si="61"/>
        <v>838.09964987801095</v>
      </c>
      <c r="AK90" s="188">
        <f t="shared" si="50"/>
        <v>-838.09964987801095</v>
      </c>
      <c r="AL90" s="188">
        <f t="shared" si="51"/>
        <v>838.09964987801095</v>
      </c>
      <c r="AM90" s="188">
        <f t="shared" si="52"/>
        <v>838.09964987801095</v>
      </c>
      <c r="AN90" s="188">
        <f t="shared" si="53"/>
        <v>838.09964987801095</v>
      </c>
      <c r="AO90" s="188">
        <f t="shared" si="54"/>
        <v>-838.09964987801095</v>
      </c>
      <c r="AP90" s="188">
        <f t="shared" si="54"/>
        <v>838.09964987801095</v>
      </c>
    </row>
    <row r="91" spans="1:42" s="4" customFormat="1" ht="15.75" thickBot="1" x14ac:dyDescent="0.3">
      <c r="A91" s="1" t="s">
        <v>1025</v>
      </c>
      <c r="B91" s="149" t="s">
        <v>459</v>
      </c>
      <c r="C91" s="192" t="s">
        <v>1122</v>
      </c>
      <c r="E91" s="201">
        <f>'0811'!H91</f>
        <v>1</v>
      </c>
      <c r="F91" s="186">
        <f t="shared" si="41"/>
        <v>-1027.8472992688478</v>
      </c>
      <c r="G91" s="202">
        <v>-3.0413625304099998E-4</v>
      </c>
      <c r="H91" s="202">
        <v>-1</v>
      </c>
      <c r="I91" s="227">
        <v>1</v>
      </c>
      <c r="J91" s="227">
        <v>1</v>
      </c>
      <c r="K91" s="227">
        <v>1</v>
      </c>
      <c r="L91" s="202">
        <v>1</v>
      </c>
      <c r="M91" s="228">
        <v>-7</v>
      </c>
      <c r="N91" s="288">
        <v>42584</v>
      </c>
      <c r="O91">
        <f t="shared" si="42"/>
        <v>-1</v>
      </c>
      <c r="P91">
        <f t="shared" si="55"/>
        <v>1</v>
      </c>
      <c r="Q91">
        <f t="shared" si="43"/>
        <v>-1</v>
      </c>
      <c r="R91">
        <f t="shared" si="44"/>
        <v>-1</v>
      </c>
      <c r="S91">
        <f t="shared" si="45"/>
        <v>-1</v>
      </c>
      <c r="T91">
        <f t="shared" si="46"/>
        <v>1</v>
      </c>
      <c r="U91">
        <f t="shared" si="56"/>
        <v>-1</v>
      </c>
      <c r="V91">
        <v>16</v>
      </c>
      <c r="W91">
        <v>1</v>
      </c>
      <c r="X91" s="354">
        <v>3379561.92</v>
      </c>
      <c r="Y91" s="354">
        <v>12240</v>
      </c>
      <c r="Z91" s="188">
        <f t="shared" si="47"/>
        <v>1027.8472992688478</v>
      </c>
      <c r="AA91" s="188">
        <f>IF(IF(sym!$Q80=H91,1,0)=1,ABS(X91*G91),-ABS(X91*G91))</f>
        <v>1027.8472992688478</v>
      </c>
      <c r="AB91" s="188">
        <f>IF(IF(sym!$P80=$H91,1,0)=1,ABS($X91*$G91),-ABS($X91*$G91))</f>
        <v>-1027.8472992688478</v>
      </c>
      <c r="AC91" s="188">
        <f t="shared" si="62"/>
        <v>-1027.8472992688478</v>
      </c>
      <c r="AD91" s="188">
        <f t="shared" si="48"/>
        <v>1027.8472992688478</v>
      </c>
      <c r="AE91" s="188">
        <f t="shared" si="49"/>
        <v>-1027.8472992688478</v>
      </c>
      <c r="AF91" s="188">
        <f t="shared" si="57"/>
        <v>-1027.8472992688478</v>
      </c>
      <c r="AG91" s="188">
        <f t="shared" si="58"/>
        <v>-1027.8472992688478</v>
      </c>
      <c r="AH91" s="188">
        <f t="shared" si="59"/>
        <v>-1027.8472992688478</v>
      </c>
      <c r="AI91" s="188">
        <f t="shared" si="60"/>
        <v>1027.8472992688478</v>
      </c>
      <c r="AJ91" s="188">
        <f t="shared" si="61"/>
        <v>1027.8472992688478</v>
      </c>
      <c r="AK91" s="188">
        <f t="shared" si="50"/>
        <v>-1027.8472992688478</v>
      </c>
      <c r="AL91" s="188">
        <f t="shared" si="51"/>
        <v>1027.8472992688478</v>
      </c>
      <c r="AM91" s="188">
        <f t="shared" si="52"/>
        <v>1027.8472992688478</v>
      </c>
      <c r="AN91" s="188">
        <f t="shared" si="53"/>
        <v>1027.8472992688478</v>
      </c>
      <c r="AO91" s="188">
        <f t="shared" si="54"/>
        <v>-1027.8472992688478</v>
      </c>
      <c r="AP91" s="188">
        <f t="shared" si="54"/>
        <v>1027.8472992688478</v>
      </c>
    </row>
    <row r="92" spans="1:42" s="4" customFormat="1" ht="15.75" thickBot="1" x14ac:dyDescent="0.3">
      <c r="A92" s="1" t="s">
        <v>1026</v>
      </c>
      <c r="B92" s="149" t="s">
        <v>447</v>
      </c>
      <c r="C92" s="192" t="s">
        <v>1122</v>
      </c>
      <c r="E92" s="201">
        <f>'0811'!H92</f>
        <v>1</v>
      </c>
      <c r="F92" s="186">
        <f t="shared" si="41"/>
        <v>-1682.056758546584</v>
      </c>
      <c r="G92" s="203">
        <v>-5.6045243796799999E-4</v>
      </c>
      <c r="H92" s="203">
        <v>-1</v>
      </c>
      <c r="I92" s="231">
        <v>1</v>
      </c>
      <c r="J92" s="231">
        <v>1</v>
      </c>
      <c r="K92" s="231">
        <v>-1</v>
      </c>
      <c r="L92" s="203">
        <v>1</v>
      </c>
      <c r="M92" s="232">
        <v>3</v>
      </c>
      <c r="N92" s="289">
        <v>42584</v>
      </c>
      <c r="O92">
        <f t="shared" si="42"/>
        <v>1</v>
      </c>
      <c r="P92">
        <f t="shared" si="55"/>
        <v>-1</v>
      </c>
      <c r="Q92">
        <f t="shared" si="43"/>
        <v>1</v>
      </c>
      <c r="R92">
        <f t="shared" si="44"/>
        <v>-1</v>
      </c>
      <c r="S92">
        <f t="shared" si="45"/>
        <v>-1</v>
      </c>
      <c r="T92">
        <f t="shared" si="46"/>
        <v>1</v>
      </c>
      <c r="U92">
        <f t="shared" si="56"/>
        <v>-1</v>
      </c>
      <c r="V92">
        <v>5</v>
      </c>
      <c r="W92">
        <v>1</v>
      </c>
      <c r="X92" s="354">
        <v>3001248</v>
      </c>
      <c r="Y92" s="354">
        <v>12431.25</v>
      </c>
      <c r="Z92" s="188">
        <f t="shared" si="47"/>
        <v>1682.056758546584</v>
      </c>
      <c r="AA92" s="188">
        <f>IF(IF(sym!$Q81=H92,1,0)=1,ABS(X92*G92),-ABS(X92*G92))</f>
        <v>1682.056758546584</v>
      </c>
      <c r="AB92" s="188">
        <f>IF(IF(sym!$P81=$H92,1,0)=1,ABS($X92*$G92),-ABS($X92*$G92))</f>
        <v>-1682.056758546584</v>
      </c>
      <c r="AC92" s="188">
        <f t="shared" si="62"/>
        <v>-1682.056758546584</v>
      </c>
      <c r="AD92" s="188">
        <f t="shared" si="48"/>
        <v>1682.056758546584</v>
      </c>
      <c r="AE92" s="188">
        <f t="shared" si="49"/>
        <v>-1682.056758546584</v>
      </c>
      <c r="AF92" s="188">
        <f t="shared" si="57"/>
        <v>-1682.056758546584</v>
      </c>
      <c r="AG92" s="188">
        <f t="shared" si="58"/>
        <v>1682.056758546584</v>
      </c>
      <c r="AH92" s="188">
        <f t="shared" si="59"/>
        <v>-1682.056758546584</v>
      </c>
      <c r="AI92" s="188">
        <f t="shared" si="60"/>
        <v>1682.056758546584</v>
      </c>
      <c r="AJ92" s="188">
        <f t="shared" si="61"/>
        <v>-1682.056758546584</v>
      </c>
      <c r="AK92" s="188">
        <f t="shared" si="50"/>
        <v>1682.056758546584</v>
      </c>
      <c r="AL92" s="188">
        <f t="shared" si="51"/>
        <v>-1682.056758546584</v>
      </c>
      <c r="AM92" s="188">
        <f t="shared" si="52"/>
        <v>1682.056758546584</v>
      </c>
      <c r="AN92" s="188">
        <f t="shared" si="53"/>
        <v>1682.056758546584</v>
      </c>
      <c r="AO92" s="188">
        <f t="shared" si="54"/>
        <v>-1682.056758546584</v>
      </c>
      <c r="AP92" s="188">
        <f t="shared" si="54"/>
        <v>1682.056758546584</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3">COUNTIF(AA14:AA92,"&gt;0")/$B$10</f>
        <v>0.49295774647887325</v>
      </c>
      <c r="AB94" s="193">
        <f t="shared" si="63"/>
        <v>0.47887323943661969</v>
      </c>
      <c r="AC94" s="193">
        <f t="shared" si="63"/>
        <v>0.43661971830985913</v>
      </c>
      <c r="AD94" s="193">
        <f t="shared" si="63"/>
        <v>0.53521126760563376</v>
      </c>
      <c r="AE94" s="193">
        <f t="shared" si="63"/>
        <v>0.46478873239436619</v>
      </c>
      <c r="AF94" s="193">
        <f t="shared" si="63"/>
        <v>0.42253521126760563</v>
      </c>
      <c r="AG94" s="193">
        <f t="shared" si="63"/>
        <v>0.46478873239436619</v>
      </c>
      <c r="AH94" s="193">
        <f t="shared" si="63"/>
        <v>0.50704225352112675</v>
      </c>
      <c r="AI94" s="193">
        <f t="shared" si="63"/>
        <v>0.46478873239436619</v>
      </c>
      <c r="AJ94" s="193">
        <f t="shared" si="63"/>
        <v>0.46478873239436619</v>
      </c>
      <c r="AK94" s="193">
        <f t="shared" si="63"/>
        <v>0.43661971830985913</v>
      </c>
      <c r="AL94" s="193">
        <f t="shared" si="63"/>
        <v>0.47887323943661969</v>
      </c>
      <c r="AM94" s="193">
        <f t="shared" si="63"/>
        <v>0.47887323943661969</v>
      </c>
      <c r="AN94" s="193">
        <f t="shared" si="63"/>
        <v>0.45070422535211269</v>
      </c>
      <c r="AO94" s="193">
        <f t="shared" si="63"/>
        <v>0.49295774647887325</v>
      </c>
      <c r="AP94" s="193">
        <f t="shared" si="63"/>
        <v>0.53521126760563376</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BI12" sqref="BI1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1294</v>
      </c>
      <c r="K1" s="6" t="str">
        <f>E12&amp;" l% "&amp;ROUND(E13*100,2)&amp;"%"</f>
        <v>prev ACT l% 54.43%</v>
      </c>
      <c r="L1" s="265" t="str">
        <f>I12&amp;" l% "&amp;ROUND(I13*100,2)&amp;"%"</f>
        <v>50/50 l% 55.7%</v>
      </c>
      <c r="M1" s="265" t="str">
        <f>J12&amp;" l% "&amp;ROUND(J13*100,2)&amp;"%"</f>
        <v>&gt;equity l% 39.24%</v>
      </c>
      <c r="N1" s="265" t="str">
        <f>K12&amp;" l% "&amp;ROUND(K13*100,2)&amp;"%"</f>
        <v>&lt;equity l% 58.23%</v>
      </c>
      <c r="O1" s="265" t="str">
        <f>L12&amp;" l% "&amp;ROUND(L13*100,2)&amp;"%"</f>
        <v>SEA1 l% 56.96%</v>
      </c>
      <c r="P1" s="265" t="str">
        <f t="shared" ref="P1:V1" si="0">O12&amp;" l% "&amp;ROUND(O13*100,2)&amp;"%"</f>
        <v>SEA-ADJ l% 54.43%</v>
      </c>
      <c r="Q1" s="265" t="str">
        <f t="shared" si="0"/>
        <v>v1 l% 58.23%</v>
      </c>
      <c r="R1" s="265" t="str">
        <f t="shared" si="0"/>
        <v>v2 l% 41.77%</v>
      </c>
      <c r="S1" s="265" t="str">
        <f t="shared" si="0"/>
        <v>v3 l% 41.77%</v>
      </c>
      <c r="T1" s="265" t="str">
        <f t="shared" si="0"/>
        <v>v4 l% 44.3%</v>
      </c>
      <c r="U1" s="265" t="str">
        <f t="shared" si="0"/>
        <v>v5 l% 41.77%</v>
      </c>
      <c r="V1" s="265" t="str">
        <f t="shared" si="0"/>
        <v>v6 l% 40.51%</v>
      </c>
      <c r="W1" s="6"/>
      <c r="X1" s="285"/>
      <c r="Z1" s="331" t="str">
        <f t="shared" ref="Z1:AP1" si="1">Z12</f>
        <v>MAX ACC 100% PNL 103344</v>
      </c>
      <c r="AA1" s="332" t="str">
        <f t="shared" si="1"/>
        <v>RISK-ON ACC 66% PNL 57317</v>
      </c>
      <c r="AB1" s="332" t="str">
        <f t="shared" si="1"/>
        <v>RISK-OFF ACC 34% PNL -57317</v>
      </c>
      <c r="AC1" s="332" t="str">
        <f t="shared" si="1"/>
        <v>Previous ACC 38% PNL -50775</v>
      </c>
      <c r="AD1" s="295" t="str">
        <f t="shared" si="1"/>
        <v>Anti-Previous ACC 62% PNL 50775</v>
      </c>
      <c r="AE1" s="333" t="str">
        <f t="shared" si="1"/>
        <v>&gt;equity ACC 41% PNL -2809</v>
      </c>
      <c r="AF1" s="333" t="str">
        <f t="shared" si="1"/>
        <v>50/50 ACC 54% PNL 14505</v>
      </c>
      <c r="AG1" s="333" t="str">
        <f t="shared" si="1"/>
        <v>&lt;equity ACC 54% PNL 8895</v>
      </c>
      <c r="AH1" s="334" t="str">
        <f t="shared" si="1"/>
        <v>SEASONALITY ACC 41% PNL -30694</v>
      </c>
      <c r="AI1" s="334" t="str">
        <f t="shared" si="1"/>
        <v>ANTI-SEASONALITY ACC 59% PNL 30694</v>
      </c>
      <c r="AJ1" s="334" t="str">
        <f t="shared" si="1"/>
        <v>ADJ_SEASONALITY ACC 65% PNL 23016</v>
      </c>
      <c r="AK1" s="335" t="str">
        <f t="shared" si="1"/>
        <v>V1 ACC 51% PNL -5234</v>
      </c>
      <c r="AL1" s="335" t="str">
        <f t="shared" si="1"/>
        <v>V2 ACC 59% PNL 38559</v>
      </c>
      <c r="AM1" s="335" t="str">
        <f t="shared" si="1"/>
        <v>V3 ACC 63% PNL 48011</v>
      </c>
      <c r="AN1" s="335" t="str">
        <f t="shared" si="1"/>
        <v>V4 ACC 61% PNL 43874</v>
      </c>
      <c r="AO1" s="335" t="str">
        <f t="shared" si="1"/>
        <v>V5 ACC 37% PNL -36175</v>
      </c>
      <c r="AP1" s="335" t="str">
        <f t="shared" si="1"/>
        <v>V6 ACC 58% PNL 40544</v>
      </c>
    </row>
    <row r="2" spans="1:42" outlineLevel="1" x14ac:dyDescent="0.25">
      <c r="A2" t="s">
        <v>1121</v>
      </c>
      <c r="B2" s="95">
        <f>COUNTIF($C$14:$C$92,A2)</f>
        <v>9</v>
      </c>
      <c r="C2" s="193">
        <f>B2/$B$10</f>
        <v>0.12676056338028169</v>
      </c>
      <c r="F2" s="294">
        <f t="shared" ref="F2:F9" si="2">SUMIFS(H$14:H$92,H$14:H$92,1,$C$14:$C$92,A2)/$B2</f>
        <v>0.55555555555555558</v>
      </c>
      <c r="G2" s="137">
        <f t="shared" ref="G2:G9" si="3">SUMIF($C$14:$C$92,A2,Z$14:Z$92)</f>
        <v>9247.7182347227881</v>
      </c>
      <c r="H2" s="143">
        <f t="shared" ref="H2:H10" si="4">G2/$B2</f>
        <v>1027.524248302532</v>
      </c>
      <c r="I2" s="186">
        <f>SUMIF($C$14:$C$92,A2,F$14:F$92)/B2</f>
        <v>214.05694498459221</v>
      </c>
      <c r="J2" t="str">
        <f t="shared" ref="J2:J9" si="5">A2</f>
        <v>currency</v>
      </c>
      <c r="K2" s="342">
        <f t="shared" ref="K2:K9" si="6">SUMIF($C$14:$C$92,$A2,E$14:E$92)/$B2</f>
        <v>0.77777777777777779</v>
      </c>
      <c r="L2" s="342">
        <f t="shared" ref="L2:O9" si="7">SUMIF($C$14:$C$92,$A2,I$14:I$92)/$B2</f>
        <v>0.1111111111111111</v>
      </c>
      <c r="M2" s="342">
        <f t="shared" si="7"/>
        <v>-0.1111111111111111</v>
      </c>
      <c r="N2" s="342">
        <f t="shared" si="7"/>
        <v>-0.1111111111111111</v>
      </c>
      <c r="O2" s="342">
        <f t="shared" si="7"/>
        <v>-0.33333333333333331</v>
      </c>
      <c r="P2" s="342">
        <f t="shared" ref="P2:V9" si="8">SUMIF($C$14:$C$92,$A2,O$14:O$92)/$B2</f>
        <v>0.33333333333333331</v>
      </c>
      <c r="Q2" s="342">
        <f t="shared" si="8"/>
        <v>0.55555555555555558</v>
      </c>
      <c r="R2" s="342">
        <f t="shared" si="8"/>
        <v>-0.33333333333333331</v>
      </c>
      <c r="S2" s="342">
        <f t="shared" si="8"/>
        <v>-0.33333333333333331</v>
      </c>
      <c r="T2" s="342">
        <f t="shared" si="8"/>
        <v>0.1111111111111111</v>
      </c>
      <c r="U2" s="342">
        <f t="shared" si="8"/>
        <v>-0.1111111111111111</v>
      </c>
      <c r="V2" s="342">
        <f t="shared" si="8"/>
        <v>-0.33333333333333331</v>
      </c>
      <c r="W2" s="286"/>
      <c r="X2" s="6"/>
      <c r="Y2" t="s">
        <v>1121</v>
      </c>
      <c r="Z2" s="282">
        <f t="shared" ref="Z2:AP9" si="9">SUMIF($C$14:$C$92,$Y2,Z$14:Z$92)</f>
        <v>9247.7182347227881</v>
      </c>
      <c r="AA2" s="282">
        <f t="shared" si="9"/>
        <v>3088.5709976328503</v>
      </c>
      <c r="AB2" s="282">
        <f t="shared" si="9"/>
        <v>-3088.5709976328503</v>
      </c>
      <c r="AC2" s="282">
        <f t="shared" si="9"/>
        <v>82.086097032594381</v>
      </c>
      <c r="AD2" s="282">
        <f t="shared" si="9"/>
        <v>-82.086097032594381</v>
      </c>
      <c r="AE2" s="282">
        <f t="shared" si="9"/>
        <v>-8707.6344157486656</v>
      </c>
      <c r="AF2" s="282">
        <f t="shared" si="9"/>
        <v>-2721.3963488912259</v>
      </c>
      <c r="AG2" s="282">
        <f t="shared" si="9"/>
        <v>-290.97482362722047</v>
      </c>
      <c r="AH2" s="282">
        <f t="shared" si="9"/>
        <v>-6762.9516864934021</v>
      </c>
      <c r="AI2" s="282">
        <f>SUMIF($C$14:$C$92,$Y2,AI$14:AI$92)</f>
        <v>6762.9516864934021</v>
      </c>
      <c r="AJ2" s="282">
        <f t="shared" si="9"/>
        <v>1853.6600623110671</v>
      </c>
      <c r="AK2" s="282">
        <f t="shared" si="9"/>
        <v>2512.5076222965995</v>
      </c>
      <c r="AL2" s="282">
        <f t="shared" si="9"/>
        <v>-2788.3625195232985</v>
      </c>
      <c r="AM2" s="282">
        <f t="shared" si="9"/>
        <v>3959.4692405695814</v>
      </c>
      <c r="AN2" s="282">
        <f t="shared" si="9"/>
        <v>1253.1928180788773</v>
      </c>
      <c r="AO2" s="282">
        <f t="shared" si="9"/>
        <v>-1553.4515842015153</v>
      </c>
      <c r="AP2" s="282">
        <f t="shared" si="9"/>
        <v>-1426.3015820556666</v>
      </c>
    </row>
    <row r="3" spans="1:42" outlineLevel="1" x14ac:dyDescent="0.25">
      <c r="A3" s="1" t="s">
        <v>288</v>
      </c>
      <c r="B3" s="95">
        <f t="shared" ref="B3:B9" si="10">COUNTIF($C$14:$C$92,A3)</f>
        <v>6</v>
      </c>
      <c r="C3" s="193">
        <f t="shared" ref="C3:C10" si="11">B3/$B$10</f>
        <v>8.4507042253521125E-2</v>
      </c>
      <c r="F3" s="294">
        <f t="shared" si="2"/>
        <v>0.83333333333333337</v>
      </c>
      <c r="G3" s="137">
        <f t="shared" si="3"/>
        <v>22547.543475397459</v>
      </c>
      <c r="H3" s="143">
        <f t="shared" si="4"/>
        <v>3757.923912566243</v>
      </c>
      <c r="I3" s="186">
        <f t="shared" ref="I3:I9" si="12">SUMIF($C$14:$C$92,A3,F$14:F$92)/B3</f>
        <v>3658.3143850378688</v>
      </c>
      <c r="J3" t="str">
        <f t="shared" si="5"/>
        <v>energy</v>
      </c>
      <c r="K3" s="342">
        <f t="shared" si="6"/>
        <v>-1</v>
      </c>
      <c r="L3" s="342">
        <f t="shared" si="7"/>
        <v>0</v>
      </c>
      <c r="M3" s="342">
        <f t="shared" si="7"/>
        <v>0.33333333333333331</v>
      </c>
      <c r="N3" s="342">
        <f t="shared" si="7"/>
        <v>0</v>
      </c>
      <c r="O3" s="342">
        <f t="shared" si="7"/>
        <v>-0.66666666666666663</v>
      </c>
      <c r="P3" s="342">
        <f t="shared" si="8"/>
        <v>0.33333333333333331</v>
      </c>
      <c r="Q3" s="342">
        <f t="shared" si="8"/>
        <v>-0.33333333333333331</v>
      </c>
      <c r="R3" s="342">
        <f t="shared" si="8"/>
        <v>1</v>
      </c>
      <c r="S3" s="342">
        <f t="shared" si="8"/>
        <v>1</v>
      </c>
      <c r="T3" s="342">
        <f t="shared" si="8"/>
        <v>1</v>
      </c>
      <c r="U3" s="342">
        <f t="shared" si="8"/>
        <v>-0.33333333333333331</v>
      </c>
      <c r="V3" s="342">
        <f t="shared" si="8"/>
        <v>1</v>
      </c>
      <c r="W3" s="286"/>
      <c r="X3" s="6"/>
      <c r="Y3" s="1" t="s">
        <v>288</v>
      </c>
      <c r="Z3" s="282">
        <f t="shared" si="9"/>
        <v>22547.543475397459</v>
      </c>
      <c r="AA3" s="282">
        <f t="shared" si="9"/>
        <v>21949.886310227212</v>
      </c>
      <c r="AB3" s="282">
        <f t="shared" si="9"/>
        <v>-21949.886310227212</v>
      </c>
      <c r="AC3" s="282">
        <f t="shared" si="9"/>
        <v>-21949.886310227212</v>
      </c>
      <c r="AD3" s="282">
        <f t="shared" si="9"/>
        <v>21949.886310227212</v>
      </c>
      <c r="AE3" s="282">
        <f t="shared" si="9"/>
        <v>3602.3719485110696</v>
      </c>
      <c r="AF3" s="282">
        <f t="shared" si="9"/>
        <v>4957.2041019632115</v>
      </c>
      <c r="AG3" s="282">
        <f t="shared" si="9"/>
        <v>4957.2041019632115</v>
      </c>
      <c r="AH3" s="282">
        <f t="shared" si="9"/>
        <v>-10214.37144371445</v>
      </c>
      <c r="AI3" s="282">
        <f t="shared" si="9"/>
        <v>10214.37144371445</v>
      </c>
      <c r="AJ3" s="282">
        <f t="shared" si="9"/>
        <v>15556.993313581974</v>
      </c>
      <c r="AK3" s="282">
        <f t="shared" si="9"/>
        <v>-6778.3107645495475</v>
      </c>
      <c r="AL3" s="282">
        <f t="shared" si="9"/>
        <v>21949.886310227212</v>
      </c>
      <c r="AM3" s="282">
        <f t="shared" si="9"/>
        <v>21949.886310227212</v>
      </c>
      <c r="AN3" s="282">
        <f t="shared" si="9"/>
        <v>21949.886310227212</v>
      </c>
      <c r="AO3" s="282">
        <f t="shared" si="9"/>
        <v>-15556.993313581974</v>
      </c>
      <c r="AP3" s="282">
        <f t="shared" si="9"/>
        <v>21949.886310227212</v>
      </c>
    </row>
    <row r="4" spans="1:42" outlineLevel="1" x14ac:dyDescent="0.25">
      <c r="A4" s="1" t="s">
        <v>297</v>
      </c>
      <c r="B4" s="95">
        <f t="shared" si="10"/>
        <v>10</v>
      </c>
      <c r="C4" s="193">
        <f t="shared" si="11"/>
        <v>0.14084507042253522</v>
      </c>
      <c r="F4" s="294">
        <f t="shared" si="2"/>
        <v>0.5</v>
      </c>
      <c r="G4" s="137">
        <f t="shared" si="3"/>
        <v>6126.3140465757715</v>
      </c>
      <c r="H4" s="143">
        <f t="shared" si="4"/>
        <v>612.63140465757715</v>
      </c>
      <c r="I4" s="186">
        <f t="shared" si="12"/>
        <v>-233.10484250025274</v>
      </c>
      <c r="J4" t="str">
        <f t="shared" si="5"/>
        <v>grain</v>
      </c>
      <c r="K4" s="342">
        <f t="shared" si="6"/>
        <v>0.2</v>
      </c>
      <c r="L4" s="342">
        <f t="shared" si="7"/>
        <v>0</v>
      </c>
      <c r="M4" s="342">
        <f t="shared" si="7"/>
        <v>-0.2</v>
      </c>
      <c r="N4" s="342">
        <f t="shared" si="7"/>
        <v>0.2</v>
      </c>
      <c r="O4" s="342">
        <f t="shared" si="7"/>
        <v>0.8</v>
      </c>
      <c r="P4" s="342">
        <f t="shared" si="8"/>
        <v>-0.4</v>
      </c>
      <c r="Q4" s="342">
        <f t="shared" si="8"/>
        <v>0</v>
      </c>
      <c r="R4" s="342">
        <f t="shared" si="8"/>
        <v>-0.6</v>
      </c>
      <c r="S4" s="342">
        <f t="shared" si="8"/>
        <v>-0.8</v>
      </c>
      <c r="T4" s="342">
        <f t="shared" si="8"/>
        <v>-1</v>
      </c>
      <c r="U4" s="342">
        <f t="shared" si="8"/>
        <v>0.2</v>
      </c>
      <c r="V4" s="342">
        <f t="shared" si="8"/>
        <v>-0.6</v>
      </c>
      <c r="W4" s="286"/>
      <c r="X4" s="6"/>
      <c r="Y4" s="1" t="s">
        <v>297</v>
      </c>
      <c r="Z4" s="282">
        <f t="shared" si="9"/>
        <v>6126.3140465757715</v>
      </c>
      <c r="AA4" s="282">
        <f t="shared" si="9"/>
        <v>-2331.0484250025274</v>
      </c>
      <c r="AB4" s="282">
        <f t="shared" si="9"/>
        <v>2331.0484250025274</v>
      </c>
      <c r="AC4" s="282">
        <f t="shared" si="9"/>
        <v>2748.9562990326663</v>
      </c>
      <c r="AD4" s="282">
        <f t="shared" si="9"/>
        <v>-2748.9562990326663</v>
      </c>
      <c r="AE4" s="282">
        <f t="shared" si="9"/>
        <v>845.82631327139143</v>
      </c>
      <c r="AF4" s="282">
        <f t="shared" si="9"/>
        <v>-1844.6490379860825</v>
      </c>
      <c r="AG4" s="282">
        <f t="shared" si="9"/>
        <v>-515.57120116141641</v>
      </c>
      <c r="AH4" s="282">
        <f t="shared" si="9"/>
        <v>-3660.1262618271935</v>
      </c>
      <c r="AI4" s="282">
        <f t="shared" si="9"/>
        <v>3660.1262618271935</v>
      </c>
      <c r="AJ4" s="282">
        <f t="shared" si="9"/>
        <v>2115.7875261351214</v>
      </c>
      <c r="AK4" s="282">
        <f t="shared" si="9"/>
        <v>3496.1409837166043</v>
      </c>
      <c r="AL4" s="282">
        <f t="shared" si="9"/>
        <v>1342.7074156848512</v>
      </c>
      <c r="AM4" s="282">
        <f t="shared" si="9"/>
        <v>-1680.6637598754928</v>
      </c>
      <c r="AN4" s="282">
        <f t="shared" si="9"/>
        <v>2331.0484250025274</v>
      </c>
      <c r="AO4" s="282">
        <f t="shared" si="9"/>
        <v>1895.9246587428993</v>
      </c>
      <c r="AP4" s="282">
        <f t="shared" si="9"/>
        <v>1342.7074156848512</v>
      </c>
    </row>
    <row r="5" spans="1:42" outlineLevel="1" x14ac:dyDescent="0.25">
      <c r="A5" s="1" t="s">
        <v>294</v>
      </c>
      <c r="B5" s="95">
        <f t="shared" si="10"/>
        <v>21</v>
      </c>
      <c r="C5" s="193">
        <f t="shared" si="11"/>
        <v>0.29577464788732394</v>
      </c>
      <c r="F5" s="294">
        <f t="shared" si="2"/>
        <v>0.8571428571428571</v>
      </c>
      <c r="G5" s="137">
        <f t="shared" si="3"/>
        <v>32823.447033748846</v>
      </c>
      <c r="H5" s="143">
        <f t="shared" si="4"/>
        <v>1563.0212873213736</v>
      </c>
      <c r="I5" s="186">
        <f t="shared" si="12"/>
        <v>1211.6065723368499</v>
      </c>
      <c r="J5" t="str">
        <f t="shared" si="5"/>
        <v>index</v>
      </c>
      <c r="K5" s="342">
        <f t="shared" si="6"/>
        <v>-0.42857142857142855</v>
      </c>
      <c r="L5" s="342">
        <f t="shared" si="7"/>
        <v>4.7619047619047616E-2</v>
      </c>
      <c r="M5" s="342">
        <f t="shared" si="7"/>
        <v>-0.61904761904761907</v>
      </c>
      <c r="N5" s="342">
        <f t="shared" si="7"/>
        <v>4.7619047619047616E-2</v>
      </c>
      <c r="O5" s="342">
        <f t="shared" si="7"/>
        <v>4.7619047619047616E-2</v>
      </c>
      <c r="P5" s="342">
        <f t="shared" si="8"/>
        <v>0.23809523809523808</v>
      </c>
      <c r="Q5" s="342">
        <f t="shared" si="8"/>
        <v>-0.14285714285714285</v>
      </c>
      <c r="R5" s="342">
        <f t="shared" si="8"/>
        <v>-4.7619047619047616E-2</v>
      </c>
      <c r="S5" s="342">
        <f t="shared" si="8"/>
        <v>0.14285714285714285</v>
      </c>
      <c r="T5" s="342">
        <f t="shared" si="8"/>
        <v>-4.7619047619047616E-2</v>
      </c>
      <c r="U5" s="342">
        <f t="shared" si="8"/>
        <v>-0.33333333333333331</v>
      </c>
      <c r="V5" s="342">
        <f t="shared" si="8"/>
        <v>-0.14285714285714285</v>
      </c>
      <c r="W5" s="286"/>
      <c r="X5" s="6"/>
      <c r="Y5" s="1" t="s">
        <v>294</v>
      </c>
      <c r="Z5" s="282">
        <f t="shared" si="9"/>
        <v>32823.447033748846</v>
      </c>
      <c r="AA5" s="282">
        <f t="shared" si="9"/>
        <v>27200.048690114876</v>
      </c>
      <c r="AB5" s="282">
        <f t="shared" si="9"/>
        <v>-27200.048690114876</v>
      </c>
      <c r="AC5" s="282">
        <f t="shared" si="9"/>
        <v>-11829.1271496353</v>
      </c>
      <c r="AD5" s="282">
        <f t="shared" si="9"/>
        <v>11829.1271496353</v>
      </c>
      <c r="AE5" s="282">
        <f t="shared" si="9"/>
        <v>-21065.770540784404</v>
      </c>
      <c r="AF5" s="282">
        <f t="shared" si="9"/>
        <v>344.33049763721419</v>
      </c>
      <c r="AG5" s="282">
        <f t="shared" si="9"/>
        <v>344.33049763721419</v>
      </c>
      <c r="AH5" s="282">
        <f t="shared" si="9"/>
        <v>-7524.10122435417</v>
      </c>
      <c r="AI5" s="282">
        <f t="shared" si="9"/>
        <v>7524.10122435417</v>
      </c>
      <c r="AJ5" s="282">
        <f t="shared" si="9"/>
        <v>8794.588355890126</v>
      </c>
      <c r="AK5" s="282">
        <f t="shared" si="9"/>
        <v>5353.3668742636619</v>
      </c>
      <c r="AL5" s="282">
        <f t="shared" si="9"/>
        <v>-3501.038251098425</v>
      </c>
      <c r="AM5" s="282">
        <f t="shared" si="9"/>
        <v>2515.0648477277259</v>
      </c>
      <c r="AN5" s="282">
        <f t="shared" si="9"/>
        <v>-2125.3152218893556</v>
      </c>
      <c r="AO5" s="282">
        <f t="shared" si="9"/>
        <v>-8338.6691853648663</v>
      </c>
      <c r="AP5" s="282">
        <f t="shared" si="9"/>
        <v>-2869.2116235760654</v>
      </c>
    </row>
    <row r="6" spans="1:42" outlineLevel="1" x14ac:dyDescent="0.25">
      <c r="A6" s="1" t="s">
        <v>313</v>
      </c>
      <c r="B6" s="95">
        <f t="shared" si="10"/>
        <v>3</v>
      </c>
      <c r="C6" s="193">
        <f t="shared" si="11"/>
        <v>4.2253521126760563E-2</v>
      </c>
      <c r="F6" s="294">
        <f t="shared" si="2"/>
        <v>0</v>
      </c>
      <c r="G6" s="137">
        <f t="shared" si="3"/>
        <v>2581.6778466477563</v>
      </c>
      <c r="H6" s="143">
        <f t="shared" si="4"/>
        <v>860.55928221591876</v>
      </c>
      <c r="I6" s="186">
        <f t="shared" si="12"/>
        <v>-860.55928221591876</v>
      </c>
      <c r="J6" t="str">
        <f t="shared" si="5"/>
        <v>meat</v>
      </c>
      <c r="K6" s="342">
        <f t="shared" si="6"/>
        <v>-0.33333333333333331</v>
      </c>
      <c r="L6" s="342">
        <f t="shared" si="7"/>
        <v>0.33333333333333331</v>
      </c>
      <c r="M6" s="342">
        <f t="shared" si="7"/>
        <v>0.33333333333333331</v>
      </c>
      <c r="N6" s="342">
        <f t="shared" si="7"/>
        <v>0.33333333333333331</v>
      </c>
      <c r="O6" s="342">
        <f t="shared" si="7"/>
        <v>-1</v>
      </c>
      <c r="P6" s="342">
        <f t="shared" si="8"/>
        <v>-1</v>
      </c>
      <c r="Q6" s="342">
        <f t="shared" si="8"/>
        <v>1</v>
      </c>
      <c r="R6" s="342">
        <f t="shared" si="8"/>
        <v>-0.33333333333333331</v>
      </c>
      <c r="S6" s="342">
        <f t="shared" si="8"/>
        <v>0.33333333333333331</v>
      </c>
      <c r="T6" s="342">
        <f t="shared" si="8"/>
        <v>0.33333333333333331</v>
      </c>
      <c r="U6" s="342">
        <f t="shared" si="8"/>
        <v>-0.33333333333333331</v>
      </c>
      <c r="V6" s="342">
        <f t="shared" si="8"/>
        <v>1</v>
      </c>
      <c r="W6" s="286"/>
      <c r="X6" s="6"/>
      <c r="Y6" s="1" t="s">
        <v>313</v>
      </c>
      <c r="Z6" s="282">
        <f t="shared" si="9"/>
        <v>2581.6778466477563</v>
      </c>
      <c r="AA6" s="282">
        <f t="shared" si="9"/>
        <v>-2581.6778466477563</v>
      </c>
      <c r="AB6" s="282">
        <f t="shared" si="9"/>
        <v>2581.6778466477563</v>
      </c>
      <c r="AC6" s="282">
        <f t="shared" si="9"/>
        <v>1273.9881476231924</v>
      </c>
      <c r="AD6" s="282">
        <f t="shared" si="9"/>
        <v>-1273.9881476231924</v>
      </c>
      <c r="AE6" s="282">
        <f t="shared" si="9"/>
        <v>376.92484546826358</v>
      </c>
      <c r="AF6" s="282">
        <f t="shared" si="9"/>
        <v>-1273.9881476231924</v>
      </c>
      <c r="AG6" s="282">
        <f t="shared" si="9"/>
        <v>-1273.9881476231924</v>
      </c>
      <c r="AH6" s="282">
        <f t="shared" si="9"/>
        <v>2581.6778466477563</v>
      </c>
      <c r="AI6" s="282">
        <f t="shared" si="9"/>
        <v>-2581.6778466477563</v>
      </c>
      <c r="AJ6" s="282">
        <f t="shared" si="9"/>
        <v>2581.6778466477563</v>
      </c>
      <c r="AK6" s="282">
        <f t="shared" si="9"/>
        <v>-2581.6778466477563</v>
      </c>
      <c r="AL6" s="282">
        <f t="shared" si="9"/>
        <v>1684.6145444928277</v>
      </c>
      <c r="AM6" s="282">
        <f t="shared" si="9"/>
        <v>-1273.9881476231924</v>
      </c>
      <c r="AN6" s="282">
        <f t="shared" si="9"/>
        <v>-1273.9881476231924</v>
      </c>
      <c r="AO6" s="282">
        <f t="shared" si="9"/>
        <v>1273.9881476231924</v>
      </c>
      <c r="AP6" s="282">
        <f t="shared" si="9"/>
        <v>-2581.6778466477563</v>
      </c>
    </row>
    <row r="7" spans="1:42" outlineLevel="1" x14ac:dyDescent="0.25">
      <c r="A7" s="1" t="s">
        <v>347</v>
      </c>
      <c r="B7" s="95">
        <f t="shared" si="10"/>
        <v>5</v>
      </c>
      <c r="C7" s="193">
        <f t="shared" si="11"/>
        <v>7.0422535211267609E-2</v>
      </c>
      <c r="F7" s="294">
        <f t="shared" si="2"/>
        <v>0.2</v>
      </c>
      <c r="G7" s="137">
        <f t="shared" si="3"/>
        <v>11809.182681562605</v>
      </c>
      <c r="H7" s="143">
        <f t="shared" si="4"/>
        <v>2361.8365363125208</v>
      </c>
      <c r="I7" s="186">
        <f t="shared" si="12"/>
        <v>-1756.3091295872371</v>
      </c>
      <c r="J7" t="str">
        <f t="shared" si="5"/>
        <v>metal</v>
      </c>
      <c r="K7" s="342">
        <f t="shared" si="6"/>
        <v>1</v>
      </c>
      <c r="L7" s="342">
        <f t="shared" si="7"/>
        <v>-0.2</v>
      </c>
      <c r="M7" s="342">
        <f t="shared" si="7"/>
        <v>-0.2</v>
      </c>
      <c r="N7" s="342">
        <f t="shared" si="7"/>
        <v>-0.2</v>
      </c>
      <c r="O7" s="342">
        <f t="shared" si="7"/>
        <v>-0.6</v>
      </c>
      <c r="P7" s="342">
        <f t="shared" si="8"/>
        <v>-0.2</v>
      </c>
      <c r="Q7" s="342">
        <f t="shared" si="8"/>
        <v>0.6</v>
      </c>
      <c r="R7" s="342">
        <f t="shared" si="8"/>
        <v>-1</v>
      </c>
      <c r="S7" s="342">
        <f t="shared" si="8"/>
        <v>-0.2</v>
      </c>
      <c r="T7" s="342">
        <f t="shared" si="8"/>
        <v>-0.2</v>
      </c>
      <c r="U7" s="342">
        <f t="shared" si="8"/>
        <v>0.6</v>
      </c>
      <c r="V7" s="342">
        <f t="shared" si="8"/>
        <v>-0.6</v>
      </c>
      <c r="W7" s="286"/>
      <c r="X7" s="6"/>
      <c r="Y7" s="1" t="s">
        <v>347</v>
      </c>
      <c r="Z7" s="282">
        <f t="shared" si="9"/>
        <v>11809.182681562605</v>
      </c>
      <c r="AA7" s="282">
        <f t="shared" si="9"/>
        <v>-1371.588243545212</v>
      </c>
      <c r="AB7" s="282">
        <f t="shared" si="9"/>
        <v>1371.588243545212</v>
      </c>
      <c r="AC7" s="282">
        <f t="shared" si="9"/>
        <v>-8781.5456479361856</v>
      </c>
      <c r="AD7" s="282">
        <f t="shared" si="9"/>
        <v>8781.5456479361856</v>
      </c>
      <c r="AE7" s="282">
        <f t="shared" si="9"/>
        <v>11050.250807900804</v>
      </c>
      <c r="AF7" s="282">
        <f t="shared" si="9"/>
        <v>6647.0019698710066</v>
      </c>
      <c r="AG7" s="282">
        <f t="shared" si="9"/>
        <v>2130.5201172070119</v>
      </c>
      <c r="AH7" s="282">
        <f t="shared" si="9"/>
        <v>8022.6137742743858</v>
      </c>
      <c r="AI7" s="282">
        <f t="shared" si="9"/>
        <v>-8022.6137742743858</v>
      </c>
      <c r="AJ7" s="282">
        <f t="shared" si="9"/>
        <v>-9561.4059888632291</v>
      </c>
      <c r="AK7" s="282">
        <f t="shared" si="9"/>
        <v>-8022.6137742743858</v>
      </c>
      <c r="AL7" s="282">
        <f t="shared" si="9"/>
        <v>8781.5456479361856</v>
      </c>
      <c r="AM7" s="282">
        <f t="shared" si="9"/>
        <v>6647.0019698710066</v>
      </c>
      <c r="AN7" s="282">
        <f t="shared" si="9"/>
        <v>6647.0019698710066</v>
      </c>
      <c r="AO7" s="282">
        <f t="shared" si="9"/>
        <v>-3619.3649362445876</v>
      </c>
      <c r="AP7" s="282">
        <f t="shared" si="9"/>
        <v>11809.182681562605</v>
      </c>
    </row>
    <row r="8" spans="1:42" outlineLevel="1" x14ac:dyDescent="0.25">
      <c r="A8" s="1" t="s">
        <v>1122</v>
      </c>
      <c r="B8" s="95">
        <f t="shared" si="10"/>
        <v>10</v>
      </c>
      <c r="C8" s="193">
        <f t="shared" si="11"/>
        <v>0.14084507042253522</v>
      </c>
      <c r="F8" s="294">
        <f t="shared" si="2"/>
        <v>0.4</v>
      </c>
      <c r="G8" s="137">
        <f t="shared" si="3"/>
        <v>13942.777238663286</v>
      </c>
      <c r="H8" s="143">
        <f t="shared" si="4"/>
        <v>1394.2777238663286</v>
      </c>
      <c r="I8" s="186">
        <f t="shared" si="12"/>
        <v>-1198.6884755607728</v>
      </c>
      <c r="J8" t="str">
        <f t="shared" si="5"/>
        <v>rates</v>
      </c>
      <c r="K8" s="342">
        <f t="shared" si="6"/>
        <v>1</v>
      </c>
      <c r="L8" s="342">
        <f t="shared" si="7"/>
        <v>-0.2</v>
      </c>
      <c r="M8" s="342">
        <f t="shared" si="7"/>
        <v>-0.4</v>
      </c>
      <c r="N8" s="342">
        <f t="shared" si="7"/>
        <v>0.2</v>
      </c>
      <c r="O8" s="342">
        <f t="shared" si="7"/>
        <v>0.8</v>
      </c>
      <c r="P8" s="342">
        <f t="shared" si="8"/>
        <v>0.6</v>
      </c>
      <c r="Q8" s="342">
        <f t="shared" si="8"/>
        <v>0.4</v>
      </c>
      <c r="R8" s="342">
        <f t="shared" si="8"/>
        <v>-0.4</v>
      </c>
      <c r="S8" s="342">
        <f t="shared" si="8"/>
        <v>-1</v>
      </c>
      <c r="T8" s="342">
        <f t="shared" si="8"/>
        <v>-0.6</v>
      </c>
      <c r="U8" s="342">
        <f t="shared" si="8"/>
        <v>0</v>
      </c>
      <c r="V8" s="342">
        <f t="shared" si="8"/>
        <v>-0.8</v>
      </c>
      <c r="W8" s="286"/>
      <c r="X8" s="6"/>
      <c r="Y8" s="1" t="s">
        <v>1122</v>
      </c>
      <c r="Z8" s="282">
        <f t="shared" si="9"/>
        <v>13942.777238663286</v>
      </c>
      <c r="AA8" s="282">
        <f t="shared" si="9"/>
        <v>11986.884755607727</v>
      </c>
      <c r="AB8" s="282">
        <f t="shared" si="9"/>
        <v>-11986.884755607727</v>
      </c>
      <c r="AC8" s="282">
        <f t="shared" si="9"/>
        <v>-11986.884755607727</v>
      </c>
      <c r="AD8" s="282">
        <f t="shared" si="9"/>
        <v>11986.884755607727</v>
      </c>
      <c r="AE8" s="282">
        <f t="shared" si="9"/>
        <v>11283.191116505443</v>
      </c>
      <c r="AF8" s="282">
        <f t="shared" si="9"/>
        <v>5445.558807674699</v>
      </c>
      <c r="AG8" s="282">
        <f t="shared" si="9"/>
        <v>592.52462567138741</v>
      </c>
      <c r="AH8" s="282">
        <f t="shared" si="9"/>
        <v>-11986.884755607727</v>
      </c>
      <c r="AI8" s="282">
        <f t="shared" si="9"/>
        <v>11986.884755607727</v>
      </c>
      <c r="AJ8" s="282">
        <f t="shared" si="9"/>
        <v>-216.56156639556656</v>
      </c>
      <c r="AK8" s="282">
        <f t="shared" si="9"/>
        <v>592.52462567138741</v>
      </c>
      <c r="AL8" s="282">
        <f t="shared" si="9"/>
        <v>11283.191116505443</v>
      </c>
      <c r="AM8" s="282">
        <f t="shared" si="9"/>
        <v>11986.884755607727</v>
      </c>
      <c r="AN8" s="282">
        <f t="shared" si="9"/>
        <v>11185.116590535841</v>
      </c>
      <c r="AO8" s="282">
        <f t="shared" si="9"/>
        <v>-6369.7000632812978</v>
      </c>
      <c r="AP8" s="282">
        <f t="shared" si="9"/>
        <v>11986.884755607727</v>
      </c>
    </row>
    <row r="9" spans="1:42" outlineLevel="1" x14ac:dyDescent="0.25">
      <c r="A9" s="17" t="s">
        <v>304</v>
      </c>
      <c r="B9" s="295">
        <f t="shared" si="10"/>
        <v>7</v>
      </c>
      <c r="C9" s="200">
        <f t="shared" si="11"/>
        <v>9.8591549295774641E-2</v>
      </c>
      <c r="D9" s="126"/>
      <c r="F9" s="294">
        <f t="shared" si="2"/>
        <v>0.42857142857142855</v>
      </c>
      <c r="G9" s="199">
        <f t="shared" si="3"/>
        <v>4264.8526990717055</v>
      </c>
      <c r="H9" s="143">
        <f t="shared" si="4"/>
        <v>609.2646712959579</v>
      </c>
      <c r="I9" s="186">
        <f t="shared" si="12"/>
        <v>-89.129842007806459</v>
      </c>
      <c r="J9" t="str">
        <f t="shared" si="5"/>
        <v>soft</v>
      </c>
      <c r="K9" s="342">
        <f t="shared" si="6"/>
        <v>-0.7142857142857143</v>
      </c>
      <c r="L9" s="342">
        <f t="shared" si="7"/>
        <v>0.42857142857142855</v>
      </c>
      <c r="M9" s="342">
        <f t="shared" si="7"/>
        <v>0.14285714285714285</v>
      </c>
      <c r="N9" s="342">
        <f t="shared" si="7"/>
        <v>0.42857142857142855</v>
      </c>
      <c r="O9" s="342">
        <f t="shared" si="7"/>
        <v>0.42857142857142855</v>
      </c>
      <c r="P9" s="342">
        <f t="shared" si="8"/>
        <v>-0.7142857142857143</v>
      </c>
      <c r="Q9" s="342">
        <f t="shared" si="8"/>
        <v>-0.14285714285714285</v>
      </c>
      <c r="R9" s="342">
        <f t="shared" si="8"/>
        <v>0.14285714285714285</v>
      </c>
      <c r="S9" s="342">
        <f t="shared" si="8"/>
        <v>0.14285714285714285</v>
      </c>
      <c r="T9" s="342">
        <f t="shared" si="8"/>
        <v>0.14285714285714285</v>
      </c>
      <c r="U9" s="342">
        <f t="shared" si="8"/>
        <v>-0.14285714285714285</v>
      </c>
      <c r="V9" s="342">
        <f t="shared" si="8"/>
        <v>0.7142857142857143</v>
      </c>
      <c r="W9" s="286"/>
      <c r="X9" s="6"/>
      <c r="Y9" s="17" t="s">
        <v>304</v>
      </c>
      <c r="Z9" s="283">
        <f t="shared" si="9"/>
        <v>4264.8526990717055</v>
      </c>
      <c r="AA9" s="283">
        <f t="shared" si="9"/>
        <v>-623.9088940546452</v>
      </c>
      <c r="AB9" s="283">
        <f t="shared" si="9"/>
        <v>623.9088940546452</v>
      </c>
      <c r="AC9" s="283">
        <f t="shared" si="9"/>
        <v>-332.25749529721747</v>
      </c>
      <c r="AD9" s="283">
        <f t="shared" si="9"/>
        <v>332.25749529721747</v>
      </c>
      <c r="AE9" s="283">
        <f t="shared" si="9"/>
        <v>-193.72183097276604</v>
      </c>
      <c r="AF9" s="283">
        <f t="shared" si="9"/>
        <v>2951.0162486201179</v>
      </c>
      <c r="AG9" s="283">
        <f t="shared" si="9"/>
        <v>2951.0162486201179</v>
      </c>
      <c r="AH9" s="283">
        <f t="shared" si="9"/>
        <v>-1149.8882203246285</v>
      </c>
      <c r="AI9" s="283">
        <f t="shared" si="9"/>
        <v>1149.8882203246285</v>
      </c>
      <c r="AJ9" s="283">
        <f t="shared" si="9"/>
        <v>1891.3165088354353</v>
      </c>
      <c r="AK9" s="283">
        <f t="shared" si="9"/>
        <v>193.72183097276604</v>
      </c>
      <c r="AL9" s="283">
        <f t="shared" si="9"/>
        <v>-193.72183097276604</v>
      </c>
      <c r="AM9" s="283">
        <f t="shared" si="9"/>
        <v>3907.1826379719805</v>
      </c>
      <c r="AN9" s="283">
        <f t="shared" si="9"/>
        <v>3907.1826379719805</v>
      </c>
      <c r="AO9" s="283">
        <f t="shared" si="9"/>
        <v>-3907.1826379719805</v>
      </c>
      <c r="AP9" s="283">
        <f t="shared" si="9"/>
        <v>332.25749529721747</v>
      </c>
    </row>
    <row r="10" spans="1:42" outlineLevel="1" x14ac:dyDescent="0.25">
      <c r="B10">
        <f>SUM(B2:B9)</f>
        <v>71</v>
      </c>
      <c r="C10" s="193">
        <f t="shared" si="11"/>
        <v>1</v>
      </c>
      <c r="D10" s="126"/>
      <c r="F10" s="294">
        <f>SUMIFS(H$14:H$92,H$14:H$92,1,$C$14:$C$92,"&lt;&gt;offline")/$B10</f>
        <v>0.57746478873239437</v>
      </c>
      <c r="G10" s="167">
        <f>SUM(G2:G9)</f>
        <v>103343.51325639022</v>
      </c>
      <c r="H10" s="143">
        <f t="shared" si="4"/>
        <v>1455.5424402308481</v>
      </c>
      <c r="I10" s="186">
        <f>SUM(F14:F92)/B10</f>
        <v>287.43017446171274</v>
      </c>
      <c r="J10" s="137"/>
      <c r="K10" s="6"/>
      <c r="L10" s="292"/>
      <c r="M10" s="286"/>
      <c r="N10" s="292"/>
      <c r="O10" s="6"/>
      <c r="R10" s="6"/>
      <c r="S10" s="286"/>
      <c r="T10" s="286"/>
      <c r="U10" s="286"/>
      <c r="V10" s="6"/>
      <c r="W10" s="286"/>
      <c r="X10" s="6"/>
      <c r="Y10" s="6" t="s">
        <v>1245</v>
      </c>
      <c r="Z10" s="284">
        <f>SUM(Z2:Z9)</f>
        <v>103343.51325639022</v>
      </c>
      <c r="AA10" s="284">
        <f t="shared" ref="AA10:AP10" si="13">SUM(AA2:AA9)</f>
        <v>57317.16734433252</v>
      </c>
      <c r="AB10" s="284">
        <f t="shared" si="13"/>
        <v>-57317.16734433252</v>
      </c>
      <c r="AC10" s="284">
        <f t="shared" si="13"/>
        <v>-50774.670815015183</v>
      </c>
      <c r="AD10" s="284">
        <f t="shared" si="13"/>
        <v>50774.670815015183</v>
      </c>
      <c r="AE10" s="284">
        <f t="shared" si="13"/>
        <v>-2808.5617558488657</v>
      </c>
      <c r="AF10" s="284">
        <f t="shared" si="13"/>
        <v>14505.07809126575</v>
      </c>
      <c r="AG10" s="284">
        <f t="shared" si="13"/>
        <v>8895.0614186871135</v>
      </c>
      <c r="AH10" s="284">
        <f t="shared" si="13"/>
        <v>-30694.031971399432</v>
      </c>
      <c r="AI10" s="284">
        <f t="shared" ref="AI10" si="14">SUM(AI2:AI9)</f>
        <v>30694.031971399432</v>
      </c>
      <c r="AJ10" s="284">
        <f t="shared" si="13"/>
        <v>23016.056058142687</v>
      </c>
      <c r="AK10" s="284">
        <f t="shared" si="13"/>
        <v>-5234.3404485506699</v>
      </c>
      <c r="AL10" s="284">
        <f t="shared" si="13"/>
        <v>38558.822433252026</v>
      </c>
      <c r="AM10" s="284">
        <f t="shared" si="13"/>
        <v>48010.837854476544</v>
      </c>
      <c r="AN10" s="284">
        <f t="shared" si="13"/>
        <v>43874.125382174891</v>
      </c>
      <c r="AO10" s="284">
        <f t="shared" si="13"/>
        <v>-36175.448914280125</v>
      </c>
      <c r="AP10" s="284">
        <f t="shared" si="13"/>
        <v>40543.727606100132</v>
      </c>
    </row>
    <row r="11" spans="1:42" outlineLevel="1" x14ac:dyDescent="0.25">
      <c r="H11" t="s">
        <v>1158</v>
      </c>
      <c r="I11" s="95">
        <v>0.75</v>
      </c>
      <c r="J11">
        <v>0.5</v>
      </c>
      <c r="K11">
        <v>1</v>
      </c>
      <c r="X11" s="112" t="s">
        <v>1281</v>
      </c>
      <c r="Y11" s="352">
        <v>2504.1822790998299</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6" t="str">
        <f t="shared" ref="Z12:AP12" si="15">Z93&amp;" ACC "&amp;ROUND(Z94,2)*100&amp;"% PNL "&amp;ROUND(Z10,0)</f>
        <v>MAX ACC 100% PNL 103344</v>
      </c>
      <c r="AA12" s="308" t="str">
        <f t="shared" si="15"/>
        <v>RISK-ON ACC 66% PNL 57317</v>
      </c>
      <c r="AB12" s="308" t="str">
        <f t="shared" si="15"/>
        <v>RISK-OFF ACC 34% PNL -57317</v>
      </c>
      <c r="AC12" s="308" t="str">
        <f t="shared" si="15"/>
        <v>Previous ACC 38% PNL -50775</v>
      </c>
      <c r="AD12" s="337" t="str">
        <f t="shared" si="15"/>
        <v>Anti-Previous ACC 62% PNL 50775</v>
      </c>
      <c r="AE12" s="338" t="str">
        <f t="shared" si="15"/>
        <v>&gt;equity ACC 41% PNL -2809</v>
      </c>
      <c r="AF12" s="338" t="str">
        <f t="shared" si="15"/>
        <v>50/50 ACC 54% PNL 14505</v>
      </c>
      <c r="AG12" s="338" t="str">
        <f t="shared" si="15"/>
        <v>&lt;equity ACC 54% PNL 8895</v>
      </c>
      <c r="AH12" s="339" t="str">
        <f t="shared" si="15"/>
        <v>SEASONALITY ACC 41% PNL -30694</v>
      </c>
      <c r="AI12" s="339" t="str">
        <f t="shared" si="15"/>
        <v>ANTI-SEASONALITY ACC 59% PNL 30694</v>
      </c>
      <c r="AJ12" s="339" t="str">
        <f t="shared" si="15"/>
        <v>ADJ_SEASONALITY ACC 65% PNL 23016</v>
      </c>
      <c r="AK12" s="340" t="str">
        <f t="shared" si="15"/>
        <v>V1 ACC 51% PNL -5234</v>
      </c>
      <c r="AL12" s="340" t="str">
        <f t="shared" si="15"/>
        <v>V2 ACC 59% PNL 38559</v>
      </c>
      <c r="AM12" s="340" t="str">
        <f t="shared" si="15"/>
        <v>V3 ACC 63% PNL 48011</v>
      </c>
      <c r="AN12" s="340" t="str">
        <f t="shared" si="15"/>
        <v>V4 ACC 61% PNL 43874</v>
      </c>
      <c r="AO12" s="340" t="str">
        <f t="shared" si="15"/>
        <v>V5 ACC 37% PNL -36175</v>
      </c>
      <c r="AP12" s="340" t="str">
        <f t="shared" si="15"/>
        <v>V6 ACC 58% PNL 40544</v>
      </c>
    </row>
    <row r="13" spans="1:42" ht="15.75" thickBot="1" x14ac:dyDescent="0.3">
      <c r="A13" s="3"/>
      <c r="B13" s="164"/>
      <c r="C13" s="164"/>
      <c r="E13" s="240">
        <f>COUNTIF(E14:E92,1)/COUNT(E14:E92)</f>
        <v>0.54430379746835444</v>
      </c>
      <c r="H13" s="240">
        <f>COUNTIF(H14:H92,1)/COUNT(H14:H92)</f>
        <v>0.54430379746835444</v>
      </c>
      <c r="I13" s="240">
        <f>COUNTIF(I14:I92,1)/COUNT(I14:I92)</f>
        <v>0.55696202531645567</v>
      </c>
      <c r="J13" s="240">
        <f t="shared" ref="J13:L13" si="16">COUNTIF(J14:J92,1)/COUNT(J14:J92)</f>
        <v>0.39240506329113922</v>
      </c>
      <c r="K13" s="240">
        <f t="shared" si="16"/>
        <v>0.58227848101265822</v>
      </c>
      <c r="L13" s="240">
        <f t="shared" si="16"/>
        <v>0.569620253164557</v>
      </c>
      <c r="M13" s="240"/>
      <c r="O13" s="240">
        <f t="shared" ref="O13:U13" si="17">COUNTIF(O14:O92,1)/COUNT(O14:O92)</f>
        <v>0.54430379746835444</v>
      </c>
      <c r="P13" s="240">
        <f t="shared" si="17"/>
        <v>0.58227848101265822</v>
      </c>
      <c r="Q13" s="240">
        <f t="shared" si="17"/>
        <v>0.41772151898734178</v>
      </c>
      <c r="R13" s="240">
        <f t="shared" si="17"/>
        <v>0.41772151898734178</v>
      </c>
      <c r="S13" s="240">
        <f t="shared" si="17"/>
        <v>0.44303797468354428</v>
      </c>
      <c r="T13" s="240">
        <f t="shared" si="17"/>
        <v>0.41772151898734178</v>
      </c>
      <c r="U13" s="240">
        <f t="shared" si="17"/>
        <v>0.4050632911392405</v>
      </c>
      <c r="W13" s="179"/>
      <c r="X13" s="353">
        <v>24907824.109447017</v>
      </c>
      <c r="Y13" s="353">
        <v>866599.6147946876</v>
      </c>
      <c r="Z13" s="187">
        <f t="shared" ref="Z13:AP13" si="18">SUM(Z14:Z92)</f>
        <v>105951.04213452215</v>
      </c>
      <c r="AA13" s="187">
        <f t="shared" si="18"/>
        <v>54709.638466200588</v>
      </c>
      <c r="AB13" s="187">
        <f t="shared" si="18"/>
        <v>-54709.638466200588</v>
      </c>
      <c r="AC13" s="187">
        <f>SUM(AC14:AC92)</f>
        <v>-48167.14193688325</v>
      </c>
      <c r="AD13" s="187">
        <f t="shared" si="18"/>
        <v>48167.14193688325</v>
      </c>
      <c r="AE13" s="187">
        <f t="shared" si="18"/>
        <v>-201.03287771691049</v>
      </c>
      <c r="AF13" s="187">
        <f t="shared" si="18"/>
        <v>17112.606969397701</v>
      </c>
      <c r="AG13" s="187">
        <f t="shared" si="18"/>
        <v>11502.590296819068</v>
      </c>
      <c r="AH13" s="187">
        <f t="shared" si="18"/>
        <v>-33301.560849531386</v>
      </c>
      <c r="AI13" s="187">
        <f t="shared" si="18"/>
        <v>33301.560849531386</v>
      </c>
      <c r="AJ13" s="187">
        <f>SUM(AJ14:AJ92)</f>
        <v>20408.52718001074</v>
      </c>
      <c r="AK13" s="187">
        <f>SUM(AK14:AK92)</f>
        <v>-2626.811570418723</v>
      </c>
      <c r="AL13" s="187">
        <f t="shared" si="18"/>
        <v>35951.293555120086</v>
      </c>
      <c r="AM13" s="187">
        <f>SUM(AM14:AM92)</f>
        <v>50618.36673260852</v>
      </c>
      <c r="AN13" s="187">
        <f t="shared" si="18"/>
        <v>46481.654260306874</v>
      </c>
      <c r="AO13" s="187">
        <f t="shared" si="18"/>
        <v>-33567.920036148178</v>
      </c>
      <c r="AP13" s="187">
        <f t="shared" si="18"/>
        <v>43151.256484232093</v>
      </c>
    </row>
    <row r="14" spans="1:42" ht="15.75" thickBot="1" x14ac:dyDescent="0.3">
      <c r="A14" s="328" t="s">
        <v>287</v>
      </c>
      <c r="B14" s="329" t="s">
        <v>558</v>
      </c>
      <c r="C14" s="330" t="s">
        <v>1285</v>
      </c>
      <c r="E14" s="201">
        <f>'0810'!H14</f>
        <v>-1</v>
      </c>
      <c r="F14" s="186">
        <f t="shared" ref="F14:F77" si="19">G14*X14</f>
        <v>0</v>
      </c>
      <c r="G14" s="201">
        <v>-7.0571630204700005E-4</v>
      </c>
      <c r="H14" s="202">
        <v>-1</v>
      </c>
      <c r="I14" s="202">
        <v>1</v>
      </c>
      <c r="J14" s="225">
        <v>-1</v>
      </c>
      <c r="K14" s="225">
        <v>1</v>
      </c>
      <c r="L14" s="201">
        <v>1</v>
      </c>
      <c r="M14" s="226">
        <v>-6</v>
      </c>
      <c r="N14" s="287">
        <v>42584</v>
      </c>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4">
        <v>0</v>
      </c>
      <c r="Y14" s="354">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O45" si="32">IF(IF(T14=$H14,1,0)=1,ABS($X14*$G14),-ABS($X14*$G14))</f>
        <v>0</v>
      </c>
      <c r="AP14" s="188">
        <f t="shared" ref="AP14:AP45" si="33">IF(IF(U14=$H14,1,0)=1,ABS($X14*$G14),-ABS($X14*$G14))</f>
        <v>0</v>
      </c>
    </row>
    <row r="15" spans="1:42" ht="15.75" thickBot="1" x14ac:dyDescent="0.3">
      <c r="A15" s="1" t="s">
        <v>290</v>
      </c>
      <c r="B15" s="149" t="s">
        <v>470</v>
      </c>
      <c r="C15" s="192" t="s">
        <v>1121</v>
      </c>
      <c r="E15" s="201">
        <f>'0810'!H15</f>
        <v>1</v>
      </c>
      <c r="F15" s="186">
        <f t="shared" si="19"/>
        <v>-119.93767043228659</v>
      </c>
      <c r="G15" s="202">
        <v>-5.1941306323800005E-4</v>
      </c>
      <c r="H15" s="202">
        <v>-1</v>
      </c>
      <c r="I15" s="202">
        <v>1</v>
      </c>
      <c r="J15" s="227">
        <v>-1</v>
      </c>
      <c r="K15" s="227">
        <v>1</v>
      </c>
      <c r="L15" s="202">
        <v>-1</v>
      </c>
      <c r="M15" s="228">
        <v>-13</v>
      </c>
      <c r="N15" s="288">
        <v>42573</v>
      </c>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354">
        <v>230910</v>
      </c>
      <c r="Y15" s="354">
        <v>7968</v>
      </c>
      <c r="Z15" s="188">
        <f t="shared" si="25"/>
        <v>119.93767043228659</v>
      </c>
      <c r="AA15" s="188">
        <f>IF(IF(sym!$Q4=H15,1,0)=1,ABS(X15*G15),-ABS(X15*G15))</f>
        <v>-119.93767043228659</v>
      </c>
      <c r="AB15" s="188">
        <f>IF(IF(sym!$P4=$H15,1,0)=1,ABS($X15*$G15),-ABS($X15*$G15))</f>
        <v>119.93767043228659</v>
      </c>
      <c r="AC15" s="188">
        <f>IF(IF(E15=H15,1,0)=1,ABS(X15*G15),-ABS(X15*G15))</f>
        <v>-119.93767043228659</v>
      </c>
      <c r="AD15" s="188">
        <f t="shared" si="26"/>
        <v>119.93767043228659</v>
      </c>
      <c r="AE15" s="188">
        <f t="shared" si="27"/>
        <v>119.93767043228659</v>
      </c>
      <c r="AF15" s="188">
        <f t="shared" ref="AF15:AF78" si="36">IF(IF(I15=H15,1,0)=1,ABS(X15*G15),-ABS(X15*G15))</f>
        <v>-119.93767043228659</v>
      </c>
      <c r="AG15" s="188">
        <f t="shared" ref="AG15:AG78" si="37">IF(IF(K15=H15,1,0)=1,ABS(X15*G15),-ABS(X15*G15))</f>
        <v>-119.93767043228659</v>
      </c>
      <c r="AH15" s="188">
        <f t="shared" ref="AH15:AH78" si="38">IF(IF(L15=H15,1,0)=1,ABS(X15*G15),-ABS(X15*G15))</f>
        <v>119.93767043228659</v>
      </c>
      <c r="AI15" s="188">
        <f t="shared" ref="AI15:AI78" si="39">IF(IF(-L15=H15,1,0)=1,ABS(X15*G15),-ABS(X15*G15))</f>
        <v>-119.93767043228659</v>
      </c>
      <c r="AJ15" s="188">
        <f t="shared" ref="AJ15:AJ78" si="40">IF(IF(O15=H15,1,0)=1,ABS(X15*G15),-ABS(X15*G15))</f>
        <v>-119.93767043228659</v>
      </c>
      <c r="AK15" s="188">
        <f t="shared" si="28"/>
        <v>-119.93767043228659</v>
      </c>
      <c r="AL15" s="188">
        <f t="shared" si="29"/>
        <v>119.93767043228659</v>
      </c>
      <c r="AM15" s="188">
        <f t="shared" si="30"/>
        <v>-119.93767043228659</v>
      </c>
      <c r="AN15" s="188">
        <f t="shared" si="31"/>
        <v>-119.93767043228659</v>
      </c>
      <c r="AO15" s="188">
        <f t="shared" si="32"/>
        <v>119.93767043228659</v>
      </c>
      <c r="AP15" s="188">
        <f t="shared" si="33"/>
        <v>119.93767043228659</v>
      </c>
    </row>
    <row r="16" spans="1:42" ht="15.75" thickBot="1" x14ac:dyDescent="0.3">
      <c r="A16" s="1" t="s">
        <v>292</v>
      </c>
      <c r="B16" s="149" t="s">
        <v>292</v>
      </c>
      <c r="C16" s="192" t="s">
        <v>294</v>
      </c>
      <c r="E16" s="201">
        <f>'0810'!H16</f>
        <v>-1</v>
      </c>
      <c r="F16" s="186">
        <f t="shared" si="19"/>
        <v>2115.9821951360791</v>
      </c>
      <c r="G16" s="202">
        <v>1.0434010434E-2</v>
      </c>
      <c r="H16" s="202">
        <v>1</v>
      </c>
      <c r="I16" s="202">
        <v>1</v>
      </c>
      <c r="J16" s="227">
        <v>1</v>
      </c>
      <c r="K16" s="227">
        <v>1</v>
      </c>
      <c r="L16" s="202">
        <v>-1</v>
      </c>
      <c r="M16" s="228">
        <v>-6</v>
      </c>
      <c r="N16" s="288">
        <v>42584</v>
      </c>
      <c r="O16">
        <f t="shared" si="20"/>
        <v>1</v>
      </c>
      <c r="P16">
        <f t="shared" si="34"/>
        <v>1</v>
      </c>
      <c r="Q16">
        <f t="shared" si="21"/>
        <v>1</v>
      </c>
      <c r="R16">
        <f t="shared" si="22"/>
        <v>1</v>
      </c>
      <c r="S16">
        <f t="shared" si="23"/>
        <v>1</v>
      </c>
      <c r="T16">
        <f t="shared" si="24"/>
        <v>-1</v>
      </c>
      <c r="U16">
        <f t="shared" si="35"/>
        <v>1</v>
      </c>
      <c r="V16">
        <f>VLOOKUP($A16,'FuturesInfo (3)'!$A$2:$V$80,22)</f>
        <v>2</v>
      </c>
      <c r="W16">
        <v>1</v>
      </c>
      <c r="X16" s="354">
        <v>202796.63399999999</v>
      </c>
      <c r="Y16" s="354">
        <v>21654.216</v>
      </c>
      <c r="Z16" s="188">
        <f t="shared" si="25"/>
        <v>2115.9821951360791</v>
      </c>
      <c r="AA16" s="188">
        <f>IF(IF(sym!$Q5=H16,1,0)=1,ABS(X16*G16),-ABS(X16*G16))</f>
        <v>2115.9821951360791</v>
      </c>
      <c r="AB16" s="188">
        <f>IF(IF(sym!$P5=$H16,1,0)=1,ABS($X16*$G16),-ABS($X16*$G16))</f>
        <v>-2115.9821951360791</v>
      </c>
      <c r="AC16" s="188">
        <f t="shared" ref="AC16:AC79" si="41">IF(IF(E16=H16,1,0)=1,ABS(X16*G16),-ABS(X16*G16))</f>
        <v>-2115.9821951360791</v>
      </c>
      <c r="AD16" s="188">
        <f t="shared" si="26"/>
        <v>2115.9821951360791</v>
      </c>
      <c r="AE16" s="188">
        <f t="shared" si="27"/>
        <v>2115.9821951360791</v>
      </c>
      <c r="AF16" s="188">
        <f t="shared" si="36"/>
        <v>2115.9821951360791</v>
      </c>
      <c r="AG16" s="188">
        <f t="shared" si="37"/>
        <v>2115.9821951360791</v>
      </c>
      <c r="AH16" s="188">
        <f t="shared" si="38"/>
        <v>-2115.9821951360791</v>
      </c>
      <c r="AI16" s="188">
        <f t="shared" si="39"/>
        <v>2115.9821951360791</v>
      </c>
      <c r="AJ16" s="188">
        <f t="shared" si="40"/>
        <v>2115.9821951360791</v>
      </c>
      <c r="AK16" s="188">
        <f t="shared" si="28"/>
        <v>2115.9821951360791</v>
      </c>
      <c r="AL16" s="188">
        <f t="shared" si="29"/>
        <v>2115.9821951360791</v>
      </c>
      <c r="AM16" s="188">
        <f t="shared" si="30"/>
        <v>2115.9821951360791</v>
      </c>
      <c r="AN16" s="188">
        <f t="shared" si="31"/>
        <v>2115.9821951360791</v>
      </c>
      <c r="AO16" s="188">
        <f t="shared" si="32"/>
        <v>-2115.9821951360791</v>
      </c>
      <c r="AP16" s="188">
        <f t="shared" si="33"/>
        <v>2115.9821951360791</v>
      </c>
    </row>
    <row r="17" spans="1:42" ht="15.75" thickBot="1" x14ac:dyDescent="0.3">
      <c r="A17" s="1" t="s">
        <v>295</v>
      </c>
      <c r="B17" s="149" t="s">
        <v>728</v>
      </c>
      <c r="C17" s="192" t="s">
        <v>297</v>
      </c>
      <c r="E17" s="201">
        <f>'0810'!H17</f>
        <v>1</v>
      </c>
      <c r="F17" s="186">
        <f t="shared" si="19"/>
        <v>664.53891841233303</v>
      </c>
      <c r="G17" s="202">
        <v>6.8771491090999998E-3</v>
      </c>
      <c r="H17" s="202">
        <v>1</v>
      </c>
      <c r="I17" s="202">
        <v>-1</v>
      </c>
      <c r="J17" s="227">
        <v>-1</v>
      </c>
      <c r="K17" s="227">
        <v>1</v>
      </c>
      <c r="L17" s="202">
        <v>-1</v>
      </c>
      <c r="M17" s="228">
        <v>-6</v>
      </c>
      <c r="N17" s="288">
        <v>42584</v>
      </c>
      <c r="O17">
        <f t="shared" si="20"/>
        <v>1</v>
      </c>
      <c r="P17">
        <f t="shared" si="34"/>
        <v>1</v>
      </c>
      <c r="Q17">
        <f t="shared" si="21"/>
        <v>-1</v>
      </c>
      <c r="R17">
        <f t="shared" si="22"/>
        <v>-1</v>
      </c>
      <c r="S17">
        <f t="shared" si="23"/>
        <v>-1</v>
      </c>
      <c r="T17">
        <f t="shared" si="24"/>
        <v>-1</v>
      </c>
      <c r="U17">
        <f t="shared" si="35"/>
        <v>-1</v>
      </c>
      <c r="V17">
        <f>VLOOKUP($A17,'FuturesInfo (3)'!$A$2:$V$80,22)</f>
        <v>5</v>
      </c>
      <c r="W17">
        <v>1</v>
      </c>
      <c r="X17" s="354">
        <v>96630</v>
      </c>
      <c r="Y17" s="354">
        <v>4685</v>
      </c>
      <c r="Z17" s="188">
        <f t="shared" si="25"/>
        <v>664.53891841233303</v>
      </c>
      <c r="AA17" s="188">
        <f>IF(IF(sym!$Q6=H17,1,0)=1,ABS(X17*G17),-ABS(X17*G17))</f>
        <v>664.53891841233303</v>
      </c>
      <c r="AB17" s="188">
        <f>IF(IF(sym!$P6=$H17,1,0)=1,ABS($X17*$G17),-ABS($X17*$G17))</f>
        <v>-664.53891841233303</v>
      </c>
      <c r="AC17" s="188">
        <f t="shared" si="41"/>
        <v>664.53891841233303</v>
      </c>
      <c r="AD17" s="188">
        <f t="shared" si="26"/>
        <v>-664.53891841233303</v>
      </c>
      <c r="AE17" s="188">
        <f t="shared" si="27"/>
        <v>-664.53891841233303</v>
      </c>
      <c r="AF17" s="188">
        <f t="shared" si="36"/>
        <v>-664.53891841233303</v>
      </c>
      <c r="AG17" s="188">
        <f t="shared" si="37"/>
        <v>664.53891841233303</v>
      </c>
      <c r="AH17" s="188">
        <f t="shared" si="38"/>
        <v>-664.53891841233303</v>
      </c>
      <c r="AI17" s="188">
        <f t="shared" si="39"/>
        <v>664.53891841233303</v>
      </c>
      <c r="AJ17" s="188">
        <f t="shared" si="40"/>
        <v>664.53891841233303</v>
      </c>
      <c r="AK17" s="188">
        <f t="shared" si="28"/>
        <v>664.53891841233303</v>
      </c>
      <c r="AL17" s="188">
        <f t="shared" si="29"/>
        <v>-664.53891841233303</v>
      </c>
      <c r="AM17" s="188">
        <f t="shared" si="30"/>
        <v>-664.53891841233303</v>
      </c>
      <c r="AN17" s="188">
        <f t="shared" si="31"/>
        <v>-664.53891841233303</v>
      </c>
      <c r="AO17" s="188">
        <f t="shared" si="32"/>
        <v>-664.53891841233303</v>
      </c>
      <c r="AP17" s="188">
        <f t="shared" si="33"/>
        <v>-664.53891841233303</v>
      </c>
    </row>
    <row r="18" spans="1:42" ht="15.75" thickBot="1" x14ac:dyDescent="0.3">
      <c r="A18" s="1" t="s">
        <v>298</v>
      </c>
      <c r="B18" s="149" t="s">
        <v>479</v>
      </c>
      <c r="C18" s="192" t="s">
        <v>1121</v>
      </c>
      <c r="E18" s="201">
        <f>'0810'!H18</f>
        <v>1</v>
      </c>
      <c r="F18" s="186">
        <f t="shared" si="19"/>
        <v>-822.21198156631203</v>
      </c>
      <c r="G18" s="202">
        <v>-3.3794162826400001E-3</v>
      </c>
      <c r="H18" s="202">
        <v>-1</v>
      </c>
      <c r="I18" s="202">
        <v>-1</v>
      </c>
      <c r="J18" s="227">
        <v>1</v>
      </c>
      <c r="K18" s="227">
        <v>-1</v>
      </c>
      <c r="L18" s="202">
        <v>-1</v>
      </c>
      <c r="M18" s="228">
        <v>6</v>
      </c>
      <c r="N18" s="288">
        <v>42584</v>
      </c>
      <c r="O18">
        <f t="shared" si="20"/>
        <v>-1</v>
      </c>
      <c r="P18">
        <f t="shared" si="34"/>
        <v>1</v>
      </c>
      <c r="Q18">
        <f t="shared" si="21"/>
        <v>-1</v>
      </c>
      <c r="R18">
        <f t="shared" si="22"/>
        <v>-1</v>
      </c>
      <c r="S18">
        <f t="shared" si="23"/>
        <v>-1</v>
      </c>
      <c r="T18">
        <f t="shared" si="24"/>
        <v>1</v>
      </c>
      <c r="U18">
        <f t="shared" si="35"/>
        <v>1</v>
      </c>
      <c r="V18">
        <f>VLOOKUP($A18,'FuturesInfo (3)'!$A$2:$V$80,22)</f>
        <v>3</v>
      </c>
      <c r="W18">
        <v>1</v>
      </c>
      <c r="X18" s="354">
        <v>243300</v>
      </c>
      <c r="Y18" s="354">
        <v>8889</v>
      </c>
      <c r="Z18" s="188">
        <f t="shared" si="25"/>
        <v>822.21198156631203</v>
      </c>
      <c r="AA18" s="188">
        <f>IF(IF(sym!$Q7=H18,1,0)=1,ABS(X18*G18),-ABS(X18*G18))</f>
        <v>-822.21198156631203</v>
      </c>
      <c r="AB18" s="188">
        <f>IF(IF(sym!$P7=$H18,1,0)=1,ABS($X18*$G18),-ABS($X18*$G18))</f>
        <v>822.21198156631203</v>
      </c>
      <c r="AC18" s="188">
        <f t="shared" si="41"/>
        <v>-822.21198156631203</v>
      </c>
      <c r="AD18" s="188">
        <f t="shared" si="26"/>
        <v>822.21198156631203</v>
      </c>
      <c r="AE18" s="188">
        <f t="shared" si="27"/>
        <v>-822.21198156631203</v>
      </c>
      <c r="AF18" s="188">
        <f t="shared" si="36"/>
        <v>822.21198156631203</v>
      </c>
      <c r="AG18" s="188">
        <f t="shared" si="37"/>
        <v>822.21198156631203</v>
      </c>
      <c r="AH18" s="188">
        <f t="shared" si="38"/>
        <v>822.21198156631203</v>
      </c>
      <c r="AI18" s="188">
        <f t="shared" si="39"/>
        <v>-822.21198156631203</v>
      </c>
      <c r="AJ18" s="188">
        <f t="shared" si="40"/>
        <v>822.21198156631203</v>
      </c>
      <c r="AK18" s="188">
        <f t="shared" si="28"/>
        <v>-822.21198156631203</v>
      </c>
      <c r="AL18" s="188">
        <f t="shared" si="29"/>
        <v>822.21198156631203</v>
      </c>
      <c r="AM18" s="188">
        <f t="shared" si="30"/>
        <v>822.21198156631203</v>
      </c>
      <c r="AN18" s="188">
        <f t="shared" si="31"/>
        <v>822.21198156631203</v>
      </c>
      <c r="AO18" s="188">
        <f t="shared" si="32"/>
        <v>-822.21198156631203</v>
      </c>
      <c r="AP18" s="188">
        <f t="shared" si="33"/>
        <v>-822.21198156631203</v>
      </c>
    </row>
    <row r="19" spans="1:42" ht="15.75" thickBot="1" x14ac:dyDescent="0.3">
      <c r="A19" s="1" t="s">
        <v>300</v>
      </c>
      <c r="B19" s="149" t="s">
        <v>518</v>
      </c>
      <c r="C19" s="192" t="s">
        <v>297</v>
      </c>
      <c r="E19" s="201">
        <f>'0810'!H19</f>
        <v>1</v>
      </c>
      <c r="F19" s="186">
        <f t="shared" si="19"/>
        <v>-373.59234234196879</v>
      </c>
      <c r="G19" s="202">
        <v>-3.7537537537500002E-3</v>
      </c>
      <c r="H19" s="202">
        <v>-1</v>
      </c>
      <c r="I19" s="202">
        <v>-1</v>
      </c>
      <c r="J19" s="227">
        <v>1</v>
      </c>
      <c r="K19" s="227">
        <v>-1</v>
      </c>
      <c r="L19" s="202">
        <v>1</v>
      </c>
      <c r="M19" s="228">
        <v>-9</v>
      </c>
      <c r="N19" s="288">
        <v>42579</v>
      </c>
      <c r="O19">
        <f t="shared" si="20"/>
        <v>-1</v>
      </c>
      <c r="P19">
        <f t="shared" si="34"/>
        <v>-1</v>
      </c>
      <c r="Q19">
        <f t="shared" si="21"/>
        <v>-1</v>
      </c>
      <c r="R19">
        <f t="shared" si="22"/>
        <v>-1</v>
      </c>
      <c r="S19">
        <f t="shared" si="23"/>
        <v>-1</v>
      </c>
      <c r="T19">
        <f t="shared" si="24"/>
        <v>1</v>
      </c>
      <c r="U19">
        <f t="shared" si="35"/>
        <v>-1</v>
      </c>
      <c r="V19">
        <f>VLOOKUP($A19,'FuturesInfo (3)'!$A$2:$V$80,22)</f>
        <v>6</v>
      </c>
      <c r="W19">
        <v>1</v>
      </c>
      <c r="X19" s="354">
        <v>99525</v>
      </c>
      <c r="Y19" s="354">
        <v>13500</v>
      </c>
      <c r="Z19" s="188">
        <f t="shared" si="25"/>
        <v>373.59234234196879</v>
      </c>
      <c r="AA19" s="188">
        <f>IF(IF(sym!$Q8=H19,1,0)=1,ABS(X19*G19),-ABS(X19*G19))</f>
        <v>-373.59234234196879</v>
      </c>
      <c r="AB19" s="188">
        <f>IF(IF(sym!$P8=$H19,1,0)=1,ABS($X19*$G19),-ABS($X19*$G19))</f>
        <v>373.59234234196879</v>
      </c>
      <c r="AC19" s="188">
        <f t="shared" si="41"/>
        <v>-373.59234234196879</v>
      </c>
      <c r="AD19" s="188">
        <f t="shared" si="26"/>
        <v>373.59234234196879</v>
      </c>
      <c r="AE19" s="188">
        <f t="shared" si="27"/>
        <v>-373.59234234196879</v>
      </c>
      <c r="AF19" s="188">
        <f t="shared" si="36"/>
        <v>373.59234234196879</v>
      </c>
      <c r="AG19" s="188">
        <f t="shared" si="37"/>
        <v>373.59234234196879</v>
      </c>
      <c r="AH19" s="188">
        <f t="shared" si="38"/>
        <v>-373.59234234196879</v>
      </c>
      <c r="AI19" s="188">
        <f t="shared" si="39"/>
        <v>373.59234234196879</v>
      </c>
      <c r="AJ19" s="188">
        <f t="shared" si="40"/>
        <v>373.59234234196879</v>
      </c>
      <c r="AK19" s="188">
        <f t="shared" si="28"/>
        <v>373.59234234196879</v>
      </c>
      <c r="AL19" s="188">
        <f t="shared" si="29"/>
        <v>373.59234234196879</v>
      </c>
      <c r="AM19" s="188">
        <f t="shared" si="30"/>
        <v>373.59234234196879</v>
      </c>
      <c r="AN19" s="188">
        <f t="shared" si="31"/>
        <v>373.59234234196879</v>
      </c>
      <c r="AO19" s="188">
        <f t="shared" si="32"/>
        <v>-373.59234234196879</v>
      </c>
      <c r="AP19" s="188">
        <f t="shared" si="33"/>
        <v>373.59234234196879</v>
      </c>
    </row>
    <row r="20" spans="1:42" ht="15.75" thickBot="1" x14ac:dyDescent="0.3">
      <c r="A20" s="1" t="s">
        <v>302</v>
      </c>
      <c r="B20" s="149" t="s">
        <v>509</v>
      </c>
      <c r="C20" s="192" t="s">
        <v>304</v>
      </c>
      <c r="E20" s="201">
        <f>'0810'!H20</f>
        <v>1</v>
      </c>
      <c r="F20" s="186">
        <f t="shared" si="19"/>
        <v>-478.08319467593122</v>
      </c>
      <c r="G20" s="202">
        <v>-3.9933444259600001E-3</v>
      </c>
      <c r="H20" s="202">
        <v>-1</v>
      </c>
      <c r="I20" s="202">
        <v>1</v>
      </c>
      <c r="J20" s="227">
        <v>-1</v>
      </c>
      <c r="K20" s="227">
        <v>1</v>
      </c>
      <c r="L20" s="202">
        <v>1</v>
      </c>
      <c r="M20" s="228">
        <v>-8</v>
      </c>
      <c r="N20" s="288">
        <v>42580</v>
      </c>
      <c r="O20">
        <f t="shared" si="20"/>
        <v>-1</v>
      </c>
      <c r="P20">
        <f t="shared" si="34"/>
        <v>1</v>
      </c>
      <c r="Q20">
        <f t="shared" si="21"/>
        <v>-1</v>
      </c>
      <c r="R20">
        <f t="shared" si="22"/>
        <v>-1</v>
      </c>
      <c r="S20">
        <f t="shared" si="23"/>
        <v>-1</v>
      </c>
      <c r="T20">
        <f t="shared" si="24"/>
        <v>1</v>
      </c>
      <c r="U20">
        <f t="shared" si="35"/>
        <v>-1</v>
      </c>
      <c r="V20">
        <f>VLOOKUP($A20,'FuturesInfo (3)'!$A$2:$V$80,22)</f>
        <v>4</v>
      </c>
      <c r="W20">
        <v>1</v>
      </c>
      <c r="X20" s="354">
        <v>119720</v>
      </c>
      <c r="Y20" s="354">
        <v>12000</v>
      </c>
      <c r="Z20" s="188">
        <f t="shared" si="25"/>
        <v>478.08319467593122</v>
      </c>
      <c r="AA20" s="188">
        <f>IF(IF(sym!$Q9=H20,1,0)=1,ABS(X20*G20),-ABS(X20*G20))</f>
        <v>-478.08319467593122</v>
      </c>
      <c r="AB20" s="188">
        <f>IF(IF(sym!$P9=$H20,1,0)=1,ABS($X20*$G20),-ABS($X20*$G20))</f>
        <v>478.08319467593122</v>
      </c>
      <c r="AC20" s="188">
        <f t="shared" si="41"/>
        <v>-478.08319467593122</v>
      </c>
      <c r="AD20" s="188">
        <f t="shared" si="26"/>
        <v>478.08319467593122</v>
      </c>
      <c r="AE20" s="188">
        <f t="shared" si="27"/>
        <v>478.08319467593122</v>
      </c>
      <c r="AF20" s="188">
        <f t="shared" si="36"/>
        <v>-478.08319467593122</v>
      </c>
      <c r="AG20" s="188">
        <f t="shared" si="37"/>
        <v>-478.08319467593122</v>
      </c>
      <c r="AH20" s="188">
        <f t="shared" si="38"/>
        <v>-478.08319467593122</v>
      </c>
      <c r="AI20" s="188">
        <f t="shared" si="39"/>
        <v>478.08319467593122</v>
      </c>
      <c r="AJ20" s="188">
        <f t="shared" si="40"/>
        <v>478.08319467593122</v>
      </c>
      <c r="AK20" s="188">
        <f t="shared" si="28"/>
        <v>-478.08319467593122</v>
      </c>
      <c r="AL20" s="188">
        <f t="shared" si="29"/>
        <v>478.08319467593122</v>
      </c>
      <c r="AM20" s="188">
        <f t="shared" si="30"/>
        <v>478.08319467593122</v>
      </c>
      <c r="AN20" s="188">
        <f t="shared" si="31"/>
        <v>478.08319467593122</v>
      </c>
      <c r="AO20" s="188">
        <f t="shared" si="32"/>
        <v>-478.08319467593122</v>
      </c>
      <c r="AP20" s="188">
        <f t="shared" si="33"/>
        <v>478.08319467593122</v>
      </c>
    </row>
    <row r="21" spans="1:42" ht="15.75" thickBot="1" x14ac:dyDescent="0.3">
      <c r="A21" s="1" t="s">
        <v>305</v>
      </c>
      <c r="B21" s="149" t="s">
        <v>488</v>
      </c>
      <c r="C21" s="192" t="s">
        <v>1121</v>
      </c>
      <c r="E21" s="201">
        <f>'0810'!H21</f>
        <v>1</v>
      </c>
      <c r="F21" s="186">
        <f t="shared" si="19"/>
        <v>2073.8489654734462</v>
      </c>
      <c r="G21" s="202">
        <v>6.7227987729299998E-3</v>
      </c>
      <c r="H21" s="202">
        <v>1</v>
      </c>
      <c r="I21" s="202">
        <v>-1</v>
      </c>
      <c r="J21" s="227">
        <v>-1</v>
      </c>
      <c r="K21" s="227">
        <v>-1</v>
      </c>
      <c r="L21" s="202">
        <v>-1</v>
      </c>
      <c r="M21" s="228">
        <v>4</v>
      </c>
      <c r="N21" s="288">
        <v>42586</v>
      </c>
      <c r="O21">
        <f t="shared" si="20"/>
        <v>-1</v>
      </c>
      <c r="P21">
        <f t="shared" si="34"/>
        <v>1</v>
      </c>
      <c r="Q21">
        <f t="shared" si="21"/>
        <v>-1</v>
      </c>
      <c r="R21">
        <f t="shared" si="22"/>
        <v>-1</v>
      </c>
      <c r="S21">
        <f t="shared" si="23"/>
        <v>-1</v>
      </c>
      <c r="T21">
        <f t="shared" si="24"/>
        <v>1</v>
      </c>
      <c r="U21">
        <f t="shared" si="35"/>
        <v>-1</v>
      </c>
      <c r="V21">
        <f>VLOOKUP($A21,'FuturesInfo (3)'!$A$2:$V$80,22)</f>
        <v>4</v>
      </c>
      <c r="W21">
        <v>1</v>
      </c>
      <c r="X21" s="354">
        <v>308480</v>
      </c>
      <c r="Y21" s="354">
        <v>10428</v>
      </c>
      <c r="Z21" s="188">
        <f t="shared" si="25"/>
        <v>2073.8489654734462</v>
      </c>
      <c r="AA21" s="188">
        <f>IF(IF(sym!$Q10=H21,1,0)=1,ABS(X21*G21),-ABS(X21*G21))</f>
        <v>2073.8489654734462</v>
      </c>
      <c r="AB21" s="188">
        <f>IF(IF(sym!$P10=$H21,1,0)=1,ABS($X21*$G21),-ABS($X21*$G21))</f>
        <v>-2073.8489654734462</v>
      </c>
      <c r="AC21" s="188">
        <f t="shared" si="41"/>
        <v>2073.8489654734462</v>
      </c>
      <c r="AD21" s="188">
        <f t="shared" si="26"/>
        <v>-2073.8489654734462</v>
      </c>
      <c r="AE21" s="188">
        <f t="shared" si="27"/>
        <v>-2073.8489654734462</v>
      </c>
      <c r="AF21" s="188">
        <f t="shared" si="36"/>
        <v>-2073.8489654734462</v>
      </c>
      <c r="AG21" s="188">
        <f t="shared" si="37"/>
        <v>-2073.8489654734462</v>
      </c>
      <c r="AH21" s="188">
        <f t="shared" si="38"/>
        <v>-2073.8489654734462</v>
      </c>
      <c r="AI21" s="188">
        <f t="shared" si="39"/>
        <v>2073.8489654734462</v>
      </c>
      <c r="AJ21" s="188">
        <f t="shared" si="40"/>
        <v>-2073.8489654734462</v>
      </c>
      <c r="AK21" s="188">
        <f t="shared" si="28"/>
        <v>2073.8489654734462</v>
      </c>
      <c r="AL21" s="188">
        <f t="shared" si="29"/>
        <v>-2073.8489654734462</v>
      </c>
      <c r="AM21" s="188">
        <f t="shared" si="30"/>
        <v>-2073.8489654734462</v>
      </c>
      <c r="AN21" s="188">
        <f t="shared" si="31"/>
        <v>-2073.8489654734462</v>
      </c>
      <c r="AO21" s="188">
        <f t="shared" si="32"/>
        <v>2073.8489654734462</v>
      </c>
      <c r="AP21" s="188">
        <f t="shared" si="33"/>
        <v>-2073.8489654734462</v>
      </c>
    </row>
    <row r="22" spans="1:42" ht="15.75" thickBot="1" x14ac:dyDescent="0.3">
      <c r="A22" s="328" t="s">
        <v>307</v>
      </c>
      <c r="B22" s="329" t="s">
        <v>484</v>
      </c>
      <c r="C22" s="330" t="s">
        <v>1285</v>
      </c>
      <c r="E22" s="201">
        <f>'0810'!H22</f>
        <v>1</v>
      </c>
      <c r="F22" s="186">
        <f t="shared" si="19"/>
        <v>0</v>
      </c>
      <c r="G22" s="202">
        <v>-4.2321644498199999E-3</v>
      </c>
      <c r="H22" s="202">
        <v>-1</v>
      </c>
      <c r="I22" s="227">
        <v>1</v>
      </c>
      <c r="J22" s="227">
        <v>-1</v>
      </c>
      <c r="K22" s="227">
        <v>1</v>
      </c>
      <c r="L22" s="202">
        <v>1</v>
      </c>
      <c r="M22" s="228">
        <v>5</v>
      </c>
      <c r="N22" s="288">
        <v>42585</v>
      </c>
      <c r="O22">
        <f t="shared" si="20"/>
        <v>1</v>
      </c>
      <c r="P22">
        <f t="shared" si="34"/>
        <v>1</v>
      </c>
      <c r="Q22">
        <f t="shared" si="21"/>
        <v>-1</v>
      </c>
      <c r="R22">
        <f t="shared" si="22"/>
        <v>-1</v>
      </c>
      <c r="S22">
        <f t="shared" si="23"/>
        <v>-1</v>
      </c>
      <c r="T22">
        <f t="shared" si="24"/>
        <v>-1</v>
      </c>
      <c r="U22">
        <f t="shared" si="35"/>
        <v>-1</v>
      </c>
      <c r="V22">
        <f>VLOOKUP($A22,'FuturesInfo (3)'!$A$2:$V$80,22)</f>
        <v>0</v>
      </c>
      <c r="W22">
        <v>1</v>
      </c>
      <c r="X22" s="354">
        <v>0</v>
      </c>
      <c r="Y22" s="354">
        <v>0</v>
      </c>
      <c r="Z22" s="188">
        <f t="shared" si="25"/>
        <v>0</v>
      </c>
      <c r="AA22" s="188">
        <f>IF(IF(sym!$Q11=H22,1,0)=1,ABS(X22*G22),-ABS(X22*G22))</f>
        <v>0</v>
      </c>
      <c r="AB22" s="188">
        <f>IF(IF(sym!$P11=$H22,1,0)=1,ABS($X22*$G22),-ABS($X22*$G22))</f>
        <v>0</v>
      </c>
      <c r="AC22" s="188">
        <f t="shared" si="41"/>
        <v>0</v>
      </c>
      <c r="AD22" s="188">
        <f t="shared" si="26"/>
        <v>0</v>
      </c>
      <c r="AE22" s="188">
        <f t="shared" si="27"/>
        <v>0</v>
      </c>
      <c r="AF22" s="188">
        <f t="shared" si="36"/>
        <v>0</v>
      </c>
      <c r="AG22" s="188">
        <f t="shared" si="37"/>
        <v>0</v>
      </c>
      <c r="AH22" s="188">
        <f t="shared" si="38"/>
        <v>0</v>
      </c>
      <c r="AI22" s="188">
        <f t="shared" si="39"/>
        <v>0</v>
      </c>
      <c r="AJ22" s="188">
        <f t="shared" si="40"/>
        <v>0</v>
      </c>
      <c r="AK22" s="188">
        <f t="shared" si="28"/>
        <v>0</v>
      </c>
      <c r="AL22" s="188">
        <f t="shared" si="29"/>
        <v>0</v>
      </c>
      <c r="AM22" s="188">
        <f t="shared" si="30"/>
        <v>0</v>
      </c>
      <c r="AN22" s="188">
        <f t="shared" si="31"/>
        <v>0</v>
      </c>
      <c r="AO22" s="188">
        <f t="shared" si="32"/>
        <v>0</v>
      </c>
      <c r="AP22" s="188">
        <f t="shared" si="33"/>
        <v>0</v>
      </c>
    </row>
    <row r="23" spans="1:42" ht="15.75" thickBot="1" x14ac:dyDescent="0.3">
      <c r="A23" s="1" t="s">
        <v>309</v>
      </c>
      <c r="B23" s="149" t="s">
        <v>522</v>
      </c>
      <c r="C23" s="192" t="s">
        <v>288</v>
      </c>
      <c r="E23" s="201">
        <f>'0810'!H23</f>
        <v>-1</v>
      </c>
      <c r="F23" s="186">
        <f t="shared" si="19"/>
        <v>3711.9251977901422</v>
      </c>
      <c r="G23" s="202">
        <v>4.26756173579E-2</v>
      </c>
      <c r="H23" s="202">
        <v>1</v>
      </c>
      <c r="I23" s="227">
        <v>1</v>
      </c>
      <c r="J23" s="227">
        <v>1</v>
      </c>
      <c r="K23" s="227">
        <v>1</v>
      </c>
      <c r="L23" s="202">
        <v>-1</v>
      </c>
      <c r="M23" s="228">
        <v>-6</v>
      </c>
      <c r="N23" s="288">
        <v>42584</v>
      </c>
      <c r="O23">
        <f t="shared" si="20"/>
        <v>1</v>
      </c>
      <c r="P23">
        <f t="shared" si="34"/>
        <v>1</v>
      </c>
      <c r="Q23">
        <f t="shared" si="21"/>
        <v>1</v>
      </c>
      <c r="R23">
        <f t="shared" si="22"/>
        <v>1</v>
      </c>
      <c r="S23">
        <f t="shared" si="23"/>
        <v>1</v>
      </c>
      <c r="T23">
        <f t="shared" si="24"/>
        <v>-1</v>
      </c>
      <c r="U23">
        <f t="shared" si="35"/>
        <v>1</v>
      </c>
      <c r="V23">
        <f>VLOOKUP($A23,'FuturesInfo (3)'!$A$2:$V$80,22)</f>
        <v>2</v>
      </c>
      <c r="W23">
        <v>1</v>
      </c>
      <c r="X23" s="354">
        <v>86980</v>
      </c>
      <c r="Y23" s="354">
        <v>9180</v>
      </c>
      <c r="Z23" s="188">
        <f t="shared" si="25"/>
        <v>3711.9251977901422</v>
      </c>
      <c r="AA23" s="188">
        <f>IF(IF(sym!$Q12=H23,1,0)=1,ABS(X23*G23),-ABS(X23*G23))</f>
        <v>3711.9251977901422</v>
      </c>
      <c r="AB23" s="188">
        <f>IF(IF(sym!$P12=$H23,1,0)=1,ABS($X23*$G23),-ABS($X23*$G23))</f>
        <v>-3711.9251977901422</v>
      </c>
      <c r="AC23" s="188">
        <f t="shared" si="41"/>
        <v>-3711.9251977901422</v>
      </c>
      <c r="AD23" s="188">
        <f t="shared" si="26"/>
        <v>3711.9251977901422</v>
      </c>
      <c r="AE23" s="188">
        <f t="shared" si="27"/>
        <v>3711.9251977901422</v>
      </c>
      <c r="AF23" s="188">
        <f t="shared" si="36"/>
        <v>3711.9251977901422</v>
      </c>
      <c r="AG23" s="188">
        <f t="shared" si="37"/>
        <v>3711.9251977901422</v>
      </c>
      <c r="AH23" s="188">
        <f t="shared" si="38"/>
        <v>-3711.9251977901422</v>
      </c>
      <c r="AI23" s="188">
        <f t="shared" si="39"/>
        <v>3711.9251977901422</v>
      </c>
      <c r="AJ23" s="188">
        <f t="shared" si="40"/>
        <v>3711.9251977901422</v>
      </c>
      <c r="AK23" s="188">
        <f t="shared" si="28"/>
        <v>3711.9251977901422</v>
      </c>
      <c r="AL23" s="188">
        <f t="shared" si="29"/>
        <v>3711.9251977901422</v>
      </c>
      <c r="AM23" s="188">
        <f t="shared" si="30"/>
        <v>3711.9251977901422</v>
      </c>
      <c r="AN23" s="188">
        <f t="shared" si="31"/>
        <v>3711.9251977901422</v>
      </c>
      <c r="AO23" s="188">
        <f t="shared" si="32"/>
        <v>-3711.9251977901422</v>
      </c>
      <c r="AP23" s="188">
        <f t="shared" si="33"/>
        <v>3711.9251977901422</v>
      </c>
    </row>
    <row r="24" spans="1:42" ht="15.75" thickBot="1" x14ac:dyDescent="0.3">
      <c r="A24" s="1" t="s">
        <v>311</v>
      </c>
      <c r="B24" s="149" t="s">
        <v>520</v>
      </c>
      <c r="C24" s="192" t="s">
        <v>304</v>
      </c>
      <c r="E24" s="201">
        <f>'0810'!H24</f>
        <v>-1</v>
      </c>
      <c r="F24" s="186">
        <f t="shared" si="19"/>
        <v>633.70380739039501</v>
      </c>
      <c r="G24" s="202">
        <v>5.8790593505000004E-3</v>
      </c>
      <c r="H24" s="233">
        <v>1</v>
      </c>
      <c r="I24" s="229">
        <v>1</v>
      </c>
      <c r="J24" s="229">
        <v>1</v>
      </c>
      <c r="K24" s="229">
        <v>1</v>
      </c>
      <c r="L24" s="202">
        <v>1</v>
      </c>
      <c r="M24" s="228">
        <v>3</v>
      </c>
      <c r="N24" s="288">
        <v>42576</v>
      </c>
      <c r="O24">
        <f t="shared" si="20"/>
        <v>1</v>
      </c>
      <c r="P24">
        <f t="shared" si="34"/>
        <v>-1</v>
      </c>
      <c r="Q24">
        <f t="shared" si="21"/>
        <v>1</v>
      </c>
      <c r="R24">
        <f t="shared" si="22"/>
        <v>1</v>
      </c>
      <c r="S24">
        <f t="shared" si="23"/>
        <v>1</v>
      </c>
      <c r="T24">
        <f t="shared" si="24"/>
        <v>-1</v>
      </c>
      <c r="U24">
        <f t="shared" si="35"/>
        <v>1</v>
      </c>
      <c r="V24">
        <f>VLOOKUP($A24,'FuturesInfo (3)'!$A$2:$V$80,22)</f>
        <v>3</v>
      </c>
      <c r="W24">
        <v>1</v>
      </c>
      <c r="X24" s="354">
        <v>107790</v>
      </c>
      <c r="Y24" s="354">
        <v>4503</v>
      </c>
      <c r="Z24" s="188">
        <f t="shared" si="25"/>
        <v>633.70380739039501</v>
      </c>
      <c r="AA24" s="188">
        <f>IF(IF(sym!$Q13=H24,1,0)=1,ABS(X24*G24),-ABS(X24*G24))</f>
        <v>633.70380739039501</v>
      </c>
      <c r="AB24" s="188">
        <f>IF(IF(sym!$P13=$H24,1,0)=1,ABS($X24*$G24),-ABS($X24*$G24))</f>
        <v>-633.70380739039501</v>
      </c>
      <c r="AC24" s="188">
        <f t="shared" si="41"/>
        <v>-633.70380739039501</v>
      </c>
      <c r="AD24" s="188">
        <f t="shared" si="26"/>
        <v>633.70380739039501</v>
      </c>
      <c r="AE24" s="188">
        <f t="shared" si="27"/>
        <v>633.70380739039501</v>
      </c>
      <c r="AF24" s="188">
        <f t="shared" si="36"/>
        <v>633.70380739039501</v>
      </c>
      <c r="AG24" s="188">
        <f t="shared" si="37"/>
        <v>633.70380739039501</v>
      </c>
      <c r="AH24" s="188">
        <f t="shared" si="38"/>
        <v>633.70380739039501</v>
      </c>
      <c r="AI24" s="188">
        <f t="shared" si="39"/>
        <v>-633.70380739039501</v>
      </c>
      <c r="AJ24" s="188">
        <f t="shared" si="40"/>
        <v>633.70380739039501</v>
      </c>
      <c r="AK24" s="188">
        <f t="shared" si="28"/>
        <v>-633.70380739039501</v>
      </c>
      <c r="AL24" s="188">
        <f t="shared" si="29"/>
        <v>633.70380739039501</v>
      </c>
      <c r="AM24" s="188">
        <f t="shared" si="30"/>
        <v>633.70380739039501</v>
      </c>
      <c r="AN24" s="188">
        <f t="shared" si="31"/>
        <v>633.70380739039501</v>
      </c>
      <c r="AO24" s="188">
        <f t="shared" si="32"/>
        <v>-633.70380739039501</v>
      </c>
      <c r="AP24" s="188">
        <f t="shared" si="33"/>
        <v>633.70380739039501</v>
      </c>
    </row>
    <row r="25" spans="1:42" ht="15.75" thickBot="1" x14ac:dyDescent="0.3">
      <c r="A25" s="1" t="s">
        <v>1008</v>
      </c>
      <c r="B25" s="149" t="s">
        <v>583</v>
      </c>
      <c r="C25" s="192" t="s">
        <v>1121</v>
      </c>
      <c r="E25" s="201">
        <f>'0810'!H25</f>
        <v>1</v>
      </c>
      <c r="F25" s="186">
        <f t="shared" si="19"/>
        <v>-1215.2107626320028</v>
      </c>
      <c r="G25" s="202">
        <v>-2.9039896349899999E-3</v>
      </c>
      <c r="H25" s="202">
        <v>-1</v>
      </c>
      <c r="I25" s="227">
        <v>1</v>
      </c>
      <c r="J25" s="227">
        <v>1</v>
      </c>
      <c r="K25" s="227">
        <v>-1</v>
      </c>
      <c r="L25" s="202">
        <v>1</v>
      </c>
      <c r="M25" s="228">
        <v>-6</v>
      </c>
      <c r="N25" s="288">
        <v>42584</v>
      </c>
      <c r="O25">
        <f t="shared" si="20"/>
        <v>-1</v>
      </c>
      <c r="P25">
        <f t="shared" si="34"/>
        <v>-1</v>
      </c>
      <c r="Q25">
        <f t="shared" si="21"/>
        <v>-1</v>
      </c>
      <c r="R25">
        <f t="shared" si="22"/>
        <v>-1</v>
      </c>
      <c r="S25">
        <f t="shared" si="23"/>
        <v>-1</v>
      </c>
      <c r="T25">
        <f t="shared" si="24"/>
        <v>1</v>
      </c>
      <c r="U25">
        <f t="shared" si="35"/>
        <v>-1</v>
      </c>
      <c r="V25">
        <f>VLOOKUP($A25,'FuturesInfo (3)'!$A$2:$V$80,22)</f>
        <v>3</v>
      </c>
      <c r="W25">
        <v>1</v>
      </c>
      <c r="X25" s="354">
        <v>418462.5</v>
      </c>
      <c r="Y25" s="354">
        <v>21792</v>
      </c>
      <c r="Z25" s="188">
        <f t="shared" si="25"/>
        <v>1215.2107626320028</v>
      </c>
      <c r="AA25" s="188">
        <f>IF(IF(sym!$Q14=H25,1,0)=1,ABS(X25*G25),-ABS(X25*G25))</f>
        <v>-1215.2107626320028</v>
      </c>
      <c r="AB25" s="188">
        <f>IF(IF(sym!$P14=$H25,1,0)=1,ABS($X25*$G25),-ABS($X25*$G25))</f>
        <v>1215.2107626320028</v>
      </c>
      <c r="AC25" s="188">
        <f t="shared" si="41"/>
        <v>-1215.2107626320028</v>
      </c>
      <c r="AD25" s="188">
        <f t="shared" si="26"/>
        <v>1215.2107626320028</v>
      </c>
      <c r="AE25" s="188">
        <f t="shared" si="27"/>
        <v>-1215.2107626320028</v>
      </c>
      <c r="AF25" s="188">
        <f t="shared" si="36"/>
        <v>-1215.2107626320028</v>
      </c>
      <c r="AG25" s="188">
        <f t="shared" si="37"/>
        <v>1215.2107626320028</v>
      </c>
      <c r="AH25" s="188">
        <f t="shared" si="38"/>
        <v>-1215.2107626320028</v>
      </c>
      <c r="AI25" s="188">
        <f t="shared" si="39"/>
        <v>1215.2107626320028</v>
      </c>
      <c r="AJ25" s="188">
        <f t="shared" si="40"/>
        <v>1215.2107626320028</v>
      </c>
      <c r="AK25" s="188">
        <f t="shared" si="28"/>
        <v>1215.2107626320028</v>
      </c>
      <c r="AL25" s="188">
        <f t="shared" si="29"/>
        <v>1215.2107626320028</v>
      </c>
      <c r="AM25" s="188">
        <f t="shared" si="30"/>
        <v>1215.2107626320028</v>
      </c>
      <c r="AN25" s="188">
        <f t="shared" si="31"/>
        <v>1215.2107626320028</v>
      </c>
      <c r="AO25" s="188">
        <f t="shared" si="32"/>
        <v>-1215.2107626320028</v>
      </c>
      <c r="AP25" s="188">
        <f t="shared" si="33"/>
        <v>1215.2107626320028</v>
      </c>
    </row>
    <row r="26" spans="1:42" ht="15.75" thickBot="1" x14ac:dyDescent="0.3">
      <c r="A26" s="1" t="s">
        <v>314</v>
      </c>
      <c r="B26" s="149" t="s">
        <v>755</v>
      </c>
      <c r="C26" s="192" t="s">
        <v>1121</v>
      </c>
      <c r="E26" s="201">
        <f>'0810'!H26</f>
        <v>-1</v>
      </c>
      <c r="F26" s="186">
        <f t="shared" si="19"/>
        <v>922.2132039143678</v>
      </c>
      <c r="G26" s="202">
        <v>2.4056564304199999E-3</v>
      </c>
      <c r="H26" s="202">
        <v>1</v>
      </c>
      <c r="I26" s="227">
        <v>-1</v>
      </c>
      <c r="J26" s="227">
        <v>-1</v>
      </c>
      <c r="K26" s="227">
        <v>-1</v>
      </c>
      <c r="L26" s="202">
        <v>-1</v>
      </c>
      <c r="M26" s="228">
        <v>-6</v>
      </c>
      <c r="N26" s="288">
        <v>42584</v>
      </c>
      <c r="O26">
        <f t="shared" si="20"/>
        <v>1</v>
      </c>
      <c r="P26">
        <f t="shared" si="34"/>
        <v>-1</v>
      </c>
      <c r="Q26">
        <f t="shared" si="21"/>
        <v>1</v>
      </c>
      <c r="R26">
        <f t="shared" si="22"/>
        <v>1</v>
      </c>
      <c r="S26">
        <f t="shared" si="23"/>
        <v>1</v>
      </c>
      <c r="T26">
        <f t="shared" si="24"/>
        <v>-1</v>
      </c>
      <c r="U26">
        <f t="shared" si="35"/>
        <v>1</v>
      </c>
      <c r="V26">
        <f>VLOOKUP($A26,'FuturesInfo (3)'!$A$2:$V$80,22)</f>
        <v>4</v>
      </c>
      <c r="W26">
        <v>1</v>
      </c>
      <c r="X26" s="354">
        <v>383352</v>
      </c>
      <c r="Y26" s="354">
        <v>14804</v>
      </c>
      <c r="Z26" s="188">
        <f t="shared" si="25"/>
        <v>922.2132039143678</v>
      </c>
      <c r="AA26" s="188">
        <f>IF(IF(sym!$Q15=H26,1,0)=1,ABS(X26*G26),-ABS(X26*G26))</f>
        <v>-922.2132039143678</v>
      </c>
      <c r="AB26" s="188">
        <f>IF(IF(sym!$P15=$H26,1,0)=1,ABS($X26*$G26),-ABS($X26*$G26))</f>
        <v>922.2132039143678</v>
      </c>
      <c r="AC26" s="188">
        <f t="shared" si="41"/>
        <v>-922.2132039143678</v>
      </c>
      <c r="AD26" s="188">
        <f t="shared" si="26"/>
        <v>922.2132039143678</v>
      </c>
      <c r="AE26" s="188">
        <f t="shared" si="27"/>
        <v>-922.2132039143678</v>
      </c>
      <c r="AF26" s="188">
        <f t="shared" si="36"/>
        <v>-922.2132039143678</v>
      </c>
      <c r="AG26" s="188">
        <f t="shared" si="37"/>
        <v>-922.2132039143678</v>
      </c>
      <c r="AH26" s="188">
        <f t="shared" si="38"/>
        <v>-922.2132039143678</v>
      </c>
      <c r="AI26" s="188">
        <f t="shared" si="39"/>
        <v>922.2132039143678</v>
      </c>
      <c r="AJ26" s="188">
        <f t="shared" si="40"/>
        <v>922.2132039143678</v>
      </c>
      <c r="AK26" s="188">
        <f t="shared" si="28"/>
        <v>-922.2132039143678</v>
      </c>
      <c r="AL26" s="188">
        <f t="shared" si="29"/>
        <v>922.2132039143678</v>
      </c>
      <c r="AM26" s="188">
        <f t="shared" si="30"/>
        <v>922.2132039143678</v>
      </c>
      <c r="AN26" s="188">
        <f t="shared" si="31"/>
        <v>922.2132039143678</v>
      </c>
      <c r="AO26" s="188">
        <f t="shared" si="32"/>
        <v>-922.2132039143678</v>
      </c>
      <c r="AP26" s="188">
        <f t="shared" si="33"/>
        <v>922.2132039143678</v>
      </c>
    </row>
    <row r="27" spans="1:42" ht="15.75" thickBot="1" x14ac:dyDescent="0.3">
      <c r="A27" s="1" t="s">
        <v>316</v>
      </c>
      <c r="B27" s="149" t="s">
        <v>562</v>
      </c>
      <c r="C27" s="192" t="s">
        <v>1122</v>
      </c>
      <c r="E27" s="201">
        <f>'0810'!H27</f>
        <v>1</v>
      </c>
      <c r="F27" s="186">
        <f t="shared" si="19"/>
        <v>-600.86091492145943</v>
      </c>
      <c r="G27" s="202">
        <v>-1.0724499523400001E-3</v>
      </c>
      <c r="H27" s="202">
        <v>-1</v>
      </c>
      <c r="I27" s="227">
        <v>1</v>
      </c>
      <c r="J27" s="227">
        <v>-1</v>
      </c>
      <c r="K27" s="227">
        <v>1</v>
      </c>
      <c r="L27" s="202">
        <v>1</v>
      </c>
      <c r="M27" s="228">
        <v>6</v>
      </c>
      <c r="N27" s="288">
        <v>42584</v>
      </c>
      <c r="O27">
        <f t="shared" si="20"/>
        <v>1</v>
      </c>
      <c r="P27">
        <f t="shared" si="34"/>
        <v>1</v>
      </c>
      <c r="Q27">
        <f t="shared" si="21"/>
        <v>-1</v>
      </c>
      <c r="R27">
        <f t="shared" si="22"/>
        <v>-1</v>
      </c>
      <c r="S27">
        <f t="shared" si="23"/>
        <v>-1</v>
      </c>
      <c r="T27">
        <f t="shared" si="24"/>
        <v>-1</v>
      </c>
      <c r="U27">
        <f t="shared" si="35"/>
        <v>-1</v>
      </c>
      <c r="V27">
        <f>VLOOKUP($A27,'FuturesInfo (3)'!$A$2:$V$80,22)</f>
        <v>3</v>
      </c>
      <c r="W27">
        <v>1</v>
      </c>
      <c r="X27" s="354">
        <v>560269.42200000002</v>
      </c>
      <c r="Y27" s="354">
        <v>12949.087500000001</v>
      </c>
      <c r="Z27" s="188">
        <f t="shared" si="25"/>
        <v>600.86091492145943</v>
      </c>
      <c r="AA27" s="188">
        <f>IF(IF(sym!$Q16=H27,1,0)=1,ABS(X27*G27),-ABS(X27*G27))</f>
        <v>600.86091492145943</v>
      </c>
      <c r="AB27" s="188">
        <f>IF(IF(sym!$P16=$H27,1,0)=1,ABS($X27*$G27),-ABS($X27*$G27))</f>
        <v>-600.86091492145943</v>
      </c>
      <c r="AC27" s="188">
        <f t="shared" si="41"/>
        <v>-600.86091492145943</v>
      </c>
      <c r="AD27" s="188">
        <f t="shared" si="26"/>
        <v>600.86091492145943</v>
      </c>
      <c r="AE27" s="188">
        <f t="shared" si="27"/>
        <v>600.86091492145943</v>
      </c>
      <c r="AF27" s="188">
        <f t="shared" si="36"/>
        <v>-600.86091492145943</v>
      </c>
      <c r="AG27" s="188">
        <f t="shared" si="37"/>
        <v>-600.86091492145943</v>
      </c>
      <c r="AH27" s="188">
        <f t="shared" si="38"/>
        <v>-600.86091492145943</v>
      </c>
      <c r="AI27" s="188">
        <f t="shared" si="39"/>
        <v>600.86091492145943</v>
      </c>
      <c r="AJ27" s="188">
        <f t="shared" si="40"/>
        <v>-600.86091492145943</v>
      </c>
      <c r="AK27" s="188">
        <f t="shared" si="28"/>
        <v>-600.86091492145943</v>
      </c>
      <c r="AL27" s="188">
        <f t="shared" si="29"/>
        <v>600.86091492145943</v>
      </c>
      <c r="AM27" s="188">
        <f t="shared" si="30"/>
        <v>600.86091492145943</v>
      </c>
      <c r="AN27" s="188">
        <f t="shared" si="31"/>
        <v>600.86091492145943</v>
      </c>
      <c r="AO27" s="188">
        <f t="shared" si="32"/>
        <v>600.86091492145943</v>
      </c>
      <c r="AP27" s="188">
        <f t="shared" si="33"/>
        <v>600.86091492145943</v>
      </c>
    </row>
    <row r="28" spans="1:42" ht="15.75" thickBot="1" x14ac:dyDescent="0.3">
      <c r="A28" s="1" t="s">
        <v>318</v>
      </c>
      <c r="B28" s="149" t="s">
        <v>560</v>
      </c>
      <c r="C28" s="192" t="s">
        <v>1122</v>
      </c>
      <c r="E28" s="201">
        <f>'0810'!H28</f>
        <v>1</v>
      </c>
      <c r="F28" s="186">
        <f t="shared" si="19"/>
        <v>-400.88408253594292</v>
      </c>
      <c r="G28" s="202">
        <v>-2.9904306220100002E-4</v>
      </c>
      <c r="H28" s="202">
        <v>-1</v>
      </c>
      <c r="I28" s="227">
        <v>1</v>
      </c>
      <c r="J28" s="227">
        <v>1</v>
      </c>
      <c r="K28" s="227">
        <v>1</v>
      </c>
      <c r="L28" s="202">
        <v>1</v>
      </c>
      <c r="M28" s="228">
        <v>6</v>
      </c>
      <c r="N28" s="288">
        <v>42584</v>
      </c>
      <c r="O28">
        <f t="shared" si="20"/>
        <v>1</v>
      </c>
      <c r="P28">
        <f t="shared" si="34"/>
        <v>1</v>
      </c>
      <c r="Q28">
        <f t="shared" si="21"/>
        <v>1</v>
      </c>
      <c r="R28">
        <f t="shared" si="22"/>
        <v>-1</v>
      </c>
      <c r="S28">
        <f t="shared" si="23"/>
        <v>1</v>
      </c>
      <c r="T28">
        <f t="shared" si="24"/>
        <v>-1</v>
      </c>
      <c r="U28">
        <f t="shared" si="35"/>
        <v>-1</v>
      </c>
      <c r="V28">
        <f>VLOOKUP($A28,'FuturesInfo (3)'!$A$2:$V$80,22)</f>
        <v>9</v>
      </c>
      <c r="W28">
        <v>1</v>
      </c>
      <c r="X28" s="354">
        <v>1340556.372</v>
      </c>
      <c r="Y28" s="354">
        <v>13283.2575</v>
      </c>
      <c r="Z28" s="188">
        <f t="shared" si="25"/>
        <v>400.88408253594292</v>
      </c>
      <c r="AA28" s="188">
        <f>IF(IF(sym!$Q17=H28,1,0)=1,ABS(X28*G28),-ABS(X28*G28))</f>
        <v>400.88408253594292</v>
      </c>
      <c r="AB28" s="188">
        <f>IF(IF(sym!$P17=$H28,1,0)=1,ABS($X28*$G28),-ABS($X28*$G28))</f>
        <v>-400.88408253594292</v>
      </c>
      <c r="AC28" s="188">
        <f t="shared" si="41"/>
        <v>-400.88408253594292</v>
      </c>
      <c r="AD28" s="188">
        <f t="shared" si="26"/>
        <v>400.88408253594292</v>
      </c>
      <c r="AE28" s="188">
        <f t="shared" si="27"/>
        <v>-400.88408253594292</v>
      </c>
      <c r="AF28" s="188">
        <f t="shared" si="36"/>
        <v>-400.88408253594292</v>
      </c>
      <c r="AG28" s="188">
        <f t="shared" si="37"/>
        <v>-400.88408253594292</v>
      </c>
      <c r="AH28" s="188">
        <f t="shared" si="38"/>
        <v>-400.88408253594292</v>
      </c>
      <c r="AI28" s="188">
        <f t="shared" si="39"/>
        <v>400.88408253594292</v>
      </c>
      <c r="AJ28" s="188">
        <f t="shared" si="40"/>
        <v>-400.88408253594292</v>
      </c>
      <c r="AK28" s="188">
        <f t="shared" si="28"/>
        <v>-400.88408253594292</v>
      </c>
      <c r="AL28" s="188">
        <f t="shared" si="29"/>
        <v>-400.88408253594292</v>
      </c>
      <c r="AM28" s="188">
        <f t="shared" si="30"/>
        <v>400.88408253594292</v>
      </c>
      <c r="AN28" s="188">
        <f t="shared" si="31"/>
        <v>-400.88408253594292</v>
      </c>
      <c r="AO28" s="188">
        <f t="shared" si="32"/>
        <v>400.88408253594292</v>
      </c>
      <c r="AP28" s="188">
        <f t="shared" si="33"/>
        <v>400.88408253594292</v>
      </c>
    </row>
    <row r="29" spans="1:42" ht="15.75" thickBot="1" x14ac:dyDescent="0.3">
      <c r="A29" s="328" t="s">
        <v>320</v>
      </c>
      <c r="B29" s="329" t="s">
        <v>564</v>
      </c>
      <c r="C29" s="330" t="s">
        <v>1285</v>
      </c>
      <c r="E29" s="201">
        <f>'0810'!H29</f>
        <v>1</v>
      </c>
      <c r="F29" s="186">
        <f t="shared" si="19"/>
        <v>0</v>
      </c>
      <c r="G29" s="202">
        <v>-4.4628910608300001E-5</v>
      </c>
      <c r="H29" s="202">
        <v>-1</v>
      </c>
      <c r="I29" s="227">
        <v>1</v>
      </c>
      <c r="J29" s="227">
        <v>1</v>
      </c>
      <c r="K29" s="227">
        <v>1</v>
      </c>
      <c r="L29" s="202">
        <v>1</v>
      </c>
      <c r="M29" s="228">
        <v>6</v>
      </c>
      <c r="N29" s="288">
        <v>42584</v>
      </c>
      <c r="O29">
        <f t="shared" si="20"/>
        <v>1</v>
      </c>
      <c r="P29">
        <f t="shared" si="34"/>
        <v>1</v>
      </c>
      <c r="Q29">
        <f t="shared" si="21"/>
        <v>1</v>
      </c>
      <c r="R29">
        <f t="shared" si="22"/>
        <v>-1</v>
      </c>
      <c r="S29">
        <f t="shared" si="23"/>
        <v>1</v>
      </c>
      <c r="T29">
        <f t="shared" si="24"/>
        <v>-1</v>
      </c>
      <c r="U29">
        <f t="shared" si="35"/>
        <v>-1</v>
      </c>
      <c r="V29">
        <f>VLOOKUP($A29,'FuturesInfo (3)'!$A$2:$V$80,22)</f>
        <v>0</v>
      </c>
      <c r="W29">
        <v>1</v>
      </c>
      <c r="X29" s="354">
        <v>0</v>
      </c>
      <c r="Y29" s="354">
        <v>0</v>
      </c>
      <c r="Z29" s="188">
        <f t="shared" si="25"/>
        <v>0</v>
      </c>
      <c r="AA29" s="188">
        <f>IF(IF(sym!$Q18=H29,1,0)=1,ABS(X29*G29),-ABS(X29*G29))</f>
        <v>0</v>
      </c>
      <c r="AB29" s="188">
        <f>IF(IF(sym!$P18=$H29,1,0)=1,ABS($X29*$G29),-ABS($X29*$G29))</f>
        <v>0</v>
      </c>
      <c r="AC29" s="188">
        <f t="shared" si="41"/>
        <v>0</v>
      </c>
      <c r="AD29" s="188">
        <f t="shared" si="26"/>
        <v>0</v>
      </c>
      <c r="AE29" s="188">
        <f t="shared" si="27"/>
        <v>0</v>
      </c>
      <c r="AF29" s="188">
        <f t="shared" si="36"/>
        <v>0</v>
      </c>
      <c r="AG29" s="188">
        <f t="shared" si="37"/>
        <v>0</v>
      </c>
      <c r="AH29" s="188">
        <f t="shared" si="38"/>
        <v>0</v>
      </c>
      <c r="AI29" s="188">
        <f t="shared" si="39"/>
        <v>0</v>
      </c>
      <c r="AJ29" s="188">
        <f t="shared" si="40"/>
        <v>0</v>
      </c>
      <c r="AK29" s="188">
        <f t="shared" si="28"/>
        <v>0</v>
      </c>
      <c r="AL29" s="188">
        <f t="shared" si="29"/>
        <v>0</v>
      </c>
      <c r="AM29" s="188">
        <f t="shared" si="30"/>
        <v>0</v>
      </c>
      <c r="AN29" s="188">
        <f t="shared" si="31"/>
        <v>0</v>
      </c>
      <c r="AO29" s="188">
        <f t="shared" si="32"/>
        <v>0</v>
      </c>
      <c r="AP29" s="188">
        <f t="shared" si="33"/>
        <v>0</v>
      </c>
    </row>
    <row r="30" spans="1:42" ht="15.75" thickBot="1" x14ac:dyDescent="0.3">
      <c r="A30" s="328" t="s">
        <v>323</v>
      </c>
      <c r="B30" s="329" t="s">
        <v>581</v>
      </c>
      <c r="C30" s="330" t="s">
        <v>1285</v>
      </c>
      <c r="E30" s="201">
        <f>'0810'!H30</f>
        <v>1</v>
      </c>
      <c r="F30" s="186">
        <f t="shared" si="19"/>
        <v>0</v>
      </c>
      <c r="G30" s="202">
        <v>-2.0182653009699999E-4</v>
      </c>
      <c r="H30" s="202">
        <v>-1</v>
      </c>
      <c r="I30" s="227">
        <v>1</v>
      </c>
      <c r="J30" s="227">
        <v>-1</v>
      </c>
      <c r="K30" s="227">
        <v>1</v>
      </c>
      <c r="L30" s="202">
        <v>-1</v>
      </c>
      <c r="M30" s="228">
        <v>-8</v>
      </c>
      <c r="N30" s="288">
        <v>42580</v>
      </c>
      <c r="O30">
        <f t="shared" si="20"/>
        <v>1</v>
      </c>
      <c r="P30">
        <f t="shared" si="34"/>
        <v>1</v>
      </c>
      <c r="Q30">
        <f t="shared" si="21"/>
        <v>-1</v>
      </c>
      <c r="R30">
        <f t="shared" si="22"/>
        <v>1</v>
      </c>
      <c r="S30">
        <f t="shared" si="23"/>
        <v>1</v>
      </c>
      <c r="T30">
        <f t="shared" si="24"/>
        <v>-1</v>
      </c>
      <c r="U30">
        <f t="shared" si="35"/>
        <v>-1</v>
      </c>
      <c r="V30">
        <f>VLOOKUP($A30,'FuturesInfo (3)'!$A$2:$V$80,22)</f>
        <v>0</v>
      </c>
      <c r="W30">
        <v>1</v>
      </c>
      <c r="X30" s="354">
        <v>0</v>
      </c>
      <c r="Y30" s="354">
        <v>0</v>
      </c>
      <c r="Z30" s="188">
        <f t="shared" si="25"/>
        <v>0</v>
      </c>
      <c r="AA30" s="188">
        <f>IF(IF(sym!$Q19=H30,1,0)=1,ABS(X30*G30),-ABS(X30*G30))</f>
        <v>0</v>
      </c>
      <c r="AB30" s="188">
        <f>IF(IF(sym!$P19=$H30,1,0)=1,ABS($X30*$G30),-ABS($X30*$G30))</f>
        <v>0</v>
      </c>
      <c r="AC30" s="188">
        <f t="shared" si="41"/>
        <v>0</v>
      </c>
      <c r="AD30" s="188">
        <f t="shared" si="26"/>
        <v>0</v>
      </c>
      <c r="AE30" s="188">
        <f t="shared" si="27"/>
        <v>0</v>
      </c>
      <c r="AF30" s="188">
        <f t="shared" si="36"/>
        <v>0</v>
      </c>
      <c r="AG30" s="188">
        <f t="shared" si="37"/>
        <v>0</v>
      </c>
      <c r="AH30" s="188">
        <f t="shared" si="38"/>
        <v>0</v>
      </c>
      <c r="AI30" s="188">
        <f t="shared" si="39"/>
        <v>0</v>
      </c>
      <c r="AJ30" s="188">
        <f t="shared" si="40"/>
        <v>0</v>
      </c>
      <c r="AK30" s="188">
        <f t="shared" si="28"/>
        <v>0</v>
      </c>
      <c r="AL30" s="188">
        <f t="shared" si="29"/>
        <v>0</v>
      </c>
      <c r="AM30" s="188">
        <f t="shared" si="30"/>
        <v>0</v>
      </c>
      <c r="AN30" s="188">
        <f t="shared" si="31"/>
        <v>0</v>
      </c>
      <c r="AO30" s="188">
        <f t="shared" si="32"/>
        <v>0</v>
      </c>
      <c r="AP30" s="188">
        <f t="shared" si="33"/>
        <v>0</v>
      </c>
    </row>
    <row r="31" spans="1:42" ht="15.75" thickBot="1" x14ac:dyDescent="0.3">
      <c r="A31" s="1" t="s">
        <v>325</v>
      </c>
      <c r="B31" s="149" t="s">
        <v>653</v>
      </c>
      <c r="C31" s="192" t="s">
        <v>294</v>
      </c>
      <c r="E31" s="201">
        <f>'0810'!H31</f>
        <v>-1</v>
      </c>
      <c r="F31" s="186">
        <f t="shared" si="19"/>
        <v>761.85807115800219</v>
      </c>
      <c r="G31" s="202">
        <v>2.44483047031E-3</v>
      </c>
      <c r="H31" s="202">
        <v>1</v>
      </c>
      <c r="I31" s="227">
        <v>-1</v>
      </c>
      <c r="J31" s="227">
        <v>-1</v>
      </c>
      <c r="K31" s="227">
        <v>-1</v>
      </c>
      <c r="L31" s="202">
        <v>1</v>
      </c>
      <c r="M31" s="228">
        <v>-20</v>
      </c>
      <c r="N31" s="288">
        <v>42564</v>
      </c>
      <c r="O31">
        <f t="shared" si="20"/>
        <v>-1</v>
      </c>
      <c r="P31">
        <f t="shared" si="34"/>
        <v>-1</v>
      </c>
      <c r="Q31">
        <f t="shared" si="21"/>
        <v>-1</v>
      </c>
      <c r="R31">
        <f t="shared" si="22"/>
        <v>-1</v>
      </c>
      <c r="S31">
        <f t="shared" si="23"/>
        <v>-1</v>
      </c>
      <c r="T31">
        <f t="shared" si="24"/>
        <v>1</v>
      </c>
      <c r="U31">
        <f t="shared" si="35"/>
        <v>-1</v>
      </c>
      <c r="V31">
        <f>VLOOKUP($A31,'FuturesInfo (3)'!$A$2:$V$80,22)</f>
        <v>2</v>
      </c>
      <c r="W31">
        <v>1</v>
      </c>
      <c r="X31" s="354">
        <v>311620</v>
      </c>
      <c r="Y31" s="354">
        <v>14250</v>
      </c>
      <c r="Z31" s="188">
        <f t="shared" si="25"/>
        <v>761.85807115800219</v>
      </c>
      <c r="AA31" s="188">
        <f>IF(IF(sym!$Q20=H31,1,0)=1,ABS(X31*G31),-ABS(X31*G31))</f>
        <v>761.85807115800219</v>
      </c>
      <c r="AB31" s="188">
        <f>IF(IF(sym!$P20=$H31,1,0)=1,ABS($X31*$G31),-ABS($X31*$G31))</f>
        <v>-761.85807115800219</v>
      </c>
      <c r="AC31" s="188">
        <f t="shared" si="41"/>
        <v>-761.85807115800219</v>
      </c>
      <c r="AD31" s="188">
        <f t="shared" si="26"/>
        <v>761.85807115800219</v>
      </c>
      <c r="AE31" s="188">
        <f t="shared" si="27"/>
        <v>-761.85807115800219</v>
      </c>
      <c r="AF31" s="188">
        <f t="shared" si="36"/>
        <v>-761.85807115800219</v>
      </c>
      <c r="AG31" s="188">
        <f t="shared" si="37"/>
        <v>-761.85807115800219</v>
      </c>
      <c r="AH31" s="188">
        <f t="shared" si="38"/>
        <v>761.85807115800219</v>
      </c>
      <c r="AI31" s="188">
        <f t="shared" si="39"/>
        <v>-761.85807115800219</v>
      </c>
      <c r="AJ31" s="188">
        <f t="shared" si="40"/>
        <v>-761.85807115800219</v>
      </c>
      <c r="AK31" s="188">
        <f t="shared" si="28"/>
        <v>-761.85807115800219</v>
      </c>
      <c r="AL31" s="188">
        <f t="shared" si="29"/>
        <v>-761.85807115800219</v>
      </c>
      <c r="AM31" s="188">
        <f t="shared" si="30"/>
        <v>-761.85807115800219</v>
      </c>
      <c r="AN31" s="188">
        <f t="shared" si="31"/>
        <v>-761.85807115800219</v>
      </c>
      <c r="AO31" s="188">
        <f t="shared" si="32"/>
        <v>761.85807115800219</v>
      </c>
      <c r="AP31" s="188">
        <f t="shared" si="33"/>
        <v>-761.85807115800219</v>
      </c>
    </row>
    <row r="32" spans="1:42" ht="15.75" thickBot="1" x14ac:dyDescent="0.3">
      <c r="A32" s="1" t="s">
        <v>327</v>
      </c>
      <c r="B32" s="149" t="s">
        <v>552</v>
      </c>
      <c r="C32" s="192" t="s">
        <v>294</v>
      </c>
      <c r="E32" s="201">
        <f>'0810'!H32</f>
        <v>-1</v>
      </c>
      <c r="F32" s="186">
        <f t="shared" si="19"/>
        <v>1355.5919917169426</v>
      </c>
      <c r="G32" s="202">
        <v>4.1422160856099998E-3</v>
      </c>
      <c r="H32" s="202">
        <v>1</v>
      </c>
      <c r="I32" s="227">
        <v>-1</v>
      </c>
      <c r="J32" s="227">
        <v>-1</v>
      </c>
      <c r="K32" s="227">
        <v>-1</v>
      </c>
      <c r="L32" s="202">
        <v>-1</v>
      </c>
      <c r="M32" s="228">
        <v>-18</v>
      </c>
      <c r="N32" s="288">
        <v>42566</v>
      </c>
      <c r="O32">
        <f t="shared" si="20"/>
        <v>1</v>
      </c>
      <c r="P32">
        <f t="shared" si="34"/>
        <v>-1</v>
      </c>
      <c r="Q32">
        <f t="shared" si="21"/>
        <v>1</v>
      </c>
      <c r="R32">
        <f t="shared" si="22"/>
        <v>1</v>
      </c>
      <c r="S32">
        <f t="shared" si="23"/>
        <v>1</v>
      </c>
      <c r="T32">
        <f t="shared" si="24"/>
        <v>-1</v>
      </c>
      <c r="U32">
        <f t="shared" si="35"/>
        <v>1</v>
      </c>
      <c r="V32">
        <f>VLOOKUP($A32,'FuturesInfo (3)'!$A$2:$V$80,22)</f>
        <v>3</v>
      </c>
      <c r="W32">
        <v>1</v>
      </c>
      <c r="X32" s="354">
        <v>327262.5</v>
      </c>
      <c r="Y32" s="354">
        <v>15750</v>
      </c>
      <c r="Z32" s="188">
        <f t="shared" si="25"/>
        <v>1355.5919917169426</v>
      </c>
      <c r="AA32" s="188">
        <f>IF(IF(sym!$Q21=H32,1,0)=1,ABS(X32*G32),-ABS(X32*G32))</f>
        <v>1355.5919917169426</v>
      </c>
      <c r="AB32" s="188">
        <f>IF(IF(sym!$P21=$H32,1,0)=1,ABS($X32*$G32),-ABS($X32*$G32))</f>
        <v>-1355.5919917169426</v>
      </c>
      <c r="AC32" s="188">
        <f t="shared" si="41"/>
        <v>-1355.5919917169426</v>
      </c>
      <c r="AD32" s="188">
        <f t="shared" si="26"/>
        <v>1355.5919917169426</v>
      </c>
      <c r="AE32" s="188">
        <f t="shared" si="27"/>
        <v>-1355.5919917169426</v>
      </c>
      <c r="AF32" s="188">
        <f t="shared" si="36"/>
        <v>-1355.5919917169426</v>
      </c>
      <c r="AG32" s="188">
        <f t="shared" si="37"/>
        <v>-1355.5919917169426</v>
      </c>
      <c r="AH32" s="188">
        <f t="shared" si="38"/>
        <v>-1355.5919917169426</v>
      </c>
      <c r="AI32" s="188">
        <f t="shared" si="39"/>
        <v>1355.5919917169426</v>
      </c>
      <c r="AJ32" s="188">
        <f t="shared" si="40"/>
        <v>1355.5919917169426</v>
      </c>
      <c r="AK32" s="188">
        <f t="shared" si="28"/>
        <v>-1355.5919917169426</v>
      </c>
      <c r="AL32" s="188">
        <f t="shared" si="29"/>
        <v>1355.5919917169426</v>
      </c>
      <c r="AM32" s="188">
        <f t="shared" si="30"/>
        <v>1355.5919917169426</v>
      </c>
      <c r="AN32" s="188">
        <f t="shared" si="31"/>
        <v>1355.5919917169426</v>
      </c>
      <c r="AO32" s="188">
        <f t="shared" si="32"/>
        <v>-1355.5919917169426</v>
      </c>
      <c r="AP32" s="188">
        <f t="shared" si="33"/>
        <v>1355.5919917169426</v>
      </c>
    </row>
    <row r="33" spans="1:42" ht="15.75" thickBot="1" x14ac:dyDescent="0.3">
      <c r="A33" s="1" t="s">
        <v>329</v>
      </c>
      <c r="B33" s="149" t="s">
        <v>589</v>
      </c>
      <c r="C33" s="192" t="s">
        <v>313</v>
      </c>
      <c r="E33" s="201">
        <f>'0810'!H33</f>
        <v>-1</v>
      </c>
      <c r="F33" s="186">
        <f t="shared" si="19"/>
        <v>-1479.30134605801</v>
      </c>
      <c r="G33" s="202">
        <v>-1.02693602642E-2</v>
      </c>
      <c r="H33" s="234">
        <v>-1</v>
      </c>
      <c r="I33" s="230">
        <v>1</v>
      </c>
      <c r="J33" s="230">
        <v>-1</v>
      </c>
      <c r="K33" s="230">
        <v>1</v>
      </c>
      <c r="L33" s="202">
        <v>-1</v>
      </c>
      <c r="M33" s="228">
        <v>14</v>
      </c>
      <c r="N33" s="288">
        <v>42572</v>
      </c>
      <c r="O33">
        <f t="shared" si="20"/>
        <v>-1</v>
      </c>
      <c r="P33">
        <f t="shared" si="34"/>
        <v>1</v>
      </c>
      <c r="Q33">
        <f t="shared" si="21"/>
        <v>-1</v>
      </c>
      <c r="R33">
        <f t="shared" si="22"/>
        <v>1</v>
      </c>
      <c r="S33">
        <f t="shared" si="23"/>
        <v>1</v>
      </c>
      <c r="T33">
        <f t="shared" si="24"/>
        <v>-1</v>
      </c>
      <c r="U33">
        <f t="shared" si="35"/>
        <v>1</v>
      </c>
      <c r="V33">
        <f>VLOOKUP($A33,'FuturesInfo (3)'!$A$2:$V$80,22)</f>
        <v>2</v>
      </c>
      <c r="W33">
        <v>1</v>
      </c>
      <c r="X33" s="354">
        <v>144050</v>
      </c>
      <c r="Y33" s="354">
        <v>8436</v>
      </c>
      <c r="Z33" s="188">
        <f t="shared" si="25"/>
        <v>1479.30134605801</v>
      </c>
      <c r="AA33" s="188">
        <f>IF(IF(sym!$Q22=H33,1,0)=1,ABS(X33*G33),-ABS(X33*G33))</f>
        <v>-1479.30134605801</v>
      </c>
      <c r="AB33" s="188">
        <f>IF(IF(sym!$P22=$H33,1,0)=1,ABS($X33*$G33),-ABS($X33*$G33))</f>
        <v>1479.30134605801</v>
      </c>
      <c r="AC33" s="188">
        <f t="shared" si="41"/>
        <v>1479.30134605801</v>
      </c>
      <c r="AD33" s="188">
        <f t="shared" si="26"/>
        <v>-1479.30134605801</v>
      </c>
      <c r="AE33" s="188">
        <f t="shared" si="27"/>
        <v>1479.30134605801</v>
      </c>
      <c r="AF33" s="188">
        <f t="shared" si="36"/>
        <v>-1479.30134605801</v>
      </c>
      <c r="AG33" s="188">
        <f t="shared" si="37"/>
        <v>-1479.30134605801</v>
      </c>
      <c r="AH33" s="188">
        <f t="shared" si="38"/>
        <v>1479.30134605801</v>
      </c>
      <c r="AI33" s="188">
        <f t="shared" si="39"/>
        <v>-1479.30134605801</v>
      </c>
      <c r="AJ33" s="188">
        <f t="shared" si="40"/>
        <v>1479.30134605801</v>
      </c>
      <c r="AK33" s="188">
        <f t="shared" si="28"/>
        <v>-1479.30134605801</v>
      </c>
      <c r="AL33" s="188">
        <f t="shared" si="29"/>
        <v>1479.30134605801</v>
      </c>
      <c r="AM33" s="188">
        <f t="shared" si="30"/>
        <v>-1479.30134605801</v>
      </c>
      <c r="AN33" s="188">
        <f t="shared" si="31"/>
        <v>-1479.30134605801</v>
      </c>
      <c r="AO33" s="188">
        <f t="shared" si="32"/>
        <v>1479.30134605801</v>
      </c>
      <c r="AP33" s="188">
        <f t="shared" si="33"/>
        <v>-1479.30134605801</v>
      </c>
    </row>
    <row r="34" spans="1:42" ht="15.75" thickBot="1" x14ac:dyDescent="0.3">
      <c r="A34" s="1" t="s">
        <v>331</v>
      </c>
      <c r="B34" s="149" t="s">
        <v>481</v>
      </c>
      <c r="C34" s="192" t="s">
        <v>294</v>
      </c>
      <c r="E34" s="201">
        <f>'0810'!H34</f>
        <v>-1</v>
      </c>
      <c r="F34" s="186">
        <f t="shared" si="19"/>
        <v>2321.1749659687744</v>
      </c>
      <c r="G34" s="202">
        <v>1.1566535654099999E-2</v>
      </c>
      <c r="H34" s="202">
        <v>1</v>
      </c>
      <c r="I34" s="227">
        <v>1</v>
      </c>
      <c r="J34" s="227">
        <v>-1</v>
      </c>
      <c r="K34" s="227">
        <v>1</v>
      </c>
      <c r="L34" s="202">
        <v>-1</v>
      </c>
      <c r="M34" s="228">
        <v>-5</v>
      </c>
      <c r="N34" s="288">
        <v>42585</v>
      </c>
      <c r="O34">
        <f t="shared" si="20"/>
        <v>1</v>
      </c>
      <c r="P34">
        <f t="shared" si="34"/>
        <v>1</v>
      </c>
      <c r="Q34">
        <f t="shared" si="21"/>
        <v>1</v>
      </c>
      <c r="R34">
        <f t="shared" si="22"/>
        <v>1</v>
      </c>
      <c r="S34">
        <f t="shared" si="23"/>
        <v>1</v>
      </c>
      <c r="T34">
        <f t="shared" si="24"/>
        <v>-1</v>
      </c>
      <c r="U34">
        <f t="shared" si="35"/>
        <v>1</v>
      </c>
      <c r="V34">
        <f>VLOOKUP($A34,'FuturesInfo (3)'!$A$2:$V$80,22)</f>
        <v>4</v>
      </c>
      <c r="W34">
        <v>1</v>
      </c>
      <c r="X34" s="354">
        <v>200680.22399999999</v>
      </c>
      <c r="Y34" s="354">
        <v>2441.6687999999999</v>
      </c>
      <c r="Z34" s="188">
        <f t="shared" si="25"/>
        <v>2321.1749659687744</v>
      </c>
      <c r="AA34" s="188">
        <f>IF(IF(sym!$Q23=H34,1,0)=1,ABS(X34*G34),-ABS(X34*G34))</f>
        <v>2321.1749659687744</v>
      </c>
      <c r="AB34" s="188">
        <f>IF(IF(sym!$P23=$H34,1,0)=1,ABS($X34*$G34),-ABS($X34*$G34))</f>
        <v>-2321.1749659687744</v>
      </c>
      <c r="AC34" s="188">
        <f t="shared" si="41"/>
        <v>-2321.1749659687744</v>
      </c>
      <c r="AD34" s="188">
        <f t="shared" si="26"/>
        <v>2321.1749659687744</v>
      </c>
      <c r="AE34" s="188">
        <f t="shared" si="27"/>
        <v>-2321.1749659687744</v>
      </c>
      <c r="AF34" s="188">
        <f t="shared" si="36"/>
        <v>2321.1749659687744</v>
      </c>
      <c r="AG34" s="188">
        <f t="shared" si="37"/>
        <v>2321.1749659687744</v>
      </c>
      <c r="AH34" s="188">
        <f t="shared" si="38"/>
        <v>-2321.1749659687744</v>
      </c>
      <c r="AI34" s="188">
        <f t="shared" si="39"/>
        <v>2321.1749659687744</v>
      </c>
      <c r="AJ34" s="188">
        <f t="shared" si="40"/>
        <v>2321.1749659687744</v>
      </c>
      <c r="AK34" s="188">
        <f t="shared" si="28"/>
        <v>2321.1749659687744</v>
      </c>
      <c r="AL34" s="188">
        <f t="shared" si="29"/>
        <v>2321.1749659687744</v>
      </c>
      <c r="AM34" s="188">
        <f t="shared" si="30"/>
        <v>2321.1749659687744</v>
      </c>
      <c r="AN34" s="188">
        <f t="shared" si="31"/>
        <v>2321.1749659687744</v>
      </c>
      <c r="AO34" s="188">
        <f t="shared" si="32"/>
        <v>-2321.1749659687744</v>
      </c>
      <c r="AP34" s="188">
        <f t="shared" si="33"/>
        <v>2321.1749659687744</v>
      </c>
    </row>
    <row r="35" spans="1:42" ht="15.75" thickBot="1" x14ac:dyDescent="0.3">
      <c r="A35" s="1" t="s">
        <v>333</v>
      </c>
      <c r="B35" s="149" t="s">
        <v>663</v>
      </c>
      <c r="C35" s="192" t="s">
        <v>294</v>
      </c>
      <c r="E35" s="201">
        <f>'0810'!H35</f>
        <v>-1</v>
      </c>
      <c r="F35" s="186">
        <f t="shared" si="19"/>
        <v>1118.0505948591647</v>
      </c>
      <c r="G35" s="202">
        <v>6.2417871222100003E-3</v>
      </c>
      <c r="H35" s="202">
        <v>1</v>
      </c>
      <c r="I35" s="227">
        <v>-1</v>
      </c>
      <c r="J35" s="227">
        <v>-1</v>
      </c>
      <c r="K35" s="227">
        <v>-1</v>
      </c>
      <c r="L35" s="202">
        <v>-1</v>
      </c>
      <c r="M35" s="228">
        <v>-19</v>
      </c>
      <c r="N35" s="288">
        <v>42565</v>
      </c>
      <c r="O35">
        <f t="shared" si="20"/>
        <v>1</v>
      </c>
      <c r="P35">
        <f t="shared" si="34"/>
        <v>-1</v>
      </c>
      <c r="Q35">
        <f t="shared" si="21"/>
        <v>1</v>
      </c>
      <c r="R35">
        <f t="shared" si="22"/>
        <v>1</v>
      </c>
      <c r="S35">
        <f t="shared" si="23"/>
        <v>1</v>
      </c>
      <c r="T35">
        <f t="shared" si="24"/>
        <v>-1</v>
      </c>
      <c r="U35">
        <f t="shared" si="35"/>
        <v>1</v>
      </c>
      <c r="V35">
        <f>VLOOKUP($A35,'FuturesInfo (3)'!$A$2:$V$80,22)</f>
        <v>3</v>
      </c>
      <c r="W35">
        <v>1</v>
      </c>
      <c r="X35" s="354">
        <v>179123.47425</v>
      </c>
      <c r="Y35" s="354">
        <v>17376.84</v>
      </c>
      <c r="Z35" s="188">
        <f t="shared" si="25"/>
        <v>1118.0505948591647</v>
      </c>
      <c r="AA35" s="188">
        <f>IF(IF(sym!$Q24=H35,1,0)=1,ABS(X35*G35),-ABS(X35*G35))</f>
        <v>1118.0505948591647</v>
      </c>
      <c r="AB35" s="188">
        <f>IF(IF(sym!$P24=$H35,1,0)=1,ABS($X35*$G35),-ABS($X35*$G35))</f>
        <v>-1118.0505948591647</v>
      </c>
      <c r="AC35" s="188">
        <f t="shared" si="41"/>
        <v>-1118.0505948591647</v>
      </c>
      <c r="AD35" s="188">
        <f t="shared" si="26"/>
        <v>1118.0505948591647</v>
      </c>
      <c r="AE35" s="188">
        <f t="shared" si="27"/>
        <v>-1118.0505948591647</v>
      </c>
      <c r="AF35" s="188">
        <f t="shared" si="36"/>
        <v>-1118.0505948591647</v>
      </c>
      <c r="AG35" s="188">
        <f t="shared" si="37"/>
        <v>-1118.0505948591647</v>
      </c>
      <c r="AH35" s="188">
        <f t="shared" si="38"/>
        <v>-1118.0505948591647</v>
      </c>
      <c r="AI35" s="188">
        <f t="shared" si="39"/>
        <v>1118.0505948591647</v>
      </c>
      <c r="AJ35" s="188">
        <f t="shared" si="40"/>
        <v>1118.0505948591647</v>
      </c>
      <c r="AK35" s="188">
        <f t="shared" si="28"/>
        <v>-1118.0505948591647</v>
      </c>
      <c r="AL35" s="188">
        <f t="shared" si="29"/>
        <v>1118.0505948591647</v>
      </c>
      <c r="AM35" s="188">
        <f t="shared" si="30"/>
        <v>1118.0505948591647</v>
      </c>
      <c r="AN35" s="188">
        <f t="shared" si="31"/>
        <v>1118.0505948591647</v>
      </c>
      <c r="AO35" s="188">
        <f t="shared" si="32"/>
        <v>-1118.0505948591647</v>
      </c>
      <c r="AP35" s="188">
        <f t="shared" si="33"/>
        <v>1118.0505948591647</v>
      </c>
    </row>
    <row r="36" spans="1:42" ht="15.75" thickBot="1" x14ac:dyDescent="0.3">
      <c r="A36" s="328" t="s">
        <v>335</v>
      </c>
      <c r="B36" s="329" t="s">
        <v>568</v>
      </c>
      <c r="C36" s="330" t="s">
        <v>1285</v>
      </c>
      <c r="E36" s="201">
        <f>'0810'!H36</f>
        <v>1</v>
      </c>
      <c r="F36" s="186">
        <f t="shared" si="19"/>
        <v>0</v>
      </c>
      <c r="G36" s="291">
        <v>0</v>
      </c>
      <c r="H36" s="202">
        <v>1</v>
      </c>
      <c r="I36" s="227">
        <v>1</v>
      </c>
      <c r="J36" s="227">
        <v>1</v>
      </c>
      <c r="K36" s="227">
        <v>1</v>
      </c>
      <c r="L36" s="202">
        <v>1</v>
      </c>
      <c r="M36" s="228">
        <v>-14</v>
      </c>
      <c r="N36" s="288">
        <v>42572</v>
      </c>
      <c r="O36">
        <f t="shared" si="20"/>
        <v>-1</v>
      </c>
      <c r="P36">
        <f t="shared" si="34"/>
        <v>1</v>
      </c>
      <c r="Q36">
        <f t="shared" si="21"/>
        <v>-1</v>
      </c>
      <c r="R36">
        <f t="shared" si="22"/>
        <v>-1</v>
      </c>
      <c r="S36">
        <f t="shared" si="23"/>
        <v>-1</v>
      </c>
      <c r="T36">
        <f t="shared" si="24"/>
        <v>1</v>
      </c>
      <c r="U36">
        <f t="shared" si="35"/>
        <v>-1</v>
      </c>
      <c r="V36">
        <f>VLOOKUP($A36,'FuturesInfo (3)'!$A$2:$V$80,22)</f>
        <v>0</v>
      </c>
      <c r="W36">
        <v>1</v>
      </c>
      <c r="X36" s="354">
        <v>0</v>
      </c>
      <c r="Y36" s="354">
        <v>0</v>
      </c>
      <c r="Z36" s="188">
        <f t="shared" si="25"/>
        <v>0</v>
      </c>
      <c r="AA36" s="188">
        <f>IF(IF(sym!$Q25=H36,1,0)=1,ABS(X36*G36),-ABS(X36*G36))</f>
        <v>0</v>
      </c>
      <c r="AB36" s="188">
        <f>IF(IF(sym!$P25=$H36,1,0)=1,ABS($X36*$G36),-ABS($X36*$G36))</f>
        <v>0</v>
      </c>
      <c r="AC36" s="188">
        <f t="shared" si="41"/>
        <v>0</v>
      </c>
      <c r="AD36" s="188">
        <f t="shared" si="26"/>
        <v>0</v>
      </c>
      <c r="AE36" s="188">
        <f t="shared" si="27"/>
        <v>0</v>
      </c>
      <c r="AF36" s="188">
        <f t="shared" si="36"/>
        <v>0</v>
      </c>
      <c r="AG36" s="188">
        <f t="shared" si="37"/>
        <v>0</v>
      </c>
      <c r="AH36" s="188">
        <f t="shared" si="38"/>
        <v>0</v>
      </c>
      <c r="AI36" s="188">
        <f t="shared" si="39"/>
        <v>0</v>
      </c>
      <c r="AJ36" s="188">
        <f t="shared" si="40"/>
        <v>0</v>
      </c>
      <c r="AK36" s="188">
        <f t="shared" si="28"/>
        <v>0</v>
      </c>
      <c r="AL36" s="188">
        <f t="shared" si="29"/>
        <v>0</v>
      </c>
      <c r="AM36" s="188">
        <f t="shared" si="30"/>
        <v>0</v>
      </c>
      <c r="AN36" s="188">
        <f t="shared" si="31"/>
        <v>0</v>
      </c>
      <c r="AO36" s="188">
        <f t="shared" si="32"/>
        <v>0</v>
      </c>
      <c r="AP36" s="188">
        <f t="shared" si="33"/>
        <v>0</v>
      </c>
    </row>
    <row r="37" spans="1:42" ht="15.75" thickBot="1" x14ac:dyDescent="0.3">
      <c r="A37" s="1" t="s">
        <v>337</v>
      </c>
      <c r="B37" s="149" t="s">
        <v>591</v>
      </c>
      <c r="C37" s="192" t="s">
        <v>294</v>
      </c>
      <c r="E37" s="201">
        <f>'0810'!H37</f>
        <v>1</v>
      </c>
      <c r="F37" s="186">
        <f t="shared" si="19"/>
        <v>3026.6632839691988</v>
      </c>
      <c r="G37" s="202">
        <v>1.1302752293599999E-2</v>
      </c>
      <c r="H37" s="202">
        <v>1</v>
      </c>
      <c r="I37" s="227">
        <v>1</v>
      </c>
      <c r="J37" s="227">
        <v>-1</v>
      </c>
      <c r="K37" s="227">
        <v>1</v>
      </c>
      <c r="L37" s="202">
        <v>1</v>
      </c>
      <c r="M37" s="228">
        <v>-2</v>
      </c>
      <c r="N37" s="288">
        <v>42577</v>
      </c>
      <c r="O37">
        <f t="shared" si="20"/>
        <v>-1</v>
      </c>
      <c r="P37">
        <f t="shared" si="34"/>
        <v>1</v>
      </c>
      <c r="Q37">
        <f t="shared" si="21"/>
        <v>-1</v>
      </c>
      <c r="R37">
        <f t="shared" si="22"/>
        <v>-1</v>
      </c>
      <c r="S37">
        <f t="shared" si="23"/>
        <v>-1</v>
      </c>
      <c r="T37">
        <f t="shared" si="24"/>
        <v>1</v>
      </c>
      <c r="U37">
        <f t="shared" si="35"/>
        <v>-1</v>
      </c>
      <c r="V37">
        <f>VLOOKUP($A37,'FuturesInfo (3)'!$A$2:$V$80,22)</f>
        <v>3</v>
      </c>
      <c r="W37">
        <v>1</v>
      </c>
      <c r="X37" s="354">
        <v>267781.08600000001</v>
      </c>
      <c r="Y37" s="354">
        <v>16565.5416</v>
      </c>
      <c r="Z37" s="188">
        <f t="shared" si="25"/>
        <v>3026.6632839691988</v>
      </c>
      <c r="AA37" s="188">
        <f>IF(IF(sym!$Q26=H37,1,0)=1,ABS(X37*G37),-ABS(X37*G37))</f>
        <v>3026.6632839691988</v>
      </c>
      <c r="AB37" s="188">
        <f>IF(IF(sym!$P26=$H37,1,0)=1,ABS($X37*$G37),-ABS($X37*$G37))</f>
        <v>-3026.6632839691988</v>
      </c>
      <c r="AC37" s="188">
        <f t="shared" si="41"/>
        <v>3026.6632839691988</v>
      </c>
      <c r="AD37" s="188">
        <f t="shared" si="26"/>
        <v>-3026.6632839691988</v>
      </c>
      <c r="AE37" s="188">
        <f t="shared" si="27"/>
        <v>-3026.6632839691988</v>
      </c>
      <c r="AF37" s="188">
        <f t="shared" si="36"/>
        <v>3026.6632839691988</v>
      </c>
      <c r="AG37" s="188">
        <f t="shared" si="37"/>
        <v>3026.6632839691988</v>
      </c>
      <c r="AH37" s="188">
        <f t="shared" si="38"/>
        <v>3026.6632839691988</v>
      </c>
      <c r="AI37" s="188">
        <f t="shared" si="39"/>
        <v>-3026.6632839691988</v>
      </c>
      <c r="AJ37" s="188">
        <f t="shared" si="40"/>
        <v>-3026.6632839691988</v>
      </c>
      <c r="AK37" s="188">
        <f t="shared" si="28"/>
        <v>3026.6632839691988</v>
      </c>
      <c r="AL37" s="188">
        <f t="shared" si="29"/>
        <v>-3026.6632839691988</v>
      </c>
      <c r="AM37" s="188">
        <f t="shared" si="30"/>
        <v>-3026.6632839691988</v>
      </c>
      <c r="AN37" s="188">
        <f t="shared" si="31"/>
        <v>-3026.6632839691988</v>
      </c>
      <c r="AO37" s="188">
        <f t="shared" si="32"/>
        <v>3026.6632839691988</v>
      </c>
      <c r="AP37" s="188">
        <f t="shared" si="33"/>
        <v>-3026.6632839691988</v>
      </c>
    </row>
    <row r="38" spans="1:42" ht="15.75" thickBot="1" x14ac:dyDescent="0.3">
      <c r="A38" s="1" t="s">
        <v>339</v>
      </c>
      <c r="B38" s="149" t="s">
        <v>596</v>
      </c>
      <c r="C38" s="192" t="s">
        <v>1122</v>
      </c>
      <c r="E38" s="201">
        <f>'0810'!H38</f>
        <v>1</v>
      </c>
      <c r="F38" s="186">
        <f t="shared" si="19"/>
        <v>466.8383507396793</v>
      </c>
      <c r="G38" s="202">
        <v>9.0552369453700005E-4</v>
      </c>
      <c r="H38" s="202">
        <v>1</v>
      </c>
      <c r="I38" s="227">
        <v>1</v>
      </c>
      <c r="J38" s="227">
        <v>-1</v>
      </c>
      <c r="K38" s="227">
        <v>1</v>
      </c>
      <c r="L38" s="202">
        <v>1</v>
      </c>
      <c r="M38" s="228">
        <v>6</v>
      </c>
      <c r="N38" s="288">
        <v>42584</v>
      </c>
      <c r="O38">
        <f t="shared" si="20"/>
        <v>1</v>
      </c>
      <c r="P38">
        <f t="shared" si="34"/>
        <v>1</v>
      </c>
      <c r="Q38">
        <f t="shared" si="21"/>
        <v>-1</v>
      </c>
      <c r="R38">
        <f t="shared" si="22"/>
        <v>-1</v>
      </c>
      <c r="S38">
        <f t="shared" si="23"/>
        <v>-1</v>
      </c>
      <c r="T38">
        <f t="shared" si="24"/>
        <v>-1</v>
      </c>
      <c r="U38">
        <f t="shared" si="35"/>
        <v>-1</v>
      </c>
      <c r="V38">
        <f>VLOOKUP($A38,'FuturesInfo (3)'!$A$2:$V$80,22)</f>
        <v>3</v>
      </c>
      <c r="W38">
        <v>1</v>
      </c>
      <c r="X38" s="354">
        <v>515545.15200000006</v>
      </c>
      <c r="Y38" s="354">
        <v>15302.331600000001</v>
      </c>
      <c r="Z38" s="188">
        <f t="shared" si="25"/>
        <v>466.8383507396793</v>
      </c>
      <c r="AA38" s="188">
        <f>IF(IF(sym!$Q27=H38,1,0)=1,ABS(X38*G38),-ABS(X38*G38))</f>
        <v>-466.8383507396793</v>
      </c>
      <c r="AB38" s="188">
        <f>IF(IF(sym!$P27=$H38,1,0)=1,ABS($X38*$G38),-ABS($X38*$G38))</f>
        <v>466.8383507396793</v>
      </c>
      <c r="AC38" s="188">
        <f t="shared" si="41"/>
        <v>466.8383507396793</v>
      </c>
      <c r="AD38" s="188">
        <f t="shared" si="26"/>
        <v>-466.8383507396793</v>
      </c>
      <c r="AE38" s="188">
        <f t="shared" si="27"/>
        <v>-466.8383507396793</v>
      </c>
      <c r="AF38" s="188">
        <f t="shared" si="36"/>
        <v>466.8383507396793</v>
      </c>
      <c r="AG38" s="188">
        <f t="shared" si="37"/>
        <v>466.8383507396793</v>
      </c>
      <c r="AH38" s="188">
        <f t="shared" si="38"/>
        <v>466.8383507396793</v>
      </c>
      <c r="AI38" s="188">
        <f t="shared" si="39"/>
        <v>-466.8383507396793</v>
      </c>
      <c r="AJ38" s="188">
        <f t="shared" si="40"/>
        <v>466.8383507396793</v>
      </c>
      <c r="AK38" s="188">
        <f t="shared" si="28"/>
        <v>466.8383507396793</v>
      </c>
      <c r="AL38" s="188">
        <f t="shared" si="29"/>
        <v>-466.8383507396793</v>
      </c>
      <c r="AM38" s="188">
        <f t="shared" si="30"/>
        <v>-466.8383507396793</v>
      </c>
      <c r="AN38" s="188">
        <f t="shared" si="31"/>
        <v>-466.8383507396793</v>
      </c>
      <c r="AO38" s="188">
        <f t="shared" si="32"/>
        <v>-466.8383507396793</v>
      </c>
      <c r="AP38" s="188">
        <f t="shared" si="33"/>
        <v>-466.8383507396793</v>
      </c>
    </row>
    <row r="39" spans="1:42" ht="15.75" thickBot="1" x14ac:dyDescent="0.3">
      <c r="A39" s="328" t="s">
        <v>341</v>
      </c>
      <c r="B39" s="329" t="s">
        <v>453</v>
      </c>
      <c r="C39" s="330" t="s">
        <v>1285</v>
      </c>
      <c r="E39" s="201">
        <f>'0810'!H39</f>
        <v>1</v>
      </c>
      <c r="F39" s="186">
        <f t="shared" si="19"/>
        <v>0</v>
      </c>
      <c r="G39" s="202">
        <v>-2.00461060439E-4</v>
      </c>
      <c r="H39" s="202">
        <v>-1</v>
      </c>
      <c r="I39" s="227">
        <v>1</v>
      </c>
      <c r="J39" s="227">
        <v>1</v>
      </c>
      <c r="K39" s="227">
        <v>1</v>
      </c>
      <c r="L39" s="202">
        <v>1</v>
      </c>
      <c r="M39" s="228">
        <v>5</v>
      </c>
      <c r="N39" s="288">
        <v>42585</v>
      </c>
      <c r="O39">
        <f t="shared" si="20"/>
        <v>1</v>
      </c>
      <c r="P39">
        <f t="shared" si="34"/>
        <v>1</v>
      </c>
      <c r="Q39">
        <f t="shared" si="21"/>
        <v>1</v>
      </c>
      <c r="R39">
        <f t="shared" si="22"/>
        <v>-1</v>
      </c>
      <c r="S39">
        <f t="shared" si="23"/>
        <v>1</v>
      </c>
      <c r="T39">
        <f t="shared" si="24"/>
        <v>-1</v>
      </c>
      <c r="U39">
        <f t="shared" si="35"/>
        <v>-1</v>
      </c>
      <c r="V39">
        <f>VLOOKUP($A39,'FuturesInfo (3)'!$A$2:$V$80,22)</f>
        <v>0</v>
      </c>
      <c r="W39">
        <v>1</v>
      </c>
      <c r="X39" s="354">
        <v>0</v>
      </c>
      <c r="Y39" s="354">
        <v>0</v>
      </c>
      <c r="Z39" s="188">
        <f t="shared" si="25"/>
        <v>0</v>
      </c>
      <c r="AA39" s="188">
        <f>IF(IF(sym!$Q28=H39,1,0)=1,ABS(X39*G39),-ABS(X39*G39))</f>
        <v>0</v>
      </c>
      <c r="AB39" s="188">
        <f>IF(IF(sym!$P28=$H39,1,0)=1,ABS($X39*$G39),-ABS($X39*$G39))</f>
        <v>0</v>
      </c>
      <c r="AC39" s="188">
        <f t="shared" si="41"/>
        <v>0</v>
      </c>
      <c r="AD39" s="188">
        <f t="shared" si="26"/>
        <v>0</v>
      </c>
      <c r="AE39" s="188">
        <f t="shared" si="27"/>
        <v>0</v>
      </c>
      <c r="AF39" s="188">
        <f t="shared" si="36"/>
        <v>0</v>
      </c>
      <c r="AG39" s="188">
        <f t="shared" si="37"/>
        <v>0</v>
      </c>
      <c r="AH39" s="188">
        <f t="shared" si="38"/>
        <v>0</v>
      </c>
      <c r="AI39" s="188">
        <f t="shared" si="39"/>
        <v>0</v>
      </c>
      <c r="AJ39" s="188">
        <f t="shared" si="40"/>
        <v>0</v>
      </c>
      <c r="AK39" s="188">
        <f t="shared" si="28"/>
        <v>0</v>
      </c>
      <c r="AL39" s="188">
        <f t="shared" si="29"/>
        <v>0</v>
      </c>
      <c r="AM39" s="188">
        <f t="shared" si="30"/>
        <v>0</v>
      </c>
      <c r="AN39" s="188">
        <f t="shared" si="31"/>
        <v>0</v>
      </c>
      <c r="AO39" s="188">
        <f t="shared" si="32"/>
        <v>0</v>
      </c>
      <c r="AP39" s="188">
        <f t="shared" si="33"/>
        <v>0</v>
      </c>
    </row>
    <row r="40" spans="1:42" ht="15.75" thickBot="1" x14ac:dyDescent="0.3">
      <c r="A40" s="1" t="s">
        <v>343</v>
      </c>
      <c r="B40" s="149" t="s">
        <v>765</v>
      </c>
      <c r="C40" s="192" t="s">
        <v>1122</v>
      </c>
      <c r="E40" s="201">
        <f>'0810'!H40</f>
        <v>1</v>
      </c>
      <c r="F40" s="186">
        <f t="shared" si="19"/>
        <v>-2888.5877188049553</v>
      </c>
      <c r="G40" s="202">
        <v>-3.3983072582700002E-3</v>
      </c>
      <c r="H40" s="202">
        <v>-1</v>
      </c>
      <c r="I40" s="227">
        <v>-1</v>
      </c>
      <c r="J40" s="227">
        <v>-1</v>
      </c>
      <c r="K40" s="227">
        <v>1</v>
      </c>
      <c r="L40" s="202">
        <v>1</v>
      </c>
      <c r="M40" s="228">
        <v>-4</v>
      </c>
      <c r="N40" s="288">
        <v>42586</v>
      </c>
      <c r="O40">
        <f t="shared" si="20"/>
        <v>-1</v>
      </c>
      <c r="P40">
        <f t="shared" si="34"/>
        <v>1</v>
      </c>
      <c r="Q40">
        <f t="shared" si="21"/>
        <v>-1</v>
      </c>
      <c r="R40">
        <f t="shared" si="22"/>
        <v>-1</v>
      </c>
      <c r="S40">
        <f t="shared" si="23"/>
        <v>-1</v>
      </c>
      <c r="T40">
        <f t="shared" si="24"/>
        <v>1</v>
      </c>
      <c r="U40">
        <f t="shared" si="35"/>
        <v>-1</v>
      </c>
      <c r="V40">
        <f>VLOOKUP($A40,'FuturesInfo (3)'!$A$2:$V$80,22)</f>
        <v>7</v>
      </c>
      <c r="W40">
        <v>1</v>
      </c>
      <c r="X40" s="354">
        <v>850007.8125</v>
      </c>
      <c r="Y40" s="354">
        <v>7000</v>
      </c>
      <c r="Z40" s="188">
        <f t="shared" si="25"/>
        <v>2888.5877188049553</v>
      </c>
      <c r="AA40" s="188">
        <f>IF(IF(sym!$Q29=H40,1,0)=1,ABS(X40*G40),-ABS(X40*G40))</f>
        <v>2888.5877188049553</v>
      </c>
      <c r="AB40" s="188">
        <f>IF(IF(sym!$P29=$H40,1,0)=1,ABS($X40*$G40),-ABS($X40*$G40))</f>
        <v>-2888.5877188049553</v>
      </c>
      <c r="AC40" s="188">
        <f t="shared" si="41"/>
        <v>-2888.5877188049553</v>
      </c>
      <c r="AD40" s="188">
        <f t="shared" si="26"/>
        <v>2888.5877188049553</v>
      </c>
      <c r="AE40" s="188">
        <f t="shared" si="27"/>
        <v>2888.5877188049553</v>
      </c>
      <c r="AF40" s="188">
        <f t="shared" si="36"/>
        <v>2888.5877188049553</v>
      </c>
      <c r="AG40" s="188">
        <f t="shared" si="37"/>
        <v>-2888.5877188049553</v>
      </c>
      <c r="AH40" s="188">
        <f t="shared" si="38"/>
        <v>-2888.5877188049553</v>
      </c>
      <c r="AI40" s="188">
        <f t="shared" si="39"/>
        <v>2888.5877188049553</v>
      </c>
      <c r="AJ40" s="188">
        <f t="shared" si="40"/>
        <v>2888.5877188049553</v>
      </c>
      <c r="AK40" s="188">
        <f t="shared" si="28"/>
        <v>-2888.5877188049553</v>
      </c>
      <c r="AL40" s="188">
        <f t="shared" si="29"/>
        <v>2888.5877188049553</v>
      </c>
      <c r="AM40" s="188">
        <f t="shared" si="30"/>
        <v>2888.5877188049553</v>
      </c>
      <c r="AN40" s="188">
        <f t="shared" si="31"/>
        <v>2888.5877188049553</v>
      </c>
      <c r="AO40" s="188">
        <f t="shared" si="32"/>
        <v>-2888.5877188049553</v>
      </c>
      <c r="AP40" s="188">
        <f t="shared" si="33"/>
        <v>2888.5877188049553</v>
      </c>
    </row>
    <row r="41" spans="1:42" ht="15.75" thickBot="1" x14ac:dyDescent="0.3">
      <c r="A41" s="1" t="s">
        <v>345</v>
      </c>
      <c r="B41" s="149" t="s">
        <v>602</v>
      </c>
      <c r="C41" s="192" t="s">
        <v>347</v>
      </c>
      <c r="E41" s="201">
        <f>'0810'!H41</f>
        <v>1</v>
      </c>
      <c r="F41" s="186">
        <f t="shared" si="19"/>
        <v>-379.46593683089998</v>
      </c>
      <c r="G41" s="202">
        <v>-1.4054293956699999E-3</v>
      </c>
      <c r="H41" s="202">
        <v>-1</v>
      </c>
      <c r="I41" s="227">
        <v>-1</v>
      </c>
      <c r="J41" s="227">
        <v>1</v>
      </c>
      <c r="K41" s="227">
        <v>-1</v>
      </c>
      <c r="L41" s="202">
        <v>1</v>
      </c>
      <c r="M41" s="228">
        <v>-6</v>
      </c>
      <c r="N41" s="288">
        <v>42584</v>
      </c>
      <c r="O41">
        <f t="shared" si="20"/>
        <v>-1</v>
      </c>
      <c r="P41">
        <f t="shared" si="34"/>
        <v>-1</v>
      </c>
      <c r="Q41">
        <f t="shared" si="21"/>
        <v>-1</v>
      </c>
      <c r="R41">
        <f t="shared" si="22"/>
        <v>-1</v>
      </c>
      <c r="S41">
        <f t="shared" si="23"/>
        <v>-1</v>
      </c>
      <c r="T41">
        <f t="shared" si="24"/>
        <v>1</v>
      </c>
      <c r="U41">
        <f t="shared" si="35"/>
        <v>-1</v>
      </c>
      <c r="V41">
        <f>VLOOKUP($A41,'FuturesInfo (3)'!$A$2:$V$80,22)</f>
        <v>2</v>
      </c>
      <c r="W41">
        <v>1</v>
      </c>
      <c r="X41" s="354">
        <v>270000</v>
      </c>
      <c r="Y41" s="354">
        <v>11250</v>
      </c>
      <c r="Z41" s="188">
        <f t="shared" si="25"/>
        <v>379.46593683089998</v>
      </c>
      <c r="AA41" s="188">
        <f>IF(IF(sym!$Q30=H41,1,0)=1,ABS(X41*G41),-ABS(X41*G41))</f>
        <v>379.46593683089998</v>
      </c>
      <c r="AB41" s="188">
        <f>IF(IF(sym!$P30=$H41,1,0)=1,ABS($X41*$G41),-ABS($X41*$G41))</f>
        <v>-379.46593683089998</v>
      </c>
      <c r="AC41" s="188">
        <f t="shared" si="41"/>
        <v>-379.46593683089998</v>
      </c>
      <c r="AD41" s="188">
        <f t="shared" si="26"/>
        <v>379.46593683089998</v>
      </c>
      <c r="AE41" s="188">
        <f t="shared" si="27"/>
        <v>-379.46593683089998</v>
      </c>
      <c r="AF41" s="188">
        <f t="shared" si="36"/>
        <v>379.46593683089998</v>
      </c>
      <c r="AG41" s="188">
        <f t="shared" si="37"/>
        <v>379.46593683089998</v>
      </c>
      <c r="AH41" s="188">
        <f t="shared" si="38"/>
        <v>-379.46593683089998</v>
      </c>
      <c r="AI41" s="188">
        <f t="shared" si="39"/>
        <v>379.46593683089998</v>
      </c>
      <c r="AJ41" s="188">
        <f t="shared" si="40"/>
        <v>379.46593683089998</v>
      </c>
      <c r="AK41" s="188">
        <f t="shared" si="28"/>
        <v>379.46593683089998</v>
      </c>
      <c r="AL41" s="188">
        <f t="shared" si="29"/>
        <v>379.46593683089998</v>
      </c>
      <c r="AM41" s="188">
        <f t="shared" si="30"/>
        <v>379.46593683089998</v>
      </c>
      <c r="AN41" s="188">
        <f t="shared" si="31"/>
        <v>379.46593683089998</v>
      </c>
      <c r="AO41" s="188">
        <f t="shared" si="32"/>
        <v>-379.46593683089998</v>
      </c>
      <c r="AP41" s="188">
        <f t="shared" si="33"/>
        <v>379.46593683089998</v>
      </c>
    </row>
    <row r="42" spans="1:42" ht="15.75" thickBot="1" x14ac:dyDescent="0.3">
      <c r="A42" s="1" t="s">
        <v>1023</v>
      </c>
      <c r="B42" s="149" t="s">
        <v>604</v>
      </c>
      <c r="C42" s="192" t="s">
        <v>294</v>
      </c>
      <c r="E42" s="201">
        <f>'0810'!H42</f>
        <v>1</v>
      </c>
      <c r="F42" s="186">
        <f t="shared" si="19"/>
        <v>1993.2368876534345</v>
      </c>
      <c r="G42" s="202">
        <v>1.0948905109499999E-2</v>
      </c>
      <c r="H42" s="202">
        <v>1</v>
      </c>
      <c r="I42" s="227">
        <v>-1</v>
      </c>
      <c r="J42" s="227">
        <v>-1</v>
      </c>
      <c r="K42" s="227">
        <v>-1</v>
      </c>
      <c r="L42" s="202">
        <v>-1</v>
      </c>
      <c r="M42" s="228">
        <v>-6</v>
      </c>
      <c r="N42" s="288">
        <v>42583</v>
      </c>
      <c r="O42">
        <f t="shared" si="20"/>
        <v>1</v>
      </c>
      <c r="P42">
        <f t="shared" si="34"/>
        <v>1</v>
      </c>
      <c r="Q42">
        <f t="shared" si="21"/>
        <v>-1</v>
      </c>
      <c r="R42">
        <f t="shared" si="22"/>
        <v>-1</v>
      </c>
      <c r="S42">
        <f t="shared" si="23"/>
        <v>-1</v>
      </c>
      <c r="T42">
        <f t="shared" si="24"/>
        <v>1</v>
      </c>
      <c r="U42">
        <f t="shared" si="35"/>
        <v>-1</v>
      </c>
      <c r="V42">
        <f>VLOOKUP($A42,'FuturesInfo (3)'!$A$2:$V$80,22)</f>
        <v>3</v>
      </c>
      <c r="W42">
        <v>1</v>
      </c>
      <c r="X42" s="354">
        <v>182048.96907216497</v>
      </c>
      <c r="Y42" s="354">
        <v>15115.9793814433</v>
      </c>
      <c r="Z42" s="188">
        <f t="shared" si="25"/>
        <v>1993.2368876534345</v>
      </c>
      <c r="AA42" s="188">
        <f>IF(IF(sym!$Q31=H42,1,0)=1,ABS(X42*G42),-ABS(X42*G42))</f>
        <v>1993.2368876534345</v>
      </c>
      <c r="AB42" s="188">
        <f>IF(IF(sym!$P31=$H42,1,0)=1,ABS($X42*$G42),-ABS($X42*$G42))</f>
        <v>-1993.2368876534345</v>
      </c>
      <c r="AC42" s="188">
        <f t="shared" si="41"/>
        <v>1993.2368876534345</v>
      </c>
      <c r="AD42" s="188">
        <f t="shared" si="26"/>
        <v>-1993.2368876534345</v>
      </c>
      <c r="AE42" s="188">
        <f t="shared" si="27"/>
        <v>-1993.2368876534345</v>
      </c>
      <c r="AF42" s="188">
        <f t="shared" si="36"/>
        <v>-1993.2368876534345</v>
      </c>
      <c r="AG42" s="188">
        <f t="shared" si="37"/>
        <v>-1993.2368876534345</v>
      </c>
      <c r="AH42" s="188">
        <f t="shared" si="38"/>
        <v>-1993.2368876534345</v>
      </c>
      <c r="AI42" s="188">
        <f t="shared" si="39"/>
        <v>1993.2368876534345</v>
      </c>
      <c r="AJ42" s="188">
        <f t="shared" si="40"/>
        <v>1993.2368876534345</v>
      </c>
      <c r="AK42" s="188">
        <f t="shared" si="28"/>
        <v>1993.2368876534345</v>
      </c>
      <c r="AL42" s="188">
        <f t="shared" si="29"/>
        <v>-1993.2368876534345</v>
      </c>
      <c r="AM42" s="188">
        <f t="shared" si="30"/>
        <v>-1993.2368876534345</v>
      </c>
      <c r="AN42" s="188">
        <f t="shared" si="31"/>
        <v>-1993.2368876534345</v>
      </c>
      <c r="AO42" s="188">
        <f t="shared" si="32"/>
        <v>1993.2368876534345</v>
      </c>
      <c r="AP42" s="188">
        <f t="shared" si="33"/>
        <v>-1993.2368876534345</v>
      </c>
    </row>
    <row r="43" spans="1:42" ht="15.75" thickBot="1" x14ac:dyDescent="0.3">
      <c r="A43" s="1" t="s">
        <v>349</v>
      </c>
      <c r="B43" s="149" t="s">
        <v>515</v>
      </c>
      <c r="C43" s="192" t="s">
        <v>347</v>
      </c>
      <c r="E43" s="201">
        <f>'0810'!H43</f>
        <v>1</v>
      </c>
      <c r="F43" s="186">
        <f t="shared" si="19"/>
        <v>1513.818516813209</v>
      </c>
      <c r="G43" s="202">
        <v>9.2123445416899992E-3</v>
      </c>
      <c r="H43" s="202">
        <v>1</v>
      </c>
      <c r="I43" s="227">
        <v>1</v>
      </c>
      <c r="J43" s="227">
        <v>1</v>
      </c>
      <c r="K43" s="227">
        <v>-1</v>
      </c>
      <c r="L43" s="202">
        <v>-1</v>
      </c>
      <c r="M43" s="228">
        <v>8</v>
      </c>
      <c r="N43" s="288">
        <v>42580</v>
      </c>
      <c r="O43">
        <f t="shared" si="20"/>
        <v>-1</v>
      </c>
      <c r="P43">
        <f t="shared" si="34"/>
        <v>1</v>
      </c>
      <c r="Q43">
        <f t="shared" si="21"/>
        <v>-1</v>
      </c>
      <c r="R43">
        <f t="shared" si="22"/>
        <v>1</v>
      </c>
      <c r="S43">
        <f t="shared" si="23"/>
        <v>1</v>
      </c>
      <c r="T43">
        <f t="shared" si="24"/>
        <v>1</v>
      </c>
      <c r="U43">
        <f t="shared" si="35"/>
        <v>1</v>
      </c>
      <c r="V43">
        <f>VLOOKUP($A43,'FuturesInfo (3)'!$A$2:$V$80,22)</f>
        <v>2</v>
      </c>
      <c r="W43">
        <v>1</v>
      </c>
      <c r="X43" s="354">
        <v>164325</v>
      </c>
      <c r="Y43" s="354">
        <v>8625</v>
      </c>
      <c r="Z43" s="188">
        <f t="shared" si="25"/>
        <v>1513.818516813209</v>
      </c>
      <c r="AA43" s="188">
        <f>IF(IF(sym!$Q32=H43,1,0)=1,ABS(X43*G43),-ABS(X43*G43))</f>
        <v>1513.818516813209</v>
      </c>
      <c r="AB43" s="188">
        <f>IF(IF(sym!$P32=$H43,1,0)=1,ABS($X43*$G43),-ABS($X43*$G43))</f>
        <v>-1513.818516813209</v>
      </c>
      <c r="AC43" s="188">
        <f t="shared" si="41"/>
        <v>1513.818516813209</v>
      </c>
      <c r="AD43" s="188">
        <f t="shared" si="26"/>
        <v>-1513.818516813209</v>
      </c>
      <c r="AE43" s="188">
        <f t="shared" si="27"/>
        <v>1513.818516813209</v>
      </c>
      <c r="AF43" s="188">
        <f t="shared" si="36"/>
        <v>1513.818516813209</v>
      </c>
      <c r="AG43" s="188">
        <f t="shared" si="37"/>
        <v>-1513.818516813209</v>
      </c>
      <c r="AH43" s="188">
        <f t="shared" si="38"/>
        <v>-1513.818516813209</v>
      </c>
      <c r="AI43" s="188">
        <f t="shared" si="39"/>
        <v>1513.818516813209</v>
      </c>
      <c r="AJ43" s="188">
        <f t="shared" si="40"/>
        <v>-1513.818516813209</v>
      </c>
      <c r="AK43" s="188">
        <f t="shared" si="28"/>
        <v>1513.818516813209</v>
      </c>
      <c r="AL43" s="188">
        <f t="shared" si="29"/>
        <v>-1513.818516813209</v>
      </c>
      <c r="AM43" s="188">
        <f t="shared" si="30"/>
        <v>1513.818516813209</v>
      </c>
      <c r="AN43" s="188">
        <f t="shared" si="31"/>
        <v>1513.818516813209</v>
      </c>
      <c r="AO43" s="188">
        <f t="shared" si="32"/>
        <v>1513.818516813209</v>
      </c>
      <c r="AP43" s="188">
        <f t="shared" si="33"/>
        <v>1513.818516813209</v>
      </c>
    </row>
    <row r="44" spans="1:42" ht="15.75" thickBot="1" x14ac:dyDescent="0.3">
      <c r="A44" s="1" t="s">
        <v>1024</v>
      </c>
      <c r="B44" s="149" t="s">
        <v>353</v>
      </c>
      <c r="C44" s="192" t="s">
        <v>294</v>
      </c>
      <c r="E44" s="201">
        <f>'0810'!H44</f>
        <v>-1</v>
      </c>
      <c r="F44" s="186">
        <f t="shared" si="19"/>
        <v>1815.3894258611751</v>
      </c>
      <c r="G44" s="202">
        <v>6.2444246208699997E-3</v>
      </c>
      <c r="H44" s="202">
        <v>1</v>
      </c>
      <c r="I44" s="227">
        <v>1</v>
      </c>
      <c r="J44" s="227">
        <v>-1</v>
      </c>
      <c r="K44" s="227">
        <v>1</v>
      </c>
      <c r="L44" s="202">
        <v>-1</v>
      </c>
      <c r="M44" s="228">
        <v>24</v>
      </c>
      <c r="N44" s="288">
        <v>42557</v>
      </c>
      <c r="O44">
        <f t="shared" si="20"/>
        <v>-1</v>
      </c>
      <c r="P44">
        <f t="shared" si="34"/>
        <v>1</v>
      </c>
      <c r="Q44">
        <f t="shared" si="21"/>
        <v>-1</v>
      </c>
      <c r="R44">
        <f t="shared" si="22"/>
        <v>1</v>
      </c>
      <c r="S44">
        <f t="shared" si="23"/>
        <v>1</v>
      </c>
      <c r="T44">
        <f t="shared" si="24"/>
        <v>-1</v>
      </c>
      <c r="U44">
        <f t="shared" si="35"/>
        <v>1</v>
      </c>
      <c r="V44">
        <f>VLOOKUP($A44,'FuturesInfo (3)'!$A$2:$V$80,22)</f>
        <v>2</v>
      </c>
      <c r="W44">
        <v>1</v>
      </c>
      <c r="X44" s="354">
        <v>290721.64948453609</v>
      </c>
      <c r="Y44" s="354">
        <v>25265.463917525773</v>
      </c>
      <c r="Z44" s="188">
        <f t="shared" si="25"/>
        <v>1815.3894258611751</v>
      </c>
      <c r="AA44" s="188">
        <f>IF(IF(sym!$Q33=H44,1,0)=1,ABS(X44*G44),-ABS(X44*G44))</f>
        <v>1815.3894258611751</v>
      </c>
      <c r="AB44" s="188">
        <f>IF(IF(sym!$P33=$H44,1,0)=1,ABS($X44*$G44),-ABS($X44*$G44))</f>
        <v>-1815.3894258611751</v>
      </c>
      <c r="AC44" s="188">
        <f t="shared" si="41"/>
        <v>-1815.3894258611751</v>
      </c>
      <c r="AD44" s="188">
        <f t="shared" si="26"/>
        <v>1815.3894258611751</v>
      </c>
      <c r="AE44" s="188">
        <f t="shared" si="27"/>
        <v>-1815.3894258611751</v>
      </c>
      <c r="AF44" s="188">
        <f t="shared" si="36"/>
        <v>1815.3894258611751</v>
      </c>
      <c r="AG44" s="188">
        <f t="shared" si="37"/>
        <v>1815.3894258611751</v>
      </c>
      <c r="AH44" s="188">
        <f t="shared" si="38"/>
        <v>-1815.3894258611751</v>
      </c>
      <c r="AI44" s="188">
        <f t="shared" si="39"/>
        <v>1815.3894258611751</v>
      </c>
      <c r="AJ44" s="188">
        <f t="shared" si="40"/>
        <v>-1815.3894258611751</v>
      </c>
      <c r="AK44" s="188">
        <f t="shared" si="28"/>
        <v>1815.3894258611751</v>
      </c>
      <c r="AL44" s="188">
        <f t="shared" si="29"/>
        <v>-1815.3894258611751</v>
      </c>
      <c r="AM44" s="188">
        <f t="shared" si="30"/>
        <v>1815.3894258611751</v>
      </c>
      <c r="AN44" s="188">
        <f t="shared" si="31"/>
        <v>1815.3894258611751</v>
      </c>
      <c r="AO44" s="188">
        <f t="shared" si="32"/>
        <v>-1815.3894258611751</v>
      </c>
      <c r="AP44" s="188">
        <f t="shared" si="33"/>
        <v>1815.3894258611751</v>
      </c>
    </row>
    <row r="45" spans="1:42" ht="15.75" thickBot="1" x14ac:dyDescent="0.3">
      <c r="A45" s="1" t="s">
        <v>351</v>
      </c>
      <c r="B45" s="149" t="s">
        <v>617</v>
      </c>
      <c r="C45" s="192" t="s">
        <v>288</v>
      </c>
      <c r="E45" s="201">
        <f>'0810'!H45</f>
        <v>-1</v>
      </c>
      <c r="F45" s="186">
        <f t="shared" si="19"/>
        <v>5867.7574332563809</v>
      </c>
      <c r="G45" s="202">
        <v>5.0439927184500001E-2</v>
      </c>
      <c r="H45" s="202">
        <v>1</v>
      </c>
      <c r="I45" s="227">
        <v>1</v>
      </c>
      <c r="J45" s="227">
        <v>1</v>
      </c>
      <c r="K45" s="227">
        <v>1</v>
      </c>
      <c r="L45" s="202">
        <v>1</v>
      </c>
      <c r="M45" s="228">
        <v>7</v>
      </c>
      <c r="N45" s="288">
        <v>42583</v>
      </c>
      <c r="O45">
        <f t="shared" si="20"/>
        <v>1</v>
      </c>
      <c r="P45">
        <f t="shared" si="34"/>
        <v>-1</v>
      </c>
      <c r="Q45">
        <f t="shared" si="21"/>
        <v>1</v>
      </c>
      <c r="R45">
        <f t="shared" si="22"/>
        <v>1</v>
      </c>
      <c r="S45">
        <f t="shared" si="23"/>
        <v>1</v>
      </c>
      <c r="T45">
        <f t="shared" si="24"/>
        <v>-1</v>
      </c>
      <c r="U45">
        <f t="shared" si="35"/>
        <v>1</v>
      </c>
      <c r="V45">
        <f>VLOOKUP($A45,'FuturesInfo (3)'!$A$2:$V$80,22)</f>
        <v>2</v>
      </c>
      <c r="W45">
        <v>1</v>
      </c>
      <c r="X45" s="354">
        <v>116331.6</v>
      </c>
      <c r="Y45" s="354">
        <v>11970</v>
      </c>
      <c r="Z45" s="188">
        <f t="shared" si="25"/>
        <v>5867.7574332563809</v>
      </c>
      <c r="AA45" s="188">
        <f>IF(IF(sym!$Q34=H45,1,0)=1,ABS(X45*G45),-ABS(X45*G45))</f>
        <v>5867.7574332563809</v>
      </c>
      <c r="AB45" s="188">
        <f>IF(IF(sym!$P34=$H45,1,0)=1,ABS($X45*$G45),-ABS($X45*$G45))</f>
        <v>-5867.7574332563809</v>
      </c>
      <c r="AC45" s="188">
        <f t="shared" si="41"/>
        <v>-5867.7574332563809</v>
      </c>
      <c r="AD45" s="188">
        <f t="shared" si="26"/>
        <v>5867.7574332563809</v>
      </c>
      <c r="AE45" s="188">
        <f t="shared" si="27"/>
        <v>5867.7574332563809</v>
      </c>
      <c r="AF45" s="188">
        <f t="shared" si="36"/>
        <v>5867.7574332563809</v>
      </c>
      <c r="AG45" s="188">
        <f t="shared" si="37"/>
        <v>5867.7574332563809</v>
      </c>
      <c r="AH45" s="188">
        <f t="shared" si="38"/>
        <v>5867.7574332563809</v>
      </c>
      <c r="AI45" s="188">
        <f t="shared" si="39"/>
        <v>-5867.7574332563809</v>
      </c>
      <c r="AJ45" s="188">
        <f t="shared" si="40"/>
        <v>5867.7574332563809</v>
      </c>
      <c r="AK45" s="188">
        <f t="shared" si="28"/>
        <v>-5867.7574332563809</v>
      </c>
      <c r="AL45" s="188">
        <f t="shared" si="29"/>
        <v>5867.7574332563809</v>
      </c>
      <c r="AM45" s="188">
        <f t="shared" si="30"/>
        <v>5867.7574332563809</v>
      </c>
      <c r="AN45" s="188">
        <f t="shared" si="31"/>
        <v>5867.7574332563809</v>
      </c>
      <c r="AO45" s="188">
        <f t="shared" si="32"/>
        <v>-5867.7574332563809</v>
      </c>
      <c r="AP45" s="188">
        <f t="shared" si="33"/>
        <v>5867.7574332563809</v>
      </c>
    </row>
    <row r="46" spans="1:42" ht="15.75" thickBot="1" x14ac:dyDescent="0.3">
      <c r="A46" s="1" t="s">
        <v>355</v>
      </c>
      <c r="B46" s="149" t="s">
        <v>623</v>
      </c>
      <c r="C46" s="192" t="s">
        <v>1121</v>
      </c>
      <c r="E46" s="201">
        <f>'0810'!H46</f>
        <v>1</v>
      </c>
      <c r="F46" s="186">
        <f t="shared" si="19"/>
        <v>-1503.242450300128</v>
      </c>
      <c r="G46" s="202">
        <v>-6.1206940158799999E-3</v>
      </c>
      <c r="H46" s="202">
        <v>-1</v>
      </c>
      <c r="I46" s="227">
        <v>1</v>
      </c>
      <c r="J46" s="227">
        <v>1</v>
      </c>
      <c r="K46" s="227">
        <v>1</v>
      </c>
      <c r="L46" s="202">
        <v>1</v>
      </c>
      <c r="M46" s="228">
        <v>2</v>
      </c>
      <c r="N46" s="288">
        <v>42584</v>
      </c>
      <c r="O46">
        <f t="shared" si="20"/>
        <v>1</v>
      </c>
      <c r="P46">
        <f t="shared" si="34"/>
        <v>1</v>
      </c>
      <c r="Q46">
        <f t="shared" si="21"/>
        <v>1</v>
      </c>
      <c r="R46">
        <f t="shared" si="22"/>
        <v>-1</v>
      </c>
      <c r="S46">
        <f t="shared" si="23"/>
        <v>1</v>
      </c>
      <c r="T46">
        <f t="shared" si="24"/>
        <v>-1</v>
      </c>
      <c r="U46">
        <f t="shared" si="35"/>
        <v>-1</v>
      </c>
      <c r="V46">
        <f>VLOOKUP($A46,'FuturesInfo (3)'!$A$2:$V$80,22)</f>
        <v>2</v>
      </c>
      <c r="W46">
        <v>1</v>
      </c>
      <c r="X46" s="354">
        <v>245600</v>
      </c>
      <c r="Y46" s="354">
        <v>7894</v>
      </c>
      <c r="Z46" s="188">
        <f t="shared" si="25"/>
        <v>1503.242450300128</v>
      </c>
      <c r="AA46" s="188">
        <f>IF(IF(sym!$Q35=H46,1,0)=1,ABS(X46*G46),-ABS(X46*G46))</f>
        <v>1503.242450300128</v>
      </c>
      <c r="AB46" s="188">
        <f>IF(IF(sym!$P35=$H46,1,0)=1,ABS($X46*$G46),-ABS($X46*$G46))</f>
        <v>-1503.242450300128</v>
      </c>
      <c r="AC46" s="188">
        <f t="shared" si="41"/>
        <v>-1503.242450300128</v>
      </c>
      <c r="AD46" s="188">
        <f t="shared" si="26"/>
        <v>1503.242450300128</v>
      </c>
      <c r="AE46" s="188">
        <f t="shared" si="27"/>
        <v>-1503.242450300128</v>
      </c>
      <c r="AF46" s="188">
        <f t="shared" si="36"/>
        <v>-1503.242450300128</v>
      </c>
      <c r="AG46" s="188">
        <f t="shared" si="37"/>
        <v>-1503.242450300128</v>
      </c>
      <c r="AH46" s="188">
        <f t="shared" si="38"/>
        <v>-1503.242450300128</v>
      </c>
      <c r="AI46" s="188">
        <f t="shared" si="39"/>
        <v>1503.242450300128</v>
      </c>
      <c r="AJ46" s="188">
        <f t="shared" si="40"/>
        <v>-1503.242450300128</v>
      </c>
      <c r="AK46" s="188">
        <f t="shared" si="28"/>
        <v>-1503.242450300128</v>
      </c>
      <c r="AL46" s="188">
        <f t="shared" si="29"/>
        <v>-1503.242450300128</v>
      </c>
      <c r="AM46" s="188">
        <f t="shared" si="30"/>
        <v>1503.242450300128</v>
      </c>
      <c r="AN46" s="188">
        <f t="shared" si="31"/>
        <v>-1503.242450300128</v>
      </c>
      <c r="AO46" s="188">
        <f t="shared" ref="AO46:AO77" si="42">IF(IF(T46=$H46,1,0)=1,ABS($X46*$G46),-ABS($X46*$G46))</f>
        <v>1503.242450300128</v>
      </c>
      <c r="AP46" s="188">
        <f t="shared" ref="AP46:AP77" si="43">IF(IF(U46=$H46,1,0)=1,ABS($X46*$G46),-ABS($X46*$G46))</f>
        <v>1503.242450300128</v>
      </c>
    </row>
    <row r="47" spans="1:42" ht="15.75" thickBot="1" x14ac:dyDescent="0.3">
      <c r="A47" s="1" t="s">
        <v>357</v>
      </c>
      <c r="B47" s="149" t="s">
        <v>513</v>
      </c>
      <c r="C47" s="192" t="s">
        <v>304</v>
      </c>
      <c r="E47" s="201">
        <f>'0810'!H47</f>
        <v>-1</v>
      </c>
      <c r="F47" s="186">
        <f t="shared" si="19"/>
        <v>-892.41306638615447</v>
      </c>
      <c r="G47" s="202">
        <v>-8.4299262381500005E-3</v>
      </c>
      <c r="H47" s="202">
        <v>-1</v>
      </c>
      <c r="I47" s="227">
        <v>-1</v>
      </c>
      <c r="J47" s="227">
        <v>1</v>
      </c>
      <c r="K47" s="227">
        <v>-1</v>
      </c>
      <c r="L47" s="202">
        <v>1</v>
      </c>
      <c r="M47" s="228">
        <v>-8</v>
      </c>
      <c r="N47" s="288">
        <v>42580</v>
      </c>
      <c r="O47">
        <f t="shared" si="20"/>
        <v>-1</v>
      </c>
      <c r="P47">
        <f t="shared" si="34"/>
        <v>-1</v>
      </c>
      <c r="Q47">
        <f t="shared" si="21"/>
        <v>1</v>
      </c>
      <c r="R47">
        <f t="shared" si="22"/>
        <v>-1</v>
      </c>
      <c r="S47">
        <f t="shared" si="23"/>
        <v>-1</v>
      </c>
      <c r="T47">
        <f t="shared" si="24"/>
        <v>1</v>
      </c>
      <c r="U47">
        <f t="shared" si="35"/>
        <v>1</v>
      </c>
      <c r="V47">
        <f>VLOOKUP($A47,'FuturesInfo (3)'!$A$2:$V$80,22)</f>
        <v>2</v>
      </c>
      <c r="W47">
        <v>1</v>
      </c>
      <c r="X47" s="354">
        <v>105862.5</v>
      </c>
      <c r="Y47" s="354">
        <v>15000</v>
      </c>
      <c r="Z47" s="188">
        <f t="shared" si="25"/>
        <v>892.41306638615447</v>
      </c>
      <c r="AA47" s="188">
        <f>IF(IF(sym!$Q36=H47,1,0)=1,ABS(X47*G47),-ABS(X47*G47))</f>
        <v>-892.41306638615447</v>
      </c>
      <c r="AB47" s="188">
        <f>IF(IF(sym!$P36=$H47,1,0)=1,ABS($X47*$G47),-ABS($X47*$G47))</f>
        <v>892.41306638615447</v>
      </c>
      <c r="AC47" s="188">
        <f t="shared" si="41"/>
        <v>892.41306638615447</v>
      </c>
      <c r="AD47" s="188">
        <f t="shared" si="26"/>
        <v>-892.41306638615447</v>
      </c>
      <c r="AE47" s="188">
        <f t="shared" si="27"/>
        <v>-892.41306638615447</v>
      </c>
      <c r="AF47" s="188">
        <f t="shared" si="36"/>
        <v>892.41306638615447</v>
      </c>
      <c r="AG47" s="188">
        <f t="shared" si="37"/>
        <v>892.41306638615447</v>
      </c>
      <c r="AH47" s="188">
        <f t="shared" si="38"/>
        <v>-892.41306638615447</v>
      </c>
      <c r="AI47" s="188">
        <f t="shared" si="39"/>
        <v>892.41306638615447</v>
      </c>
      <c r="AJ47" s="188">
        <f t="shared" si="40"/>
        <v>892.41306638615447</v>
      </c>
      <c r="AK47" s="188">
        <f t="shared" si="28"/>
        <v>892.41306638615447</v>
      </c>
      <c r="AL47" s="188">
        <f t="shared" si="29"/>
        <v>-892.41306638615447</v>
      </c>
      <c r="AM47" s="188">
        <f t="shared" si="30"/>
        <v>892.41306638615447</v>
      </c>
      <c r="AN47" s="188">
        <f t="shared" si="31"/>
        <v>892.41306638615447</v>
      </c>
      <c r="AO47" s="188">
        <f t="shared" si="42"/>
        <v>-892.41306638615447</v>
      </c>
      <c r="AP47" s="188">
        <f t="shared" si="43"/>
        <v>-892.41306638615447</v>
      </c>
    </row>
    <row r="48" spans="1:42" ht="15.75" thickBot="1" x14ac:dyDescent="0.3">
      <c r="A48" s="1" t="s">
        <v>1051</v>
      </c>
      <c r="B48" s="149" t="s">
        <v>614</v>
      </c>
      <c r="C48" s="192" t="s">
        <v>297</v>
      </c>
      <c r="E48" s="201">
        <f>'0810'!H48</f>
        <v>1</v>
      </c>
      <c r="F48" s="186">
        <f t="shared" si="19"/>
        <v>125.15179113523877</v>
      </c>
      <c r="G48" s="202">
        <v>1.2143290831800001E-3</v>
      </c>
      <c r="H48" s="202">
        <v>1</v>
      </c>
      <c r="I48" s="227">
        <v>1</v>
      </c>
      <c r="J48" s="227">
        <v>1</v>
      </c>
      <c r="K48" s="227">
        <v>1</v>
      </c>
      <c r="L48" s="202">
        <v>1</v>
      </c>
      <c r="M48" s="228">
        <v>-8</v>
      </c>
      <c r="N48" s="288">
        <v>42580</v>
      </c>
      <c r="O48">
        <f t="shared" si="20"/>
        <v>-1</v>
      </c>
      <c r="P48">
        <f t="shared" si="34"/>
        <v>1</v>
      </c>
      <c r="Q48">
        <f t="shared" si="21"/>
        <v>-1</v>
      </c>
      <c r="R48">
        <f t="shared" si="22"/>
        <v>-1</v>
      </c>
      <c r="S48">
        <f t="shared" si="23"/>
        <v>-1</v>
      </c>
      <c r="T48">
        <f t="shared" si="24"/>
        <v>1</v>
      </c>
      <c r="U48">
        <f t="shared" si="35"/>
        <v>-1</v>
      </c>
      <c r="V48">
        <f>VLOOKUP($A48,'FuturesInfo (3)'!$A$2:$V$80,22)</f>
        <v>4</v>
      </c>
      <c r="W48">
        <v>1</v>
      </c>
      <c r="X48" s="354">
        <v>103062.5</v>
      </c>
      <c r="Y48" s="354">
        <v>8750</v>
      </c>
      <c r="Z48" s="188">
        <f t="shared" si="25"/>
        <v>125.15179113523877</v>
      </c>
      <c r="AA48" s="188">
        <f>IF(IF(sym!$Q37=H48,1,0)=1,ABS(X48*G48),-ABS(X48*G48))</f>
        <v>125.15179113523877</v>
      </c>
      <c r="AB48" s="188">
        <f>IF(IF(sym!$P37=$H48,1,0)=1,ABS($X48*$G48),-ABS($X48*$G48))</f>
        <v>-125.15179113523877</v>
      </c>
      <c r="AC48" s="188">
        <f t="shared" si="41"/>
        <v>125.15179113523877</v>
      </c>
      <c r="AD48" s="188">
        <f t="shared" si="26"/>
        <v>-125.15179113523877</v>
      </c>
      <c r="AE48" s="188">
        <f t="shared" si="27"/>
        <v>125.15179113523877</v>
      </c>
      <c r="AF48" s="188">
        <f t="shared" si="36"/>
        <v>125.15179113523877</v>
      </c>
      <c r="AG48" s="188">
        <f t="shared" si="37"/>
        <v>125.15179113523877</v>
      </c>
      <c r="AH48" s="188">
        <f t="shared" si="38"/>
        <v>125.15179113523877</v>
      </c>
      <c r="AI48" s="188">
        <f t="shared" si="39"/>
        <v>-125.15179113523877</v>
      </c>
      <c r="AJ48" s="188">
        <f t="shared" si="40"/>
        <v>-125.15179113523877</v>
      </c>
      <c r="AK48" s="188">
        <f t="shared" si="28"/>
        <v>125.15179113523877</v>
      </c>
      <c r="AL48" s="188">
        <f t="shared" si="29"/>
        <v>-125.15179113523877</v>
      </c>
      <c r="AM48" s="188">
        <f t="shared" si="30"/>
        <v>-125.15179113523877</v>
      </c>
      <c r="AN48" s="188">
        <f t="shared" si="31"/>
        <v>-125.15179113523877</v>
      </c>
      <c r="AO48" s="188">
        <f t="shared" si="42"/>
        <v>125.15179113523877</v>
      </c>
      <c r="AP48" s="188">
        <f t="shared" si="43"/>
        <v>-125.15179113523877</v>
      </c>
    </row>
    <row r="49" spans="1:42" ht="15.75" thickBot="1" x14ac:dyDescent="0.3">
      <c r="A49" s="4" t="s">
        <v>359</v>
      </c>
      <c r="B49" s="149" t="s">
        <v>708</v>
      </c>
      <c r="C49" s="330" t="s">
        <v>1285</v>
      </c>
      <c r="E49" s="201">
        <f>'0810'!H49</f>
        <v>-1</v>
      </c>
      <c r="F49" s="186">
        <f t="shared" si="19"/>
        <v>-2607.5288781319537</v>
      </c>
      <c r="G49" s="202">
        <v>-2.4493498639200001E-2</v>
      </c>
      <c r="H49" s="234">
        <v>-1</v>
      </c>
      <c r="I49" s="230">
        <v>-1</v>
      </c>
      <c r="J49" s="230">
        <v>-1</v>
      </c>
      <c r="K49" s="230">
        <v>-1</v>
      </c>
      <c r="L49" s="202">
        <v>1</v>
      </c>
      <c r="M49" s="228">
        <v>7</v>
      </c>
      <c r="N49" s="288">
        <v>42583</v>
      </c>
      <c r="O49">
        <f t="shared" si="20"/>
        <v>1</v>
      </c>
      <c r="P49">
        <f t="shared" si="34"/>
        <v>-1</v>
      </c>
      <c r="Q49">
        <f t="shared" si="21"/>
        <v>1</v>
      </c>
      <c r="R49">
        <f t="shared" si="22"/>
        <v>-1</v>
      </c>
      <c r="S49">
        <f t="shared" si="23"/>
        <v>-1</v>
      </c>
      <c r="T49">
        <f t="shared" si="24"/>
        <v>-1</v>
      </c>
      <c r="U49">
        <f t="shared" si="35"/>
        <v>-1</v>
      </c>
      <c r="V49">
        <f>VLOOKUP($A49,'FuturesInfo (3)'!$A$2:$V$80,22)</f>
        <v>0</v>
      </c>
      <c r="W49">
        <v>1</v>
      </c>
      <c r="X49" s="354">
        <v>106458</v>
      </c>
      <c r="Y49" s="354">
        <v>7311</v>
      </c>
      <c r="Z49" s="188">
        <f t="shared" si="25"/>
        <v>2607.5288781319537</v>
      </c>
      <c r="AA49" s="188">
        <f>IF(IF(sym!$Q38=H49,1,0)=1,ABS(X49*G49),-ABS(X49*G49))</f>
        <v>-2607.5288781319537</v>
      </c>
      <c r="AB49" s="188">
        <f>IF(IF(sym!$P38=$H49,1,0)=1,ABS($X49*$G49),-ABS($X49*$G49))</f>
        <v>2607.5288781319537</v>
      </c>
      <c r="AC49" s="188">
        <f t="shared" si="41"/>
        <v>2607.5288781319537</v>
      </c>
      <c r="AD49" s="188">
        <f t="shared" si="26"/>
        <v>-2607.5288781319537</v>
      </c>
      <c r="AE49" s="188">
        <f t="shared" si="27"/>
        <v>2607.5288781319537</v>
      </c>
      <c r="AF49" s="188">
        <f t="shared" si="36"/>
        <v>2607.5288781319537</v>
      </c>
      <c r="AG49" s="188">
        <f t="shared" si="37"/>
        <v>2607.5288781319537</v>
      </c>
      <c r="AH49" s="188">
        <f t="shared" si="38"/>
        <v>-2607.5288781319537</v>
      </c>
      <c r="AI49" s="188">
        <f t="shared" si="39"/>
        <v>2607.5288781319537</v>
      </c>
      <c r="AJ49" s="188">
        <f t="shared" si="40"/>
        <v>-2607.5288781319537</v>
      </c>
      <c r="AK49" s="188">
        <f t="shared" si="28"/>
        <v>2607.5288781319537</v>
      </c>
      <c r="AL49" s="188">
        <f t="shared" si="29"/>
        <v>-2607.5288781319537</v>
      </c>
      <c r="AM49" s="188">
        <f t="shared" si="30"/>
        <v>2607.5288781319537</v>
      </c>
      <c r="AN49" s="188">
        <f t="shared" si="31"/>
        <v>2607.5288781319537</v>
      </c>
      <c r="AO49" s="188">
        <f t="shared" si="42"/>
        <v>2607.5288781319537</v>
      </c>
      <c r="AP49" s="188">
        <f t="shared" si="43"/>
        <v>2607.5288781319537</v>
      </c>
    </row>
    <row r="50" spans="1:42" ht="15.75" thickBot="1" x14ac:dyDescent="0.3">
      <c r="A50" s="1" t="s">
        <v>361</v>
      </c>
      <c r="B50" s="149" t="s">
        <v>631</v>
      </c>
      <c r="C50" s="192" t="s">
        <v>313</v>
      </c>
      <c r="E50" s="201">
        <f>'0810'!H50</f>
        <v>-1</v>
      </c>
      <c r="F50" s="186">
        <f t="shared" si="19"/>
        <v>-448.5316510774644</v>
      </c>
      <c r="G50" s="202">
        <v>-3.2629976071399999E-3</v>
      </c>
      <c r="H50" s="202">
        <v>-1</v>
      </c>
      <c r="I50" s="227">
        <v>1</v>
      </c>
      <c r="J50" s="227">
        <v>1</v>
      </c>
      <c r="K50" s="227">
        <v>1</v>
      </c>
      <c r="L50" s="202">
        <v>-1</v>
      </c>
      <c r="M50" s="228">
        <v>14</v>
      </c>
      <c r="N50" s="288">
        <v>42572</v>
      </c>
      <c r="O50">
        <f t="shared" si="20"/>
        <v>-1</v>
      </c>
      <c r="P50">
        <f t="shared" si="34"/>
        <v>1</v>
      </c>
      <c r="Q50">
        <f t="shared" si="21"/>
        <v>1</v>
      </c>
      <c r="R50">
        <f t="shared" si="22"/>
        <v>1</v>
      </c>
      <c r="S50">
        <f t="shared" si="23"/>
        <v>1</v>
      </c>
      <c r="T50">
        <f t="shared" si="24"/>
        <v>-1</v>
      </c>
      <c r="U50">
        <f t="shared" si="35"/>
        <v>1</v>
      </c>
      <c r="V50">
        <f>VLOOKUP($A50,'FuturesInfo (3)'!$A$2:$V$80,22)</f>
        <v>3</v>
      </c>
      <c r="W50">
        <v>1</v>
      </c>
      <c r="X50" s="354">
        <v>137460</v>
      </c>
      <c r="Y50" s="354">
        <v>6750</v>
      </c>
      <c r="Z50" s="188">
        <f t="shared" si="25"/>
        <v>448.5316510774644</v>
      </c>
      <c r="AA50" s="188">
        <f>IF(IF(sym!$Q39=H50,1,0)=1,ABS(X50*G50),-ABS(X50*G50))</f>
        <v>-448.5316510774644</v>
      </c>
      <c r="AB50" s="188">
        <f>IF(IF(sym!$P39=$H50,1,0)=1,ABS($X50*$G50),-ABS($X50*$G50))</f>
        <v>448.5316510774644</v>
      </c>
      <c r="AC50" s="188">
        <f t="shared" si="41"/>
        <v>448.5316510774644</v>
      </c>
      <c r="AD50" s="188">
        <f t="shared" si="26"/>
        <v>-448.5316510774644</v>
      </c>
      <c r="AE50" s="188">
        <f t="shared" si="27"/>
        <v>-448.5316510774644</v>
      </c>
      <c r="AF50" s="188">
        <f t="shared" si="36"/>
        <v>-448.5316510774644</v>
      </c>
      <c r="AG50" s="188">
        <f t="shared" si="37"/>
        <v>-448.5316510774644</v>
      </c>
      <c r="AH50" s="188">
        <f t="shared" si="38"/>
        <v>448.5316510774644</v>
      </c>
      <c r="AI50" s="188">
        <f t="shared" si="39"/>
        <v>-448.5316510774644</v>
      </c>
      <c r="AJ50" s="188">
        <f t="shared" si="40"/>
        <v>448.5316510774644</v>
      </c>
      <c r="AK50" s="188">
        <f t="shared" si="28"/>
        <v>-448.5316510774644</v>
      </c>
      <c r="AL50" s="188">
        <f t="shared" si="29"/>
        <v>-448.5316510774644</v>
      </c>
      <c r="AM50" s="188">
        <f t="shared" si="30"/>
        <v>-448.5316510774644</v>
      </c>
      <c r="AN50" s="188">
        <f t="shared" si="31"/>
        <v>-448.5316510774644</v>
      </c>
      <c r="AO50" s="188">
        <f t="shared" si="42"/>
        <v>448.5316510774644</v>
      </c>
      <c r="AP50" s="188">
        <f t="shared" si="43"/>
        <v>-448.5316510774644</v>
      </c>
    </row>
    <row r="51" spans="1:42" ht="15.75" thickBot="1" x14ac:dyDescent="0.3">
      <c r="A51" s="1" t="s">
        <v>363</v>
      </c>
      <c r="B51" s="149" t="s">
        <v>476</v>
      </c>
      <c r="C51" s="192" t="s">
        <v>288</v>
      </c>
      <c r="E51" s="201">
        <f>'0810'!H51</f>
        <v>-1</v>
      </c>
      <c r="F51" s="186">
        <f t="shared" si="19"/>
        <v>3873.8625750486899</v>
      </c>
      <c r="G51" s="202">
        <v>4.1360907271499998E-2</v>
      </c>
      <c r="H51" s="202">
        <v>1</v>
      </c>
      <c r="I51" s="227">
        <v>1</v>
      </c>
      <c r="J51" s="227">
        <v>-1</v>
      </c>
      <c r="K51" s="227">
        <v>1</v>
      </c>
      <c r="L51" s="202">
        <v>-1</v>
      </c>
      <c r="M51" s="228">
        <v>-6</v>
      </c>
      <c r="N51" s="288">
        <v>42584</v>
      </c>
      <c r="O51">
        <f t="shared" si="20"/>
        <v>1</v>
      </c>
      <c r="P51">
        <f t="shared" si="34"/>
        <v>1</v>
      </c>
      <c r="Q51">
        <f t="shared" si="21"/>
        <v>1</v>
      </c>
      <c r="R51">
        <f t="shared" si="22"/>
        <v>1</v>
      </c>
      <c r="S51">
        <f t="shared" si="23"/>
        <v>1</v>
      </c>
      <c r="T51">
        <f t="shared" si="24"/>
        <v>-1</v>
      </c>
      <c r="U51">
        <f t="shared" si="35"/>
        <v>1</v>
      </c>
      <c r="V51">
        <f>VLOOKUP($A51,'FuturesInfo (3)'!$A$2:$V$80,22)</f>
        <v>2</v>
      </c>
      <c r="W51">
        <v>1</v>
      </c>
      <c r="X51" s="354">
        <v>93660</v>
      </c>
      <c r="Y51" s="354">
        <v>10000</v>
      </c>
      <c r="Z51" s="188">
        <f t="shared" si="25"/>
        <v>3873.8625750486899</v>
      </c>
      <c r="AA51" s="188">
        <f>IF(IF(sym!$Q40=H51,1,0)=1,ABS(X51*G51),-ABS(X51*G51))</f>
        <v>3873.8625750486899</v>
      </c>
      <c r="AB51" s="188">
        <f>IF(IF(sym!$P40=$H51,1,0)=1,ABS($X51*$G51),-ABS($X51*$G51))</f>
        <v>-3873.8625750486899</v>
      </c>
      <c r="AC51" s="188">
        <f t="shared" si="41"/>
        <v>-3873.8625750486899</v>
      </c>
      <c r="AD51" s="188">
        <f t="shared" si="26"/>
        <v>3873.8625750486899</v>
      </c>
      <c r="AE51" s="188">
        <f t="shared" si="27"/>
        <v>-3873.8625750486899</v>
      </c>
      <c r="AF51" s="188">
        <f t="shared" si="36"/>
        <v>3873.8625750486899</v>
      </c>
      <c r="AG51" s="188">
        <f t="shared" si="37"/>
        <v>3873.8625750486899</v>
      </c>
      <c r="AH51" s="188">
        <f t="shared" si="38"/>
        <v>-3873.8625750486899</v>
      </c>
      <c r="AI51" s="188">
        <f t="shared" si="39"/>
        <v>3873.8625750486899</v>
      </c>
      <c r="AJ51" s="188">
        <f t="shared" si="40"/>
        <v>3873.8625750486899</v>
      </c>
      <c r="AK51" s="188">
        <f t="shared" si="28"/>
        <v>3873.8625750486899</v>
      </c>
      <c r="AL51" s="188">
        <f t="shared" si="29"/>
        <v>3873.8625750486899</v>
      </c>
      <c r="AM51" s="188">
        <f t="shared" si="30"/>
        <v>3873.8625750486899</v>
      </c>
      <c r="AN51" s="188">
        <f t="shared" si="31"/>
        <v>3873.8625750486899</v>
      </c>
      <c r="AO51" s="188">
        <f t="shared" si="42"/>
        <v>-3873.8625750486899</v>
      </c>
      <c r="AP51" s="188">
        <f t="shared" si="43"/>
        <v>3873.8625750486899</v>
      </c>
    </row>
    <row r="52" spans="1:42" ht="15.75" thickBot="1" x14ac:dyDescent="0.3">
      <c r="A52" s="1" t="s">
        <v>365</v>
      </c>
      <c r="B52" s="149" t="s">
        <v>1097</v>
      </c>
      <c r="C52" s="192" t="s">
        <v>288</v>
      </c>
      <c r="E52" s="201">
        <f>'0810'!H52</f>
        <v>-1</v>
      </c>
      <c r="F52" s="186">
        <f t="shared" si="19"/>
        <v>3495.2750809077397</v>
      </c>
      <c r="G52" s="202">
        <v>4.3365695792899998E-2</v>
      </c>
      <c r="H52" s="202">
        <v>1</v>
      </c>
      <c r="I52" s="227">
        <v>-1</v>
      </c>
      <c r="J52" s="227">
        <v>1</v>
      </c>
      <c r="K52" s="227">
        <v>-1</v>
      </c>
      <c r="L52" s="202">
        <v>-1</v>
      </c>
      <c r="M52" s="228">
        <v>7</v>
      </c>
      <c r="N52" s="288">
        <v>42583</v>
      </c>
      <c r="O52">
        <f t="shared" si="20"/>
        <v>-1</v>
      </c>
      <c r="P52">
        <f t="shared" si="34"/>
        <v>-1</v>
      </c>
      <c r="Q52">
        <f t="shared" si="21"/>
        <v>1</v>
      </c>
      <c r="R52">
        <f t="shared" si="22"/>
        <v>1</v>
      </c>
      <c r="S52">
        <f t="shared" si="23"/>
        <v>1</v>
      </c>
      <c r="T52">
        <f t="shared" si="24"/>
        <v>1</v>
      </c>
      <c r="U52">
        <f t="shared" si="35"/>
        <v>1</v>
      </c>
      <c r="V52">
        <f>VLOOKUP($A52,'FuturesInfo (3)'!$A$2:$V$80,22)</f>
        <v>2</v>
      </c>
      <c r="W52">
        <v>1</v>
      </c>
      <c r="X52" s="354">
        <v>80600</v>
      </c>
      <c r="Y52" s="354">
        <v>8800</v>
      </c>
      <c r="Z52" s="188">
        <f t="shared" si="25"/>
        <v>3495.2750809077397</v>
      </c>
      <c r="AA52" s="188">
        <f>IF(IF(sym!$Q41=H52,1,0)=1,ABS(X52*G52),-ABS(X52*G52))</f>
        <v>3495.2750809077397</v>
      </c>
      <c r="AB52" s="188">
        <f>IF(IF(sym!$P41=$H52,1,0)=1,ABS($X52*$G52),-ABS($X52*$G52))</f>
        <v>-3495.2750809077397</v>
      </c>
      <c r="AC52" s="188">
        <f t="shared" si="41"/>
        <v>-3495.2750809077397</v>
      </c>
      <c r="AD52" s="188">
        <f t="shared" si="26"/>
        <v>3495.2750809077397</v>
      </c>
      <c r="AE52" s="188">
        <f t="shared" si="27"/>
        <v>3495.2750809077397</v>
      </c>
      <c r="AF52" s="188">
        <f t="shared" si="36"/>
        <v>-3495.2750809077397</v>
      </c>
      <c r="AG52" s="188">
        <f t="shared" si="37"/>
        <v>-3495.2750809077397</v>
      </c>
      <c r="AH52" s="188">
        <f t="shared" si="38"/>
        <v>-3495.2750809077397</v>
      </c>
      <c r="AI52" s="188">
        <f t="shared" si="39"/>
        <v>3495.2750809077397</v>
      </c>
      <c r="AJ52" s="188">
        <f t="shared" si="40"/>
        <v>-3495.2750809077397</v>
      </c>
      <c r="AK52" s="188">
        <f t="shared" si="28"/>
        <v>-3495.2750809077397</v>
      </c>
      <c r="AL52" s="188">
        <f t="shared" si="29"/>
        <v>3495.2750809077397</v>
      </c>
      <c r="AM52" s="188">
        <f t="shared" si="30"/>
        <v>3495.2750809077397</v>
      </c>
      <c r="AN52" s="188">
        <f t="shared" si="31"/>
        <v>3495.2750809077397</v>
      </c>
      <c r="AO52" s="188">
        <f t="shared" si="42"/>
        <v>3495.2750809077397</v>
      </c>
      <c r="AP52" s="188">
        <f t="shared" si="43"/>
        <v>3495.2750809077397</v>
      </c>
    </row>
    <row r="53" spans="1:42" ht="15.75" thickBot="1" x14ac:dyDescent="0.3">
      <c r="A53" s="1" t="s">
        <v>367</v>
      </c>
      <c r="B53" s="149" t="s">
        <v>625</v>
      </c>
      <c r="C53" s="192" t="s">
        <v>313</v>
      </c>
      <c r="E53" s="201">
        <f>'0810'!H53</f>
        <v>1</v>
      </c>
      <c r="F53" s="186">
        <f t="shared" si="19"/>
        <v>-653.84484951228205</v>
      </c>
      <c r="G53" s="202">
        <v>-9.3259855871099997E-3</v>
      </c>
      <c r="H53" s="202">
        <v>-1</v>
      </c>
      <c r="I53" s="227">
        <v>-1</v>
      </c>
      <c r="J53" s="227">
        <v>1</v>
      </c>
      <c r="K53" s="227">
        <v>-1</v>
      </c>
      <c r="L53" s="202">
        <v>-1</v>
      </c>
      <c r="M53" s="228">
        <v>8</v>
      </c>
      <c r="N53" s="288">
        <v>42583</v>
      </c>
      <c r="O53">
        <f t="shared" si="20"/>
        <v>-1</v>
      </c>
      <c r="P53">
        <f t="shared" si="34"/>
        <v>1</v>
      </c>
      <c r="Q53">
        <f t="shared" si="21"/>
        <v>-1</v>
      </c>
      <c r="R53">
        <f t="shared" si="22"/>
        <v>-1</v>
      </c>
      <c r="S53">
        <f t="shared" si="23"/>
        <v>-1</v>
      </c>
      <c r="T53">
        <f t="shared" si="24"/>
        <v>1</v>
      </c>
      <c r="U53">
        <f t="shared" si="35"/>
        <v>1</v>
      </c>
      <c r="V53">
        <f>VLOOKUP($A53,'FuturesInfo (3)'!$A$2:$V$80,22)</f>
        <v>3</v>
      </c>
      <c r="W53">
        <v>1</v>
      </c>
      <c r="X53" s="354">
        <v>70110</v>
      </c>
      <c r="Y53" s="354">
        <v>4500</v>
      </c>
      <c r="Z53" s="188">
        <f t="shared" si="25"/>
        <v>653.84484951228205</v>
      </c>
      <c r="AA53" s="188">
        <f>IF(IF(sym!$Q42=H53,1,0)=1,ABS(X53*G53),-ABS(X53*G53))</f>
        <v>-653.84484951228205</v>
      </c>
      <c r="AB53" s="188">
        <f>IF(IF(sym!$P42=$H53,1,0)=1,ABS($X53*$G53),-ABS($X53*$G53))</f>
        <v>653.84484951228205</v>
      </c>
      <c r="AC53" s="188">
        <f t="shared" si="41"/>
        <v>-653.84484951228205</v>
      </c>
      <c r="AD53" s="188">
        <f t="shared" si="26"/>
        <v>653.84484951228205</v>
      </c>
      <c r="AE53" s="188">
        <f t="shared" si="27"/>
        <v>-653.84484951228205</v>
      </c>
      <c r="AF53" s="188">
        <f t="shared" si="36"/>
        <v>653.84484951228205</v>
      </c>
      <c r="AG53" s="188">
        <f t="shared" si="37"/>
        <v>653.84484951228205</v>
      </c>
      <c r="AH53" s="188">
        <f t="shared" si="38"/>
        <v>653.84484951228205</v>
      </c>
      <c r="AI53" s="188">
        <f t="shared" si="39"/>
        <v>-653.84484951228205</v>
      </c>
      <c r="AJ53" s="188">
        <f t="shared" si="40"/>
        <v>653.84484951228205</v>
      </c>
      <c r="AK53" s="188">
        <f t="shared" si="28"/>
        <v>-653.84484951228205</v>
      </c>
      <c r="AL53" s="188">
        <f t="shared" si="29"/>
        <v>653.84484951228205</v>
      </c>
      <c r="AM53" s="188">
        <f t="shared" si="30"/>
        <v>653.84484951228205</v>
      </c>
      <c r="AN53" s="188">
        <f t="shared" si="31"/>
        <v>653.84484951228205</v>
      </c>
      <c r="AO53" s="188">
        <f t="shared" si="42"/>
        <v>-653.84484951228205</v>
      </c>
      <c r="AP53" s="188">
        <f t="shared" si="43"/>
        <v>-653.84484951228205</v>
      </c>
    </row>
    <row r="54" spans="1:42" ht="15.75" thickBot="1" x14ac:dyDescent="0.3">
      <c r="A54" s="1" t="s">
        <v>511</v>
      </c>
      <c r="B54" s="149" t="s">
        <v>511</v>
      </c>
      <c r="C54" s="192" t="s">
        <v>304</v>
      </c>
      <c r="E54" s="201">
        <f>'0810'!H54</f>
        <v>-1</v>
      </c>
      <c r="F54" s="186">
        <f t="shared" si="19"/>
        <v>-895.04950495122716</v>
      </c>
      <c r="G54" s="202">
        <v>-5.5005500550099999E-3</v>
      </c>
      <c r="H54" s="202">
        <v>-1</v>
      </c>
      <c r="I54" s="227">
        <v>-1</v>
      </c>
      <c r="J54" s="227">
        <v>1</v>
      </c>
      <c r="K54" s="227">
        <v>-1</v>
      </c>
      <c r="L54" s="202">
        <v>1</v>
      </c>
      <c r="M54" s="228">
        <v>-7</v>
      </c>
      <c r="N54" s="288">
        <v>42583</v>
      </c>
      <c r="O54">
        <f t="shared" si="20"/>
        <v>-1</v>
      </c>
      <c r="P54">
        <f t="shared" si="34"/>
        <v>-1</v>
      </c>
      <c r="Q54">
        <f t="shared" si="21"/>
        <v>1</v>
      </c>
      <c r="R54">
        <f t="shared" si="22"/>
        <v>-1</v>
      </c>
      <c r="S54">
        <f t="shared" si="23"/>
        <v>-1</v>
      </c>
      <c r="T54">
        <f t="shared" si="24"/>
        <v>1</v>
      </c>
      <c r="U54">
        <f t="shared" si="35"/>
        <v>1</v>
      </c>
      <c r="V54">
        <f>VLOOKUP($A54,'FuturesInfo (3)'!$A$2:$V$80,22)</f>
        <v>10</v>
      </c>
      <c r="W54">
        <v>1</v>
      </c>
      <c r="X54" s="354">
        <v>162720</v>
      </c>
      <c r="Y54" s="354">
        <v>17595</v>
      </c>
      <c r="Z54" s="188">
        <f t="shared" si="25"/>
        <v>895.04950495122716</v>
      </c>
      <c r="AA54" s="188">
        <f>IF(IF(sym!$Q43=H54,1,0)=1,ABS(X54*G54),-ABS(X54*G54))</f>
        <v>-895.04950495122716</v>
      </c>
      <c r="AB54" s="188">
        <f>IF(IF(sym!$P43=$H54,1,0)=1,ABS($X54*$G54),-ABS($X54*$G54))</f>
        <v>895.04950495122716</v>
      </c>
      <c r="AC54" s="188">
        <f t="shared" si="41"/>
        <v>895.04950495122716</v>
      </c>
      <c r="AD54" s="188">
        <f t="shared" si="26"/>
        <v>-895.04950495122716</v>
      </c>
      <c r="AE54" s="188">
        <f t="shared" si="27"/>
        <v>-895.04950495122716</v>
      </c>
      <c r="AF54" s="188">
        <f t="shared" si="36"/>
        <v>895.04950495122716</v>
      </c>
      <c r="AG54" s="188">
        <f t="shared" si="37"/>
        <v>895.04950495122716</v>
      </c>
      <c r="AH54" s="188">
        <f t="shared" si="38"/>
        <v>-895.04950495122716</v>
      </c>
      <c r="AI54" s="188">
        <f t="shared" si="39"/>
        <v>895.04950495122716</v>
      </c>
      <c r="AJ54" s="188">
        <f t="shared" si="40"/>
        <v>895.04950495122716</v>
      </c>
      <c r="AK54" s="188">
        <f t="shared" si="28"/>
        <v>895.04950495122716</v>
      </c>
      <c r="AL54" s="188">
        <f t="shared" si="29"/>
        <v>-895.04950495122716</v>
      </c>
      <c r="AM54" s="188">
        <f t="shared" si="30"/>
        <v>895.04950495122716</v>
      </c>
      <c r="AN54" s="188">
        <f t="shared" si="31"/>
        <v>895.04950495122716</v>
      </c>
      <c r="AO54" s="188">
        <f t="shared" si="42"/>
        <v>-895.04950495122716</v>
      </c>
      <c r="AP54" s="188">
        <f t="shared" si="43"/>
        <v>-895.04950495122716</v>
      </c>
    </row>
    <row r="55" spans="1:42" ht="15.75" thickBot="1" x14ac:dyDescent="0.3">
      <c r="A55" s="1" t="s">
        <v>988</v>
      </c>
      <c r="B55" s="149" t="s">
        <v>629</v>
      </c>
      <c r="C55" s="192" t="s">
        <v>304</v>
      </c>
      <c r="E55" s="201">
        <f>'0810'!H55</f>
        <v>-1</v>
      </c>
      <c r="F55" s="186">
        <f t="shared" si="19"/>
        <v>441.8246936848542</v>
      </c>
      <c r="G55" s="202">
        <v>4.1470311027299997E-3</v>
      </c>
      <c r="H55" s="202">
        <v>1</v>
      </c>
      <c r="I55" s="227">
        <v>1</v>
      </c>
      <c r="J55" s="227">
        <v>-1</v>
      </c>
      <c r="K55" s="227">
        <v>1</v>
      </c>
      <c r="L55" s="202">
        <v>-1</v>
      </c>
      <c r="M55" s="228">
        <v>2</v>
      </c>
      <c r="N55" s="288">
        <v>42579</v>
      </c>
      <c r="O55">
        <f t="shared" si="20"/>
        <v>-1</v>
      </c>
      <c r="P55">
        <f t="shared" si="34"/>
        <v>1</v>
      </c>
      <c r="Q55">
        <f t="shared" si="21"/>
        <v>-1</v>
      </c>
      <c r="R55">
        <f t="shared" si="22"/>
        <v>1</v>
      </c>
      <c r="S55">
        <f t="shared" si="23"/>
        <v>1</v>
      </c>
      <c r="T55">
        <f t="shared" si="24"/>
        <v>-1</v>
      </c>
      <c r="U55">
        <f t="shared" si="35"/>
        <v>1</v>
      </c>
      <c r="V55">
        <f>VLOOKUP($A55,'FuturesInfo (3)'!$A$2:$V$80,22)</f>
        <v>4</v>
      </c>
      <c r="W55">
        <v>1</v>
      </c>
      <c r="X55" s="354">
        <v>106540.00000000001</v>
      </c>
      <c r="Y55" s="354">
        <v>8312</v>
      </c>
      <c r="Z55" s="188">
        <f t="shared" si="25"/>
        <v>441.8246936848542</v>
      </c>
      <c r="AA55" s="188">
        <f>IF(IF(sym!$Q44=H55,1,0)=1,ABS(X55*G55),-ABS(X55*G55))</f>
        <v>441.8246936848542</v>
      </c>
      <c r="AB55" s="188">
        <f>IF(IF(sym!$P44=$H55,1,0)=1,ABS($X55*$G55),-ABS($X55*$G55))</f>
        <v>-441.8246936848542</v>
      </c>
      <c r="AC55" s="188">
        <f t="shared" si="41"/>
        <v>-441.8246936848542</v>
      </c>
      <c r="AD55" s="188">
        <f t="shared" si="26"/>
        <v>441.8246936848542</v>
      </c>
      <c r="AE55" s="188">
        <f t="shared" si="27"/>
        <v>-441.8246936848542</v>
      </c>
      <c r="AF55" s="188">
        <f t="shared" si="36"/>
        <v>441.8246936848542</v>
      </c>
      <c r="AG55" s="188">
        <f t="shared" si="37"/>
        <v>441.8246936848542</v>
      </c>
      <c r="AH55" s="188">
        <f t="shared" si="38"/>
        <v>-441.8246936848542</v>
      </c>
      <c r="AI55" s="188">
        <f t="shared" si="39"/>
        <v>441.8246936848542</v>
      </c>
      <c r="AJ55" s="188">
        <f t="shared" si="40"/>
        <v>-441.8246936848542</v>
      </c>
      <c r="AK55" s="188">
        <f t="shared" si="28"/>
        <v>441.8246936848542</v>
      </c>
      <c r="AL55" s="188">
        <f t="shared" si="29"/>
        <v>-441.8246936848542</v>
      </c>
      <c r="AM55" s="188">
        <f t="shared" si="30"/>
        <v>441.8246936848542</v>
      </c>
      <c r="AN55" s="188">
        <f t="shared" si="31"/>
        <v>441.8246936848542</v>
      </c>
      <c r="AO55" s="188">
        <f t="shared" si="42"/>
        <v>-441.8246936848542</v>
      </c>
      <c r="AP55" s="188">
        <f t="shared" si="43"/>
        <v>441.8246936848542</v>
      </c>
    </row>
    <row r="56" spans="1:42" ht="15.75" thickBot="1" x14ac:dyDescent="0.3">
      <c r="A56" s="1" t="s">
        <v>989</v>
      </c>
      <c r="B56" s="149" t="s">
        <v>655</v>
      </c>
      <c r="C56" s="192" t="s">
        <v>294</v>
      </c>
      <c r="E56" s="201">
        <f>'0810'!H56</f>
        <v>1</v>
      </c>
      <c r="F56" s="186">
        <f t="shared" si="19"/>
        <v>2370.302158278912</v>
      </c>
      <c r="G56" s="202">
        <v>1.2949640287799999E-2</v>
      </c>
      <c r="H56" s="202">
        <v>1</v>
      </c>
      <c r="I56" s="227">
        <v>-1</v>
      </c>
      <c r="J56" s="227">
        <v>-1</v>
      </c>
      <c r="K56" s="227">
        <v>-1</v>
      </c>
      <c r="L56" s="202">
        <v>-1</v>
      </c>
      <c r="M56" s="228">
        <v>-17</v>
      </c>
      <c r="N56" s="288">
        <v>42569</v>
      </c>
      <c r="O56">
        <f t="shared" si="20"/>
        <v>1</v>
      </c>
      <c r="P56">
        <f t="shared" si="34"/>
        <v>1</v>
      </c>
      <c r="Q56">
        <f t="shared" si="21"/>
        <v>-1</v>
      </c>
      <c r="R56">
        <f t="shared" si="22"/>
        <v>-1</v>
      </c>
      <c r="S56">
        <f t="shared" si="23"/>
        <v>-1</v>
      </c>
      <c r="T56">
        <f t="shared" si="24"/>
        <v>1</v>
      </c>
      <c r="U56">
        <f t="shared" si="35"/>
        <v>-1</v>
      </c>
      <c r="V56">
        <f>VLOOKUP($A56,'FuturesInfo (3)'!$A$2:$V$80,22)</f>
        <v>4</v>
      </c>
      <c r="W56">
        <v>1</v>
      </c>
      <c r="X56" s="354">
        <v>183040</v>
      </c>
      <c r="Y56" s="354">
        <v>9572</v>
      </c>
      <c r="Z56" s="188">
        <f t="shared" si="25"/>
        <v>2370.302158278912</v>
      </c>
      <c r="AA56" s="188">
        <f>IF(IF(sym!$Q45=H56,1,0)=1,ABS(X56*G56),-ABS(X56*G56))</f>
        <v>2370.302158278912</v>
      </c>
      <c r="AB56" s="188">
        <f>IF(IF(sym!$P45=$H56,1,0)=1,ABS($X56*$G56),-ABS($X56*$G56))</f>
        <v>-2370.302158278912</v>
      </c>
      <c r="AC56" s="188">
        <f t="shared" si="41"/>
        <v>2370.302158278912</v>
      </c>
      <c r="AD56" s="188">
        <f t="shared" si="26"/>
        <v>-2370.302158278912</v>
      </c>
      <c r="AE56" s="188">
        <f t="shared" si="27"/>
        <v>-2370.302158278912</v>
      </c>
      <c r="AF56" s="188">
        <f t="shared" si="36"/>
        <v>-2370.302158278912</v>
      </c>
      <c r="AG56" s="188">
        <f t="shared" si="37"/>
        <v>-2370.302158278912</v>
      </c>
      <c r="AH56" s="188">
        <f t="shared" si="38"/>
        <v>-2370.302158278912</v>
      </c>
      <c r="AI56" s="188">
        <f t="shared" si="39"/>
        <v>2370.302158278912</v>
      </c>
      <c r="AJ56" s="188">
        <f t="shared" si="40"/>
        <v>2370.302158278912</v>
      </c>
      <c r="AK56" s="188">
        <f t="shared" si="28"/>
        <v>2370.302158278912</v>
      </c>
      <c r="AL56" s="188">
        <f t="shared" si="29"/>
        <v>-2370.302158278912</v>
      </c>
      <c r="AM56" s="188">
        <f t="shared" si="30"/>
        <v>-2370.302158278912</v>
      </c>
      <c r="AN56" s="188">
        <f t="shared" si="31"/>
        <v>-2370.302158278912</v>
      </c>
      <c r="AO56" s="188">
        <f t="shared" si="42"/>
        <v>2370.302158278912</v>
      </c>
      <c r="AP56" s="188">
        <f t="shared" si="43"/>
        <v>-2370.302158278912</v>
      </c>
    </row>
    <row r="57" spans="1:42" ht="15.75" thickBot="1" x14ac:dyDescent="0.3">
      <c r="A57" s="1" t="s">
        <v>369</v>
      </c>
      <c r="B57" s="149" t="s">
        <v>620</v>
      </c>
      <c r="C57" s="192" t="s">
        <v>294</v>
      </c>
      <c r="E57" s="201">
        <f>'0810'!H57</f>
        <v>-1</v>
      </c>
      <c r="F57" s="186">
        <f t="shared" si="19"/>
        <v>861.5141774038824</v>
      </c>
      <c r="G57" s="202">
        <v>4.4434698305700002E-3</v>
      </c>
      <c r="H57" s="202">
        <v>1</v>
      </c>
      <c r="I57" s="227">
        <v>1</v>
      </c>
      <c r="J57" s="227">
        <v>-1</v>
      </c>
      <c r="K57" s="227">
        <v>1</v>
      </c>
      <c r="L57" s="202">
        <v>1</v>
      </c>
      <c r="M57" s="228">
        <v>8</v>
      </c>
      <c r="N57" s="288">
        <v>42585</v>
      </c>
      <c r="O57">
        <f t="shared" si="20"/>
        <v>1</v>
      </c>
      <c r="P57">
        <f t="shared" si="34"/>
        <v>-1</v>
      </c>
      <c r="Q57">
        <f t="shared" si="21"/>
        <v>1</v>
      </c>
      <c r="R57">
        <f t="shared" si="22"/>
        <v>1</v>
      </c>
      <c r="S57">
        <f t="shared" si="23"/>
        <v>1</v>
      </c>
      <c r="T57">
        <f t="shared" si="24"/>
        <v>-1</v>
      </c>
      <c r="U57">
        <f t="shared" si="35"/>
        <v>-1</v>
      </c>
      <c r="V57">
        <f>VLOOKUP($A57,'FuturesInfo (3)'!$A$2:$V$80,22)</f>
        <v>2</v>
      </c>
      <c r="W57">
        <v>1</v>
      </c>
      <c r="X57" s="354">
        <v>193883.20619999999</v>
      </c>
      <c r="Y57" s="354">
        <v>25062.75</v>
      </c>
      <c r="Z57" s="188">
        <f t="shared" si="25"/>
        <v>861.5141774038824</v>
      </c>
      <c r="AA57" s="188">
        <f>IF(IF(sym!$Q46=H57,1,0)=1,ABS(X57*G57),-ABS(X57*G57))</f>
        <v>861.5141774038824</v>
      </c>
      <c r="AB57" s="188">
        <f>IF(IF(sym!$P46=$H57,1,0)=1,ABS($X57*$G57),-ABS($X57*$G57))</f>
        <v>-861.5141774038824</v>
      </c>
      <c r="AC57" s="188">
        <f t="shared" si="41"/>
        <v>-861.5141774038824</v>
      </c>
      <c r="AD57" s="188">
        <f t="shared" si="26"/>
        <v>861.5141774038824</v>
      </c>
      <c r="AE57" s="188">
        <f t="shared" si="27"/>
        <v>-861.5141774038824</v>
      </c>
      <c r="AF57" s="188">
        <f t="shared" si="36"/>
        <v>861.5141774038824</v>
      </c>
      <c r="AG57" s="188">
        <f t="shared" si="37"/>
        <v>861.5141774038824</v>
      </c>
      <c r="AH57" s="188">
        <f t="shared" si="38"/>
        <v>861.5141774038824</v>
      </c>
      <c r="AI57" s="188">
        <f t="shared" si="39"/>
        <v>-861.5141774038824</v>
      </c>
      <c r="AJ57" s="188">
        <f t="shared" si="40"/>
        <v>861.5141774038824</v>
      </c>
      <c r="AK57" s="188">
        <f t="shared" si="28"/>
        <v>-861.5141774038824</v>
      </c>
      <c r="AL57" s="188">
        <f t="shared" si="29"/>
        <v>861.5141774038824</v>
      </c>
      <c r="AM57" s="188">
        <f t="shared" si="30"/>
        <v>861.5141774038824</v>
      </c>
      <c r="AN57" s="188">
        <f t="shared" si="31"/>
        <v>861.5141774038824</v>
      </c>
      <c r="AO57" s="188">
        <f t="shared" si="42"/>
        <v>-861.5141774038824</v>
      </c>
      <c r="AP57" s="188">
        <f t="shared" si="43"/>
        <v>-861.5141774038824</v>
      </c>
    </row>
    <row r="58" spans="1:42" ht="15.75" thickBot="1" x14ac:dyDescent="0.3">
      <c r="A58" s="1" t="s">
        <v>371</v>
      </c>
      <c r="B58" s="149" t="s">
        <v>635</v>
      </c>
      <c r="C58" s="192" t="s">
        <v>1121</v>
      </c>
      <c r="E58" s="201">
        <f>'0810'!H58</f>
        <v>1</v>
      </c>
      <c r="F58" s="186">
        <f t="shared" si="19"/>
        <v>2140.7153392333744</v>
      </c>
      <c r="G58" s="202">
        <v>9.7713864306800003E-3</v>
      </c>
      <c r="H58" s="202">
        <v>1</v>
      </c>
      <c r="I58" s="227">
        <v>1</v>
      </c>
      <c r="J58" s="227">
        <v>-1</v>
      </c>
      <c r="K58" s="227">
        <v>1</v>
      </c>
      <c r="L58" s="202">
        <v>-1</v>
      </c>
      <c r="M58" s="228">
        <v>-6</v>
      </c>
      <c r="N58" s="288">
        <v>42584</v>
      </c>
      <c r="O58">
        <f t="shared" si="20"/>
        <v>1</v>
      </c>
      <c r="P58">
        <f t="shared" si="34"/>
        <v>1</v>
      </c>
      <c r="Q58">
        <f t="shared" si="21"/>
        <v>-1</v>
      </c>
      <c r="R58">
        <f t="shared" si="22"/>
        <v>1</v>
      </c>
      <c r="S58">
        <f t="shared" si="23"/>
        <v>1</v>
      </c>
      <c r="T58">
        <f t="shared" si="24"/>
        <v>-1</v>
      </c>
      <c r="U58">
        <f t="shared" si="35"/>
        <v>-1</v>
      </c>
      <c r="V58">
        <f>VLOOKUP($A58,'FuturesInfo (3)'!$A$2:$V$80,22)</f>
        <v>8</v>
      </c>
      <c r="W58">
        <v>1</v>
      </c>
      <c r="X58" s="354">
        <v>219080</v>
      </c>
      <c r="Y58" s="354">
        <v>18496</v>
      </c>
      <c r="Z58" s="188">
        <f t="shared" si="25"/>
        <v>2140.7153392333744</v>
      </c>
      <c r="AA58" s="188">
        <f>IF(IF(sym!$Q47=H58,1,0)=1,ABS(X58*G58),-ABS(X58*G58))</f>
        <v>2140.7153392333744</v>
      </c>
      <c r="AB58" s="188">
        <f>IF(IF(sym!$P47=$H58,1,0)=1,ABS($X58*$G58),-ABS($X58*$G58))</f>
        <v>-2140.7153392333744</v>
      </c>
      <c r="AC58" s="188">
        <f t="shared" si="41"/>
        <v>2140.7153392333744</v>
      </c>
      <c r="AD58" s="188">
        <f t="shared" si="26"/>
        <v>-2140.7153392333744</v>
      </c>
      <c r="AE58" s="188">
        <f t="shared" si="27"/>
        <v>-2140.7153392333744</v>
      </c>
      <c r="AF58" s="188">
        <f t="shared" si="36"/>
        <v>2140.7153392333744</v>
      </c>
      <c r="AG58" s="188">
        <f t="shared" si="37"/>
        <v>2140.7153392333744</v>
      </c>
      <c r="AH58" s="188">
        <f t="shared" si="38"/>
        <v>-2140.7153392333744</v>
      </c>
      <c r="AI58" s="188">
        <f t="shared" si="39"/>
        <v>2140.7153392333744</v>
      </c>
      <c r="AJ58" s="188">
        <f t="shared" si="40"/>
        <v>2140.7153392333744</v>
      </c>
      <c r="AK58" s="188">
        <f t="shared" si="28"/>
        <v>2140.7153392333744</v>
      </c>
      <c r="AL58" s="188">
        <f t="shared" si="29"/>
        <v>-2140.7153392333744</v>
      </c>
      <c r="AM58" s="188">
        <f t="shared" si="30"/>
        <v>2140.7153392333744</v>
      </c>
      <c r="AN58" s="188">
        <f t="shared" si="31"/>
        <v>2140.7153392333744</v>
      </c>
      <c r="AO58" s="188">
        <f t="shared" si="42"/>
        <v>-2140.7153392333744</v>
      </c>
      <c r="AP58" s="188">
        <f t="shared" si="43"/>
        <v>-2140.7153392333744</v>
      </c>
    </row>
    <row r="59" spans="1:42" ht="15.75" thickBot="1" x14ac:dyDescent="0.3">
      <c r="A59" s="1" t="s">
        <v>1052</v>
      </c>
      <c r="B59" s="149" t="s">
        <v>611</v>
      </c>
      <c r="C59" s="192" t="s">
        <v>297</v>
      </c>
      <c r="E59" s="201">
        <f>'0810'!H59</f>
        <v>1</v>
      </c>
      <c r="F59" s="186">
        <f t="shared" si="19"/>
        <v>565.02493765550253</v>
      </c>
      <c r="G59" s="202">
        <v>4.4887780548599999E-3</v>
      </c>
      <c r="H59" s="202">
        <v>1</v>
      </c>
      <c r="I59" s="227">
        <v>1</v>
      </c>
      <c r="J59" s="227">
        <v>-1</v>
      </c>
      <c r="K59" s="227">
        <v>1</v>
      </c>
      <c r="L59" s="202">
        <v>1</v>
      </c>
      <c r="M59" s="228">
        <v>-7</v>
      </c>
      <c r="N59" s="288">
        <v>42583</v>
      </c>
      <c r="O59">
        <f t="shared" si="20"/>
        <v>-1</v>
      </c>
      <c r="P59">
        <f t="shared" si="34"/>
        <v>1</v>
      </c>
      <c r="Q59">
        <f t="shared" si="21"/>
        <v>-1</v>
      </c>
      <c r="R59">
        <f t="shared" si="22"/>
        <v>-1</v>
      </c>
      <c r="S59">
        <f t="shared" si="23"/>
        <v>-1</v>
      </c>
      <c r="T59">
        <f t="shared" si="24"/>
        <v>1</v>
      </c>
      <c r="U59">
        <f t="shared" si="35"/>
        <v>-1</v>
      </c>
      <c r="V59">
        <f>VLOOKUP($A59,'FuturesInfo (3)'!$A$2:$V$80,22)</f>
        <v>5</v>
      </c>
      <c r="W59">
        <v>1</v>
      </c>
      <c r="X59" s="354">
        <v>125875</v>
      </c>
      <c r="Y59" s="354">
        <v>17875</v>
      </c>
      <c r="Z59" s="188">
        <f t="shared" si="25"/>
        <v>565.02493765550253</v>
      </c>
      <c r="AA59" s="188">
        <f>IF(IF(sym!$Q48=H59,1,0)=1,ABS(X59*G59),-ABS(X59*G59))</f>
        <v>565.02493765550253</v>
      </c>
      <c r="AB59" s="188">
        <f>IF(IF(sym!$P48=$H59,1,0)=1,ABS($X59*$G59),-ABS($X59*$G59))</f>
        <v>-565.02493765550253</v>
      </c>
      <c r="AC59" s="188">
        <f t="shared" si="41"/>
        <v>565.02493765550253</v>
      </c>
      <c r="AD59" s="188">
        <f t="shared" si="26"/>
        <v>-565.02493765550253</v>
      </c>
      <c r="AE59" s="188">
        <f t="shared" si="27"/>
        <v>-565.02493765550253</v>
      </c>
      <c r="AF59" s="188">
        <f t="shared" si="36"/>
        <v>565.02493765550253</v>
      </c>
      <c r="AG59" s="188">
        <f t="shared" si="37"/>
        <v>565.02493765550253</v>
      </c>
      <c r="AH59" s="188">
        <f t="shared" si="38"/>
        <v>565.02493765550253</v>
      </c>
      <c r="AI59" s="188">
        <f t="shared" si="39"/>
        <v>-565.02493765550253</v>
      </c>
      <c r="AJ59" s="188">
        <f t="shared" si="40"/>
        <v>-565.02493765550253</v>
      </c>
      <c r="AK59" s="188">
        <f t="shared" si="28"/>
        <v>565.02493765550253</v>
      </c>
      <c r="AL59" s="188">
        <f t="shared" si="29"/>
        <v>-565.02493765550253</v>
      </c>
      <c r="AM59" s="188">
        <f t="shared" si="30"/>
        <v>-565.02493765550253</v>
      </c>
      <c r="AN59" s="188">
        <f t="shared" si="31"/>
        <v>-565.02493765550253</v>
      </c>
      <c r="AO59" s="188">
        <f t="shared" si="42"/>
        <v>565.02493765550253</v>
      </c>
      <c r="AP59" s="188">
        <f t="shared" si="43"/>
        <v>-565.02493765550253</v>
      </c>
    </row>
    <row r="60" spans="1:42" ht="15.75" thickBot="1" x14ac:dyDescent="0.3">
      <c r="A60" s="1" t="s">
        <v>373</v>
      </c>
      <c r="B60" s="149" t="s">
        <v>692</v>
      </c>
      <c r="C60" s="192" t="s">
        <v>1121</v>
      </c>
      <c r="E60" s="201">
        <f>'0810'!H60</f>
        <v>1</v>
      </c>
      <c r="F60" s="186">
        <f t="shared" si="19"/>
        <v>150.104239054776</v>
      </c>
      <c r="G60" s="202">
        <v>6.9492703266100001E-4</v>
      </c>
      <c r="H60" s="202">
        <v>1</v>
      </c>
      <c r="I60" s="227">
        <v>-1</v>
      </c>
      <c r="J60" s="227">
        <v>1</v>
      </c>
      <c r="K60" s="227">
        <v>-1</v>
      </c>
      <c r="L60" s="202">
        <v>-1</v>
      </c>
      <c r="M60" s="228">
        <v>-14</v>
      </c>
      <c r="N60" s="288">
        <v>42572</v>
      </c>
      <c r="O60">
        <f t="shared" si="20"/>
        <v>1</v>
      </c>
      <c r="P60">
        <f t="shared" si="34"/>
        <v>1</v>
      </c>
      <c r="Q60">
        <f t="shared" si="21"/>
        <v>1</v>
      </c>
      <c r="R60">
        <f t="shared" si="22"/>
        <v>-1</v>
      </c>
      <c r="S60">
        <f t="shared" si="23"/>
        <v>1</v>
      </c>
      <c r="T60">
        <f t="shared" si="24"/>
        <v>1</v>
      </c>
      <c r="U60">
        <f t="shared" si="35"/>
        <v>1</v>
      </c>
      <c r="V60">
        <f>VLOOKUP($A60,'FuturesInfo (3)'!$A$2:$V$80,22)</f>
        <v>3</v>
      </c>
      <c r="W60">
        <v>1</v>
      </c>
      <c r="X60" s="354">
        <v>216000</v>
      </c>
      <c r="Y60" s="354">
        <v>9054</v>
      </c>
      <c r="Z60" s="188">
        <f t="shared" si="25"/>
        <v>150.104239054776</v>
      </c>
      <c r="AA60" s="188">
        <f>IF(IF(sym!$Q49=H60,1,0)=1,ABS(X60*G60),-ABS(X60*G60))</f>
        <v>150.104239054776</v>
      </c>
      <c r="AB60" s="188">
        <f>IF(IF(sym!$P49=$H60,1,0)=1,ABS($X60*$G60),-ABS($X60*$G60))</f>
        <v>-150.104239054776</v>
      </c>
      <c r="AC60" s="188">
        <f t="shared" si="41"/>
        <v>150.104239054776</v>
      </c>
      <c r="AD60" s="188">
        <f t="shared" si="26"/>
        <v>-150.104239054776</v>
      </c>
      <c r="AE60" s="188">
        <f t="shared" si="27"/>
        <v>150.104239054776</v>
      </c>
      <c r="AF60" s="188">
        <f t="shared" si="36"/>
        <v>-150.104239054776</v>
      </c>
      <c r="AG60" s="188">
        <f t="shared" si="37"/>
        <v>-150.104239054776</v>
      </c>
      <c r="AH60" s="188">
        <f t="shared" si="38"/>
        <v>-150.104239054776</v>
      </c>
      <c r="AI60" s="188">
        <f t="shared" si="39"/>
        <v>150.104239054776</v>
      </c>
      <c r="AJ60" s="188">
        <f t="shared" si="40"/>
        <v>150.104239054776</v>
      </c>
      <c r="AK60" s="188">
        <f t="shared" si="28"/>
        <v>150.104239054776</v>
      </c>
      <c r="AL60" s="188">
        <f t="shared" si="29"/>
        <v>150.104239054776</v>
      </c>
      <c r="AM60" s="188">
        <f t="shared" si="30"/>
        <v>-150.104239054776</v>
      </c>
      <c r="AN60" s="188">
        <f t="shared" si="31"/>
        <v>150.104239054776</v>
      </c>
      <c r="AO60" s="188">
        <f t="shared" si="42"/>
        <v>150.104239054776</v>
      </c>
      <c r="AP60" s="188">
        <f t="shared" si="43"/>
        <v>150.104239054776</v>
      </c>
    </row>
    <row r="61" spans="1:42" ht="15.75" thickBot="1" x14ac:dyDescent="0.3">
      <c r="A61" s="1" t="s">
        <v>375</v>
      </c>
      <c r="B61" s="149" t="s">
        <v>690</v>
      </c>
      <c r="C61" s="192" t="s">
        <v>288</v>
      </c>
      <c r="E61" s="201">
        <f>'0810'!H61</f>
        <v>-1</v>
      </c>
      <c r="F61" s="186">
        <f t="shared" si="19"/>
        <v>-298.82858258512232</v>
      </c>
      <c r="G61" s="202">
        <v>-3.9047247169100002E-3</v>
      </c>
      <c r="H61" s="202">
        <v>-1</v>
      </c>
      <c r="I61" s="227">
        <v>-1</v>
      </c>
      <c r="J61" s="227">
        <v>1</v>
      </c>
      <c r="K61" s="227">
        <v>-1</v>
      </c>
      <c r="L61" s="202">
        <v>-1</v>
      </c>
      <c r="M61" s="228">
        <v>8</v>
      </c>
      <c r="N61" s="288">
        <v>42580</v>
      </c>
      <c r="O61">
        <f t="shared" si="20"/>
        <v>-1</v>
      </c>
      <c r="P61">
        <f t="shared" si="34"/>
        <v>-1</v>
      </c>
      <c r="Q61">
        <f t="shared" si="21"/>
        <v>1</v>
      </c>
      <c r="R61">
        <f t="shared" si="22"/>
        <v>1</v>
      </c>
      <c r="S61">
        <f t="shared" si="23"/>
        <v>1</v>
      </c>
      <c r="T61">
        <f t="shared" si="24"/>
        <v>1</v>
      </c>
      <c r="U61">
        <f t="shared" si="35"/>
        <v>1</v>
      </c>
      <c r="V61">
        <f>VLOOKUP($A61,'FuturesInfo (3)'!$A$2:$V$80,22)</f>
        <v>3</v>
      </c>
      <c r="W61">
        <v>1</v>
      </c>
      <c r="X61" s="354">
        <v>76530</v>
      </c>
      <c r="Y61" s="354">
        <v>6495</v>
      </c>
      <c r="Z61" s="188">
        <f t="shared" si="25"/>
        <v>298.82858258512232</v>
      </c>
      <c r="AA61" s="188">
        <f>IF(IF(sym!$Q50=H61,1,0)=1,ABS(X61*G61),-ABS(X61*G61))</f>
        <v>-298.82858258512232</v>
      </c>
      <c r="AB61" s="188">
        <f>IF(IF(sym!$P50=$H61,1,0)=1,ABS($X61*$G61),-ABS($X61*$G61))</f>
        <v>298.82858258512232</v>
      </c>
      <c r="AC61" s="188">
        <f t="shared" si="41"/>
        <v>298.82858258512232</v>
      </c>
      <c r="AD61" s="188">
        <f t="shared" si="26"/>
        <v>-298.82858258512232</v>
      </c>
      <c r="AE61" s="188">
        <f t="shared" si="27"/>
        <v>-298.82858258512232</v>
      </c>
      <c r="AF61" s="188">
        <f t="shared" si="36"/>
        <v>298.82858258512232</v>
      </c>
      <c r="AG61" s="188">
        <f t="shared" si="37"/>
        <v>298.82858258512232</v>
      </c>
      <c r="AH61" s="188">
        <f t="shared" si="38"/>
        <v>298.82858258512232</v>
      </c>
      <c r="AI61" s="188">
        <f t="shared" si="39"/>
        <v>-298.82858258512232</v>
      </c>
      <c r="AJ61" s="188">
        <f t="shared" si="40"/>
        <v>298.82858258512232</v>
      </c>
      <c r="AK61" s="188">
        <f t="shared" si="28"/>
        <v>298.82858258512232</v>
      </c>
      <c r="AL61" s="188">
        <f t="shared" si="29"/>
        <v>-298.82858258512232</v>
      </c>
      <c r="AM61" s="188">
        <f t="shared" si="30"/>
        <v>-298.82858258512232</v>
      </c>
      <c r="AN61" s="188">
        <f t="shared" si="31"/>
        <v>-298.82858258512232</v>
      </c>
      <c r="AO61" s="188">
        <f t="shared" si="42"/>
        <v>-298.82858258512232</v>
      </c>
      <c r="AP61" s="188">
        <f t="shared" si="43"/>
        <v>-298.82858258512232</v>
      </c>
    </row>
    <row r="62" spans="1:42" ht="15.75" thickBot="1" x14ac:dyDescent="0.3">
      <c r="A62" s="1" t="s">
        <v>377</v>
      </c>
      <c r="B62" s="149" t="s">
        <v>694</v>
      </c>
      <c r="C62" s="192" t="s">
        <v>294</v>
      </c>
      <c r="E62" s="201">
        <f>'0810'!H62</f>
        <v>1</v>
      </c>
      <c r="F62" s="186">
        <f t="shared" si="19"/>
        <v>1784.27425756193</v>
      </c>
      <c r="G62" s="202">
        <v>1.07913669065E-2</v>
      </c>
      <c r="H62" s="202">
        <v>1</v>
      </c>
      <c r="I62" s="227">
        <v>1</v>
      </c>
      <c r="J62" s="227">
        <v>-1</v>
      </c>
      <c r="K62" s="227">
        <v>1</v>
      </c>
      <c r="L62" s="202">
        <v>-1</v>
      </c>
      <c r="M62" s="228">
        <v>-5</v>
      </c>
      <c r="N62" s="288">
        <v>42585</v>
      </c>
      <c r="O62">
        <f t="shared" si="20"/>
        <v>1</v>
      </c>
      <c r="P62">
        <f t="shared" si="34"/>
        <v>1</v>
      </c>
      <c r="Q62">
        <f t="shared" si="21"/>
        <v>-1</v>
      </c>
      <c r="R62">
        <f t="shared" si="22"/>
        <v>1</v>
      </c>
      <c r="S62">
        <f t="shared" si="23"/>
        <v>1</v>
      </c>
      <c r="T62">
        <f t="shared" si="24"/>
        <v>-1</v>
      </c>
      <c r="U62">
        <f t="shared" si="35"/>
        <v>-1</v>
      </c>
      <c r="V62">
        <f>VLOOKUP($A62,'FuturesInfo (3)'!$A$2:$V$80,22)</f>
        <v>2</v>
      </c>
      <c r="W62">
        <v>1</v>
      </c>
      <c r="X62" s="354">
        <v>165342.7478670197</v>
      </c>
      <c r="Y62" s="354">
        <v>12500</v>
      </c>
      <c r="Z62" s="188">
        <f t="shared" si="25"/>
        <v>1784.27425756193</v>
      </c>
      <c r="AA62" s="188">
        <f>IF(IF(sym!$Q51=H62,1,0)=1,ABS(X62*G62),-ABS(X62*G62))</f>
        <v>1784.27425756193</v>
      </c>
      <c r="AB62" s="188">
        <f>IF(IF(sym!$P51=$H62,1,0)=1,ABS($X62*$G62),-ABS($X62*$G62))</f>
        <v>-1784.27425756193</v>
      </c>
      <c r="AC62" s="188">
        <f t="shared" si="41"/>
        <v>1784.27425756193</v>
      </c>
      <c r="AD62" s="188">
        <f t="shared" si="26"/>
        <v>-1784.27425756193</v>
      </c>
      <c r="AE62" s="188">
        <f t="shared" si="27"/>
        <v>-1784.27425756193</v>
      </c>
      <c r="AF62" s="188">
        <f t="shared" si="36"/>
        <v>1784.27425756193</v>
      </c>
      <c r="AG62" s="188">
        <f t="shared" si="37"/>
        <v>1784.27425756193</v>
      </c>
      <c r="AH62" s="188">
        <f t="shared" si="38"/>
        <v>-1784.27425756193</v>
      </c>
      <c r="AI62" s="188">
        <f t="shared" si="39"/>
        <v>1784.27425756193</v>
      </c>
      <c r="AJ62" s="188">
        <f t="shared" si="40"/>
        <v>1784.27425756193</v>
      </c>
      <c r="AK62" s="188">
        <f t="shared" si="28"/>
        <v>1784.27425756193</v>
      </c>
      <c r="AL62" s="188">
        <f t="shared" si="29"/>
        <v>-1784.27425756193</v>
      </c>
      <c r="AM62" s="188">
        <f t="shared" si="30"/>
        <v>1784.27425756193</v>
      </c>
      <c r="AN62" s="188">
        <f t="shared" si="31"/>
        <v>1784.27425756193</v>
      </c>
      <c r="AO62" s="188">
        <f t="shared" si="42"/>
        <v>-1784.27425756193</v>
      </c>
      <c r="AP62" s="188">
        <f t="shared" si="43"/>
        <v>-1784.27425756193</v>
      </c>
    </row>
    <row r="63" spans="1:42" ht="15.75" thickBot="1" x14ac:dyDescent="0.3">
      <c r="A63" s="1" t="s">
        <v>379</v>
      </c>
      <c r="B63" s="149" t="s">
        <v>550</v>
      </c>
      <c r="C63" s="192" t="s">
        <v>294</v>
      </c>
      <c r="E63" s="201">
        <f>'0810'!H63</f>
        <v>-1</v>
      </c>
      <c r="F63" s="186">
        <f t="shared" si="19"/>
        <v>1114.29467740224</v>
      </c>
      <c r="G63" s="202">
        <v>3.8690787409800002E-3</v>
      </c>
      <c r="H63" s="202">
        <v>1</v>
      </c>
      <c r="I63" s="227">
        <v>1</v>
      </c>
      <c r="J63" s="227">
        <v>-1</v>
      </c>
      <c r="K63" s="227">
        <v>1</v>
      </c>
      <c r="L63" s="202">
        <v>1</v>
      </c>
      <c r="M63" s="228">
        <v>-16</v>
      </c>
      <c r="N63" s="288">
        <v>42570</v>
      </c>
      <c r="O63">
        <f t="shared" si="20"/>
        <v>-1</v>
      </c>
      <c r="P63">
        <f t="shared" si="34"/>
        <v>-1</v>
      </c>
      <c r="Q63">
        <f t="shared" si="21"/>
        <v>-1</v>
      </c>
      <c r="R63">
        <f t="shared" si="22"/>
        <v>1</v>
      </c>
      <c r="S63">
        <f t="shared" si="23"/>
        <v>-1</v>
      </c>
      <c r="T63">
        <f t="shared" si="24"/>
        <v>-1</v>
      </c>
      <c r="U63">
        <f t="shared" si="35"/>
        <v>-1</v>
      </c>
      <c r="V63">
        <f>VLOOKUP($A63,'FuturesInfo (3)'!$A$2:$V$80,22)</f>
        <v>3</v>
      </c>
      <c r="W63">
        <v>1</v>
      </c>
      <c r="X63" s="354">
        <v>288000</v>
      </c>
      <c r="Y63" s="354">
        <v>15000</v>
      </c>
      <c r="Z63" s="188">
        <f t="shared" si="25"/>
        <v>1114.29467740224</v>
      </c>
      <c r="AA63" s="188">
        <f>IF(IF(sym!$Q52=H63,1,0)=1,ABS(X63*G63),-ABS(X63*G63))</f>
        <v>1114.29467740224</v>
      </c>
      <c r="AB63" s="188">
        <f>IF(IF(sym!$P52=$H63,1,0)=1,ABS($X63*$G63),-ABS($X63*$G63))</f>
        <v>-1114.29467740224</v>
      </c>
      <c r="AC63" s="188">
        <f t="shared" si="41"/>
        <v>-1114.29467740224</v>
      </c>
      <c r="AD63" s="188">
        <f t="shared" si="26"/>
        <v>1114.29467740224</v>
      </c>
      <c r="AE63" s="188">
        <f t="shared" si="27"/>
        <v>-1114.29467740224</v>
      </c>
      <c r="AF63" s="188">
        <f t="shared" si="36"/>
        <v>1114.29467740224</v>
      </c>
      <c r="AG63" s="188">
        <f t="shared" si="37"/>
        <v>1114.29467740224</v>
      </c>
      <c r="AH63" s="188">
        <f t="shared" si="38"/>
        <v>1114.29467740224</v>
      </c>
      <c r="AI63" s="188">
        <f t="shared" si="39"/>
        <v>-1114.29467740224</v>
      </c>
      <c r="AJ63" s="188">
        <f t="shared" si="40"/>
        <v>-1114.29467740224</v>
      </c>
      <c r="AK63" s="188">
        <f t="shared" si="28"/>
        <v>-1114.29467740224</v>
      </c>
      <c r="AL63" s="188">
        <f t="shared" si="29"/>
        <v>-1114.29467740224</v>
      </c>
      <c r="AM63" s="188">
        <f t="shared" si="30"/>
        <v>1114.29467740224</v>
      </c>
      <c r="AN63" s="188">
        <f t="shared" si="31"/>
        <v>-1114.29467740224</v>
      </c>
      <c r="AO63" s="188">
        <f t="shared" si="42"/>
        <v>-1114.29467740224</v>
      </c>
      <c r="AP63" s="188">
        <f t="shared" si="43"/>
        <v>-1114.29467740224</v>
      </c>
    </row>
    <row r="64" spans="1:42" ht="15.75" thickBot="1" x14ac:dyDescent="0.3">
      <c r="A64" s="4" t="s">
        <v>1050</v>
      </c>
      <c r="B64" s="149" t="s">
        <v>700</v>
      </c>
      <c r="C64" s="192" t="s">
        <v>297</v>
      </c>
      <c r="E64" s="201">
        <f>'0810'!H64</f>
        <v>-1</v>
      </c>
      <c r="F64" s="186">
        <f t="shared" si="19"/>
        <v>-669.48228882826197</v>
      </c>
      <c r="G64" s="202">
        <v>-8.1743869209799994E-3</v>
      </c>
      <c r="H64" s="202">
        <v>-1</v>
      </c>
      <c r="I64" s="227">
        <v>-1</v>
      </c>
      <c r="J64" s="227">
        <v>1</v>
      </c>
      <c r="K64" s="227">
        <v>-1</v>
      </c>
      <c r="L64" s="202">
        <v>1</v>
      </c>
      <c r="M64" s="228">
        <v>-3</v>
      </c>
      <c r="N64" s="288">
        <v>42584</v>
      </c>
      <c r="O64">
        <f t="shared" si="20"/>
        <v>-1</v>
      </c>
      <c r="P64">
        <f t="shared" si="34"/>
        <v>-1</v>
      </c>
      <c r="Q64">
        <f t="shared" si="21"/>
        <v>1</v>
      </c>
      <c r="R64">
        <f t="shared" si="22"/>
        <v>-1</v>
      </c>
      <c r="S64">
        <f t="shared" si="23"/>
        <v>-1</v>
      </c>
      <c r="T64">
        <f t="shared" si="24"/>
        <v>1</v>
      </c>
      <c r="U64">
        <f t="shared" si="35"/>
        <v>1</v>
      </c>
      <c r="V64">
        <f>VLOOKUP($A64,'FuturesInfo (3)'!$A$2:$V$80,22)</f>
        <v>9</v>
      </c>
      <c r="W64">
        <v>1</v>
      </c>
      <c r="X64" s="354">
        <v>81900</v>
      </c>
      <c r="Y64" s="354">
        <v>6750</v>
      </c>
      <c r="Z64" s="188">
        <f t="shared" si="25"/>
        <v>669.48228882826197</v>
      </c>
      <c r="AA64" s="188">
        <f>IF(IF(sym!$Q53=H64,1,0)=1,ABS(X64*G64),-ABS(X64*G64))</f>
        <v>-669.48228882826197</v>
      </c>
      <c r="AB64" s="188">
        <f>IF(IF(sym!$P53=$H64,1,0)=1,ABS($X64*$G64),-ABS($X64*$G64))</f>
        <v>669.48228882826197</v>
      </c>
      <c r="AC64" s="188">
        <f t="shared" si="41"/>
        <v>669.48228882826197</v>
      </c>
      <c r="AD64" s="188">
        <f t="shared" si="26"/>
        <v>-669.48228882826197</v>
      </c>
      <c r="AE64" s="188">
        <f t="shared" si="27"/>
        <v>-669.48228882826197</v>
      </c>
      <c r="AF64" s="188">
        <f t="shared" si="36"/>
        <v>669.48228882826197</v>
      </c>
      <c r="AG64" s="188">
        <f t="shared" si="37"/>
        <v>669.48228882826197</v>
      </c>
      <c r="AH64" s="188">
        <f t="shared" si="38"/>
        <v>-669.48228882826197</v>
      </c>
      <c r="AI64" s="188">
        <f t="shared" si="39"/>
        <v>669.48228882826197</v>
      </c>
      <c r="AJ64" s="188">
        <f t="shared" si="40"/>
        <v>669.48228882826197</v>
      </c>
      <c r="AK64" s="188">
        <f t="shared" si="28"/>
        <v>669.48228882826197</v>
      </c>
      <c r="AL64" s="188">
        <f t="shared" si="29"/>
        <v>-669.48228882826197</v>
      </c>
      <c r="AM64" s="188">
        <f t="shared" si="30"/>
        <v>669.48228882826197</v>
      </c>
      <c r="AN64" s="188">
        <f t="shared" si="31"/>
        <v>669.48228882826197</v>
      </c>
      <c r="AO64" s="188">
        <f t="shared" si="42"/>
        <v>-669.48228882826197</v>
      </c>
      <c r="AP64" s="188">
        <f t="shared" si="43"/>
        <v>-669.48228882826197</v>
      </c>
    </row>
    <row r="65" spans="1:42" ht="15.75" thickBot="1" x14ac:dyDescent="0.3">
      <c r="A65" s="1" t="s">
        <v>0</v>
      </c>
      <c r="B65" s="149" t="s">
        <v>702</v>
      </c>
      <c r="C65" s="192" t="s">
        <v>304</v>
      </c>
      <c r="E65" s="201">
        <f>'0810'!H65</f>
        <v>-1</v>
      </c>
      <c r="F65" s="186">
        <f t="shared" si="19"/>
        <v>744.943401433281</v>
      </c>
      <c r="G65" s="202">
        <v>1.35284373274E-2</v>
      </c>
      <c r="H65" s="233">
        <v>1</v>
      </c>
      <c r="I65" s="229">
        <v>1</v>
      </c>
      <c r="J65" s="229">
        <v>1</v>
      </c>
      <c r="K65" s="229">
        <v>1</v>
      </c>
      <c r="L65" s="202">
        <v>1</v>
      </c>
      <c r="M65" s="228">
        <v>-2</v>
      </c>
      <c r="N65" s="288">
        <v>42584</v>
      </c>
      <c r="O65">
        <f t="shared" si="20"/>
        <v>-1</v>
      </c>
      <c r="P65">
        <f t="shared" si="34"/>
        <v>-1</v>
      </c>
      <c r="Q65">
        <f t="shared" si="21"/>
        <v>1</v>
      </c>
      <c r="R65">
        <f t="shared" si="22"/>
        <v>1</v>
      </c>
      <c r="S65">
        <f t="shared" si="23"/>
        <v>1</v>
      </c>
      <c r="T65">
        <f t="shared" si="24"/>
        <v>-1</v>
      </c>
      <c r="U65">
        <f t="shared" si="35"/>
        <v>1</v>
      </c>
      <c r="V65">
        <f>VLOOKUP($A65,'FuturesInfo (3)'!$A$2:$V$80,22)</f>
        <v>2</v>
      </c>
      <c r="W65">
        <v>1</v>
      </c>
      <c r="X65" s="354">
        <v>55065</v>
      </c>
      <c r="Y65" s="354">
        <v>4376</v>
      </c>
      <c r="Z65" s="188">
        <f t="shared" si="25"/>
        <v>744.943401433281</v>
      </c>
      <c r="AA65" s="188">
        <f>IF(IF(sym!$Q54=H65,1,0)=1,ABS(X65*G65),-ABS(X65*G65))</f>
        <v>744.943401433281</v>
      </c>
      <c r="AB65" s="188">
        <f>IF(IF(sym!$P54=$H65,1,0)=1,ABS($X65*$G65),-ABS($X65*$G65))</f>
        <v>-744.943401433281</v>
      </c>
      <c r="AC65" s="188">
        <f t="shared" si="41"/>
        <v>-744.943401433281</v>
      </c>
      <c r="AD65" s="188">
        <f t="shared" si="26"/>
        <v>744.943401433281</v>
      </c>
      <c r="AE65" s="188">
        <f t="shared" si="27"/>
        <v>744.943401433281</v>
      </c>
      <c r="AF65" s="188">
        <f t="shared" si="36"/>
        <v>744.943401433281</v>
      </c>
      <c r="AG65" s="188">
        <f t="shared" si="37"/>
        <v>744.943401433281</v>
      </c>
      <c r="AH65" s="188">
        <f t="shared" si="38"/>
        <v>744.943401433281</v>
      </c>
      <c r="AI65" s="188">
        <f t="shared" si="39"/>
        <v>-744.943401433281</v>
      </c>
      <c r="AJ65" s="188">
        <f t="shared" si="40"/>
        <v>-744.943401433281</v>
      </c>
      <c r="AK65" s="188">
        <f t="shared" si="28"/>
        <v>-744.943401433281</v>
      </c>
      <c r="AL65" s="188">
        <f t="shared" si="29"/>
        <v>744.943401433281</v>
      </c>
      <c r="AM65" s="188">
        <f t="shared" si="30"/>
        <v>744.943401433281</v>
      </c>
      <c r="AN65" s="188">
        <f t="shared" si="31"/>
        <v>744.943401433281</v>
      </c>
      <c r="AO65" s="188">
        <f t="shared" si="42"/>
        <v>-744.943401433281</v>
      </c>
      <c r="AP65" s="188">
        <f t="shared" si="43"/>
        <v>744.943401433281</v>
      </c>
    </row>
    <row r="66" spans="1:42" ht="15.75" thickBot="1" x14ac:dyDescent="0.3">
      <c r="A66" s="1" t="s">
        <v>384</v>
      </c>
      <c r="B66" s="149" t="s">
        <v>704</v>
      </c>
      <c r="C66" s="192" t="s">
        <v>347</v>
      </c>
      <c r="E66" s="201">
        <f>'0810'!H66</f>
        <v>1</v>
      </c>
      <c r="F66" s="186">
        <f t="shared" si="19"/>
        <v>-6590.3854625539079</v>
      </c>
      <c r="G66" s="202">
        <v>-4.7632158590299997E-2</v>
      </c>
      <c r="H66" s="202">
        <v>-1</v>
      </c>
      <c r="I66" s="227">
        <v>-1</v>
      </c>
      <c r="J66" s="227">
        <v>-1</v>
      </c>
      <c r="K66" s="227">
        <v>-1</v>
      </c>
      <c r="L66" s="202">
        <v>-1</v>
      </c>
      <c r="M66" s="228">
        <v>-2</v>
      </c>
      <c r="N66" s="288">
        <v>42584</v>
      </c>
      <c r="O66">
        <f t="shared" si="20"/>
        <v>1</v>
      </c>
      <c r="P66">
        <f t="shared" si="34"/>
        <v>1</v>
      </c>
      <c r="Q66">
        <f t="shared" si="21"/>
        <v>-1</v>
      </c>
      <c r="R66">
        <f t="shared" si="22"/>
        <v>-1</v>
      </c>
      <c r="S66">
        <f t="shared" si="23"/>
        <v>-1</v>
      </c>
      <c r="T66">
        <f t="shared" si="24"/>
        <v>1</v>
      </c>
      <c r="U66">
        <f t="shared" si="35"/>
        <v>-1</v>
      </c>
      <c r="V66">
        <f>VLOOKUP($A66,'FuturesInfo (3)'!$A$2:$V$80,22)</f>
        <v>2</v>
      </c>
      <c r="W66">
        <v>1</v>
      </c>
      <c r="X66" s="354">
        <v>138360</v>
      </c>
      <c r="Y66" s="354">
        <v>10500</v>
      </c>
      <c r="Z66" s="188">
        <f t="shared" si="25"/>
        <v>6590.3854625539079</v>
      </c>
      <c r="AA66" s="188">
        <f>IF(IF(sym!$Q55=H66,1,0)=1,ABS(X66*G66),-ABS(X66*G66))</f>
        <v>-6590.3854625539079</v>
      </c>
      <c r="AB66" s="188">
        <f>IF(IF(sym!$P55=$H66,1,0)=1,ABS($X66*$G66),-ABS($X66*$G66))</f>
        <v>6590.3854625539079</v>
      </c>
      <c r="AC66" s="188">
        <f t="shared" si="41"/>
        <v>-6590.3854625539079</v>
      </c>
      <c r="AD66" s="188">
        <f t="shared" si="26"/>
        <v>6590.3854625539079</v>
      </c>
      <c r="AE66" s="188">
        <f t="shared" si="27"/>
        <v>6590.3854625539079</v>
      </c>
      <c r="AF66" s="188">
        <f t="shared" si="36"/>
        <v>6590.3854625539079</v>
      </c>
      <c r="AG66" s="188">
        <f t="shared" si="37"/>
        <v>6590.3854625539079</v>
      </c>
      <c r="AH66" s="188">
        <f t="shared" si="38"/>
        <v>6590.3854625539079</v>
      </c>
      <c r="AI66" s="188">
        <f t="shared" si="39"/>
        <v>-6590.3854625539079</v>
      </c>
      <c r="AJ66" s="188">
        <f t="shared" si="40"/>
        <v>-6590.3854625539079</v>
      </c>
      <c r="AK66" s="188">
        <f t="shared" si="28"/>
        <v>-6590.3854625539079</v>
      </c>
      <c r="AL66" s="188">
        <f t="shared" si="29"/>
        <v>6590.3854625539079</v>
      </c>
      <c r="AM66" s="188">
        <f t="shared" si="30"/>
        <v>6590.3854625539079</v>
      </c>
      <c r="AN66" s="188">
        <f t="shared" si="31"/>
        <v>6590.3854625539079</v>
      </c>
      <c r="AO66" s="188">
        <f t="shared" si="42"/>
        <v>-6590.3854625539079</v>
      </c>
      <c r="AP66" s="188">
        <f t="shared" si="43"/>
        <v>6590.3854625539079</v>
      </c>
    </row>
    <row r="67" spans="1:42" ht="15.75" thickBot="1" x14ac:dyDescent="0.3">
      <c r="A67" s="1" t="s">
        <v>386</v>
      </c>
      <c r="B67" s="149" t="s">
        <v>706</v>
      </c>
      <c r="C67" s="192" t="s">
        <v>347</v>
      </c>
      <c r="E67" s="201">
        <f>'0810'!H67</f>
        <v>1</v>
      </c>
      <c r="F67" s="186">
        <f t="shared" si="19"/>
        <v>-2581.090355845799</v>
      </c>
      <c r="G67" s="202">
        <v>-2.2314259149699998E-2</v>
      </c>
      <c r="H67" s="202">
        <v>-1</v>
      </c>
      <c r="I67" s="227">
        <v>1</v>
      </c>
      <c r="J67" s="227">
        <v>-1</v>
      </c>
      <c r="K67" s="227">
        <v>1</v>
      </c>
      <c r="L67" s="202">
        <v>-1</v>
      </c>
      <c r="M67" s="228">
        <v>-19</v>
      </c>
      <c r="N67" s="288">
        <v>42565</v>
      </c>
      <c r="O67">
        <f t="shared" si="20"/>
        <v>1</v>
      </c>
      <c r="P67">
        <f t="shared" si="34"/>
        <v>1</v>
      </c>
      <c r="Q67">
        <f t="shared" si="21"/>
        <v>-1</v>
      </c>
      <c r="R67">
        <f t="shared" si="22"/>
        <v>1</v>
      </c>
      <c r="S67">
        <f t="shared" si="23"/>
        <v>1</v>
      </c>
      <c r="T67">
        <f t="shared" si="24"/>
        <v>-1</v>
      </c>
      <c r="U67">
        <f t="shared" si="35"/>
        <v>-1</v>
      </c>
      <c r="V67">
        <f>VLOOKUP($A67,'FuturesInfo (3)'!$A$2:$V$80,22)</f>
        <v>2</v>
      </c>
      <c r="W67">
        <v>1</v>
      </c>
      <c r="X67" s="354">
        <v>115670</v>
      </c>
      <c r="Y67" s="354">
        <v>6192</v>
      </c>
      <c r="Z67" s="188">
        <f t="shared" si="25"/>
        <v>2581.090355845799</v>
      </c>
      <c r="AA67" s="188">
        <f>IF(IF(sym!$Q56=H67,1,0)=1,ABS(X67*G67),-ABS(X67*G67))</f>
        <v>2581.090355845799</v>
      </c>
      <c r="AB67" s="188">
        <f>IF(IF(sym!$P56=$H67,1,0)=1,ABS($X67*$G67),-ABS($X67*$G67))</f>
        <v>-2581.090355845799</v>
      </c>
      <c r="AC67" s="188">
        <f t="shared" si="41"/>
        <v>-2581.090355845799</v>
      </c>
      <c r="AD67" s="188">
        <f t="shared" si="26"/>
        <v>2581.090355845799</v>
      </c>
      <c r="AE67" s="188">
        <f t="shared" si="27"/>
        <v>2581.090355845799</v>
      </c>
      <c r="AF67" s="188">
        <f t="shared" si="36"/>
        <v>-2581.090355845799</v>
      </c>
      <c r="AG67" s="188">
        <f t="shared" si="37"/>
        <v>-2581.090355845799</v>
      </c>
      <c r="AH67" s="188">
        <f t="shared" si="38"/>
        <v>2581.090355845799</v>
      </c>
      <c r="AI67" s="188">
        <f t="shared" si="39"/>
        <v>-2581.090355845799</v>
      </c>
      <c r="AJ67" s="188">
        <f t="shared" si="40"/>
        <v>-2581.090355845799</v>
      </c>
      <c r="AK67" s="188">
        <f t="shared" si="28"/>
        <v>-2581.090355845799</v>
      </c>
      <c r="AL67" s="188">
        <f t="shared" si="29"/>
        <v>2581.090355845799</v>
      </c>
      <c r="AM67" s="188">
        <f t="shared" si="30"/>
        <v>-2581.090355845799</v>
      </c>
      <c r="AN67" s="188">
        <f t="shared" si="31"/>
        <v>-2581.090355845799</v>
      </c>
      <c r="AO67" s="188">
        <f t="shared" si="42"/>
        <v>2581.090355845799</v>
      </c>
      <c r="AP67" s="188">
        <f t="shared" si="43"/>
        <v>2581.090355845799</v>
      </c>
    </row>
    <row r="68" spans="1:42" ht="15.75" thickBot="1" x14ac:dyDescent="0.3">
      <c r="A68" s="1" t="s">
        <v>388</v>
      </c>
      <c r="B68" s="149" t="s">
        <v>710</v>
      </c>
      <c r="C68" s="192" t="s">
        <v>288</v>
      </c>
      <c r="E68" s="201">
        <f>'0810'!H68</f>
        <v>-1</v>
      </c>
      <c r="F68" s="186">
        <f t="shared" si="19"/>
        <v>5299.8946058093816</v>
      </c>
      <c r="G68" s="202">
        <v>4.6334716459200002E-2</v>
      </c>
      <c r="H68" s="233">
        <v>1</v>
      </c>
      <c r="I68" s="229">
        <v>-1</v>
      </c>
      <c r="J68" s="229">
        <v>-1</v>
      </c>
      <c r="K68" s="229">
        <v>-1</v>
      </c>
      <c r="L68" s="202">
        <v>-1</v>
      </c>
      <c r="M68" s="228">
        <v>-3</v>
      </c>
      <c r="N68" s="288">
        <v>42579</v>
      </c>
      <c r="O68">
        <f t="shared" si="20"/>
        <v>1</v>
      </c>
      <c r="P68">
        <f t="shared" si="34"/>
        <v>-1</v>
      </c>
      <c r="Q68">
        <f t="shared" si="21"/>
        <v>1</v>
      </c>
      <c r="R68">
        <f t="shared" si="22"/>
        <v>1</v>
      </c>
      <c r="S68">
        <f t="shared" si="23"/>
        <v>1</v>
      </c>
      <c r="T68">
        <f t="shared" si="24"/>
        <v>-1</v>
      </c>
      <c r="U68">
        <f t="shared" si="35"/>
        <v>1</v>
      </c>
      <c r="V68">
        <f>VLOOKUP($A68,'FuturesInfo (3)'!$A$2:$V$80,22)</f>
        <v>2</v>
      </c>
      <c r="W68">
        <v>1</v>
      </c>
      <c r="X68" s="354">
        <v>114382.79999999999</v>
      </c>
      <c r="Y68" s="354">
        <v>12236</v>
      </c>
      <c r="Z68" s="188">
        <f t="shared" si="25"/>
        <v>5299.8946058093816</v>
      </c>
      <c r="AA68" s="188">
        <f>IF(IF(sym!$Q57=H68,1,0)=1,ABS(X68*G68),-ABS(X68*G68))</f>
        <v>5299.8946058093816</v>
      </c>
      <c r="AB68" s="188">
        <f>IF(IF(sym!$P57=$H68,1,0)=1,ABS($X68*$G68),-ABS($X68*$G68))</f>
        <v>-5299.8946058093816</v>
      </c>
      <c r="AC68" s="188">
        <f t="shared" si="41"/>
        <v>-5299.8946058093816</v>
      </c>
      <c r="AD68" s="188">
        <f t="shared" si="26"/>
        <v>5299.8946058093816</v>
      </c>
      <c r="AE68" s="188">
        <f t="shared" si="27"/>
        <v>-5299.8946058093816</v>
      </c>
      <c r="AF68" s="188">
        <f t="shared" si="36"/>
        <v>-5299.8946058093816</v>
      </c>
      <c r="AG68" s="188">
        <f t="shared" si="37"/>
        <v>-5299.8946058093816</v>
      </c>
      <c r="AH68" s="188">
        <f t="shared" si="38"/>
        <v>-5299.8946058093816</v>
      </c>
      <c r="AI68" s="188">
        <f t="shared" si="39"/>
        <v>5299.8946058093816</v>
      </c>
      <c r="AJ68" s="188">
        <f t="shared" si="40"/>
        <v>5299.8946058093816</v>
      </c>
      <c r="AK68" s="188">
        <f t="shared" si="28"/>
        <v>-5299.8946058093816</v>
      </c>
      <c r="AL68" s="188">
        <f t="shared" si="29"/>
        <v>5299.8946058093816</v>
      </c>
      <c r="AM68" s="188">
        <f t="shared" si="30"/>
        <v>5299.8946058093816</v>
      </c>
      <c r="AN68" s="188">
        <f t="shared" si="31"/>
        <v>5299.8946058093816</v>
      </c>
      <c r="AO68" s="188">
        <f t="shared" si="42"/>
        <v>-5299.8946058093816</v>
      </c>
      <c r="AP68" s="188">
        <f t="shared" si="43"/>
        <v>5299.8946058093816</v>
      </c>
    </row>
    <row r="69" spans="1:42" s="2" customFormat="1" ht="15.75" thickBot="1" x14ac:dyDescent="0.3">
      <c r="A69" s="1" t="s">
        <v>389</v>
      </c>
      <c r="B69" s="149" t="s">
        <v>712</v>
      </c>
      <c r="C69" s="192" t="s">
        <v>297</v>
      </c>
      <c r="D69"/>
      <c r="E69" s="201">
        <f>'0810'!H69</f>
        <v>-1</v>
      </c>
      <c r="F69" s="186">
        <f t="shared" si="19"/>
        <v>-2005.8560924390101</v>
      </c>
      <c r="G69" s="202">
        <v>-2.1533613445400002E-2</v>
      </c>
      <c r="H69" s="202">
        <v>-1</v>
      </c>
      <c r="I69" s="227">
        <v>1</v>
      </c>
      <c r="J69" s="227">
        <v>-1</v>
      </c>
      <c r="K69" s="227">
        <v>1</v>
      </c>
      <c r="L69" s="202">
        <v>1</v>
      </c>
      <c r="M69" s="228">
        <v>-3</v>
      </c>
      <c r="N69" s="288">
        <v>42583</v>
      </c>
      <c r="O69">
        <f t="shared" si="20"/>
        <v>-1</v>
      </c>
      <c r="P69">
        <f t="shared" si="34"/>
        <v>-1</v>
      </c>
      <c r="Q69">
        <f t="shared" si="21"/>
        <v>-1</v>
      </c>
      <c r="R69">
        <f t="shared" si="22"/>
        <v>1</v>
      </c>
      <c r="S69">
        <f t="shared" si="23"/>
        <v>-1</v>
      </c>
      <c r="T69">
        <f t="shared" si="24"/>
        <v>-1</v>
      </c>
      <c r="U69">
        <f t="shared" si="35"/>
        <v>-1</v>
      </c>
      <c r="V69">
        <f>VLOOKUP($A69,'FuturesInfo (3)'!$A$2:$V$80,22)</f>
        <v>5</v>
      </c>
      <c r="W69">
        <v>1</v>
      </c>
      <c r="X69" s="354">
        <v>93150</v>
      </c>
      <c r="Y69" s="354">
        <v>6850</v>
      </c>
      <c r="Z69" s="188">
        <f t="shared" si="25"/>
        <v>2005.8560924390101</v>
      </c>
      <c r="AA69" s="188">
        <f>IF(IF(sym!$Q58=H69,1,0)=1,ABS(X69*G69),-ABS(X69*G69))</f>
        <v>-2005.8560924390101</v>
      </c>
      <c r="AB69" s="188">
        <f>IF(IF(sym!$P58=$H69,1,0)=1,ABS($X69*$G69),-ABS($X69*$G69))</f>
        <v>2005.8560924390101</v>
      </c>
      <c r="AC69" s="188">
        <f t="shared" si="41"/>
        <v>2005.8560924390101</v>
      </c>
      <c r="AD69" s="188">
        <f t="shared" si="26"/>
        <v>-2005.8560924390101</v>
      </c>
      <c r="AE69" s="188">
        <f t="shared" si="27"/>
        <v>2005.8560924390101</v>
      </c>
      <c r="AF69" s="188">
        <f t="shared" si="36"/>
        <v>-2005.8560924390101</v>
      </c>
      <c r="AG69" s="188">
        <f t="shared" si="37"/>
        <v>-2005.8560924390101</v>
      </c>
      <c r="AH69" s="188">
        <f t="shared" si="38"/>
        <v>-2005.8560924390101</v>
      </c>
      <c r="AI69" s="188">
        <f t="shared" si="39"/>
        <v>2005.8560924390101</v>
      </c>
      <c r="AJ69" s="188">
        <f t="shared" si="40"/>
        <v>2005.8560924390101</v>
      </c>
      <c r="AK69" s="188">
        <f t="shared" si="28"/>
        <v>2005.8560924390101</v>
      </c>
      <c r="AL69" s="188">
        <f t="shared" si="29"/>
        <v>2005.8560924390101</v>
      </c>
      <c r="AM69" s="188">
        <f t="shared" si="30"/>
        <v>-2005.8560924390101</v>
      </c>
      <c r="AN69" s="188">
        <f t="shared" si="31"/>
        <v>2005.8560924390101</v>
      </c>
      <c r="AO69" s="188">
        <f t="shared" si="42"/>
        <v>2005.8560924390101</v>
      </c>
      <c r="AP69" s="188">
        <f t="shared" si="43"/>
        <v>2005.8560924390101</v>
      </c>
    </row>
    <row r="70" spans="1:42" s="2" customFormat="1" ht="15.75" thickBot="1" x14ac:dyDescent="0.3">
      <c r="A70" s="1" t="s">
        <v>391</v>
      </c>
      <c r="B70" s="149" t="s">
        <v>490</v>
      </c>
      <c r="C70" s="192" t="s">
        <v>297</v>
      </c>
      <c r="D70"/>
      <c r="E70" s="201">
        <f>'0810'!H70</f>
        <v>1</v>
      </c>
      <c r="F70" s="186">
        <f t="shared" si="19"/>
        <v>367.60537941412383</v>
      </c>
      <c r="G70" s="202">
        <v>3.03753525711E-3</v>
      </c>
      <c r="H70" s="202">
        <v>1</v>
      </c>
      <c r="I70" s="227">
        <v>1</v>
      </c>
      <c r="J70" s="227">
        <v>-1</v>
      </c>
      <c r="K70" s="227">
        <v>1</v>
      </c>
      <c r="L70" s="202">
        <v>1</v>
      </c>
      <c r="M70" s="228">
        <v>5</v>
      </c>
      <c r="N70" s="288">
        <v>42585</v>
      </c>
      <c r="O70">
        <f t="shared" si="20"/>
        <v>1</v>
      </c>
      <c r="P70">
        <f t="shared" si="34"/>
        <v>1</v>
      </c>
      <c r="Q70">
        <f t="shared" si="21"/>
        <v>-1</v>
      </c>
      <c r="R70">
        <f t="shared" si="22"/>
        <v>-1</v>
      </c>
      <c r="S70">
        <f t="shared" si="23"/>
        <v>-1</v>
      </c>
      <c r="T70">
        <f t="shared" si="24"/>
        <v>-1</v>
      </c>
      <c r="U70">
        <f t="shared" si="35"/>
        <v>-1</v>
      </c>
      <c r="V70">
        <f>VLOOKUP($A70,'FuturesInfo (3)'!$A$2:$V$80,22)</f>
        <v>17</v>
      </c>
      <c r="W70">
        <v>1</v>
      </c>
      <c r="X70" s="354">
        <v>121020.94240837697</v>
      </c>
      <c r="Y70" s="354">
        <v>4594.2408376963358</v>
      </c>
      <c r="Z70" s="188">
        <f t="shared" si="25"/>
        <v>367.60537941412383</v>
      </c>
      <c r="AA70" s="188">
        <f>IF(IF(sym!$Q59=H70,1,0)=1,ABS(X70*G70),-ABS(X70*G70))</f>
        <v>367.60537941412383</v>
      </c>
      <c r="AB70" s="188">
        <f>IF(IF(sym!$P59=$H70,1,0)=1,ABS($X70*$G70),-ABS($X70*$G70))</f>
        <v>-367.60537941412383</v>
      </c>
      <c r="AC70" s="188">
        <f t="shared" si="41"/>
        <v>367.60537941412383</v>
      </c>
      <c r="AD70" s="188">
        <f t="shared" si="26"/>
        <v>-367.60537941412383</v>
      </c>
      <c r="AE70" s="188">
        <f t="shared" si="27"/>
        <v>-367.60537941412383</v>
      </c>
      <c r="AF70" s="188">
        <f t="shared" si="36"/>
        <v>367.60537941412383</v>
      </c>
      <c r="AG70" s="188">
        <f t="shared" si="37"/>
        <v>367.60537941412383</v>
      </c>
      <c r="AH70" s="188">
        <f t="shared" si="38"/>
        <v>367.60537941412383</v>
      </c>
      <c r="AI70" s="188">
        <f t="shared" si="39"/>
        <v>-367.60537941412383</v>
      </c>
      <c r="AJ70" s="188">
        <f t="shared" si="40"/>
        <v>367.60537941412383</v>
      </c>
      <c r="AK70" s="188">
        <f t="shared" si="28"/>
        <v>367.60537941412383</v>
      </c>
      <c r="AL70" s="188">
        <f t="shared" si="29"/>
        <v>-367.60537941412383</v>
      </c>
      <c r="AM70" s="188">
        <f t="shared" si="30"/>
        <v>-367.60537941412383</v>
      </c>
      <c r="AN70" s="188">
        <f t="shared" si="31"/>
        <v>-367.60537941412383</v>
      </c>
      <c r="AO70" s="188">
        <f t="shared" si="42"/>
        <v>-367.60537941412383</v>
      </c>
      <c r="AP70" s="188">
        <f t="shared" si="43"/>
        <v>-367.60537941412383</v>
      </c>
    </row>
    <row r="71" spans="1:42" ht="15.75" thickBot="1" x14ac:dyDescent="0.3">
      <c r="A71" s="1" t="s">
        <v>29</v>
      </c>
      <c r="B71" s="149" t="s">
        <v>730</v>
      </c>
      <c r="C71" s="192" t="s">
        <v>297</v>
      </c>
      <c r="D71" s="2"/>
      <c r="E71" s="201">
        <f>'0810'!H71</f>
        <v>-1</v>
      </c>
      <c r="F71" s="186">
        <f t="shared" si="19"/>
        <v>175.31178416942399</v>
      </c>
      <c r="G71" s="202">
        <v>1.7816238228599999E-3</v>
      </c>
      <c r="H71" s="202">
        <v>1</v>
      </c>
      <c r="I71" s="227">
        <v>-1</v>
      </c>
      <c r="J71" s="227">
        <v>1</v>
      </c>
      <c r="K71" s="227">
        <v>-1</v>
      </c>
      <c r="L71" s="202">
        <v>1</v>
      </c>
      <c r="M71" s="228">
        <v>-6</v>
      </c>
      <c r="N71" s="288">
        <v>42584</v>
      </c>
      <c r="O71">
        <f t="shared" si="20"/>
        <v>-1</v>
      </c>
      <c r="P71">
        <f t="shared" si="34"/>
        <v>-1</v>
      </c>
      <c r="Q71">
        <f t="shared" si="21"/>
        <v>1</v>
      </c>
      <c r="R71">
        <f t="shared" si="22"/>
        <v>-1</v>
      </c>
      <c r="S71">
        <f t="shared" si="23"/>
        <v>-1</v>
      </c>
      <c r="T71">
        <f t="shared" si="24"/>
        <v>1</v>
      </c>
      <c r="U71">
        <f t="shared" si="35"/>
        <v>1</v>
      </c>
      <c r="V71">
        <f>VLOOKUP($A71,'FuturesInfo (3)'!$A$2:$V$80,22)</f>
        <v>2</v>
      </c>
      <c r="W71">
        <v>1</v>
      </c>
      <c r="X71" s="354">
        <v>98400</v>
      </c>
      <c r="Y71" s="354">
        <v>15250</v>
      </c>
      <c r="Z71" s="188">
        <f t="shared" si="25"/>
        <v>175.31178416942399</v>
      </c>
      <c r="AA71" s="188">
        <f>IF(IF(sym!$Q60=H71,1,0)=1,ABS(X71*G71),-ABS(X71*G71))</f>
        <v>175.31178416942399</v>
      </c>
      <c r="AB71" s="188">
        <f>IF(IF(sym!$P60=$H71,1,0)=1,ABS($X71*$G71),-ABS($X71*$G71))</f>
        <v>-175.31178416942399</v>
      </c>
      <c r="AC71" s="188">
        <f t="shared" si="41"/>
        <v>-175.31178416942399</v>
      </c>
      <c r="AD71" s="188">
        <f t="shared" si="26"/>
        <v>175.31178416942399</v>
      </c>
      <c r="AE71" s="188">
        <f t="shared" si="27"/>
        <v>175.31178416942399</v>
      </c>
      <c r="AF71" s="188">
        <f t="shared" si="36"/>
        <v>-175.31178416942399</v>
      </c>
      <c r="AG71" s="188">
        <f t="shared" si="37"/>
        <v>-175.31178416942399</v>
      </c>
      <c r="AH71" s="188">
        <f t="shared" si="38"/>
        <v>175.31178416942399</v>
      </c>
      <c r="AI71" s="188">
        <f t="shared" si="39"/>
        <v>-175.31178416942399</v>
      </c>
      <c r="AJ71" s="188">
        <f t="shared" si="40"/>
        <v>-175.31178416942399</v>
      </c>
      <c r="AK71" s="188">
        <f t="shared" si="28"/>
        <v>-175.31178416942399</v>
      </c>
      <c r="AL71" s="188">
        <f t="shared" si="29"/>
        <v>175.31178416942399</v>
      </c>
      <c r="AM71" s="188">
        <f t="shared" si="30"/>
        <v>-175.31178416942399</v>
      </c>
      <c r="AN71" s="188">
        <f t="shared" si="31"/>
        <v>-175.31178416942399</v>
      </c>
      <c r="AO71" s="188">
        <f t="shared" si="42"/>
        <v>175.31178416942399</v>
      </c>
      <c r="AP71" s="188">
        <f t="shared" si="43"/>
        <v>175.31178416942399</v>
      </c>
    </row>
    <row r="72" spans="1:42" ht="15.75" thickBot="1" x14ac:dyDescent="0.3">
      <c r="A72" s="1" t="s">
        <v>394</v>
      </c>
      <c r="B72" s="149" t="s">
        <v>742</v>
      </c>
      <c r="C72" s="192" t="s">
        <v>304</v>
      </c>
      <c r="E72" s="201">
        <f>'0810'!H72</f>
        <v>-1</v>
      </c>
      <c r="F72" s="186">
        <f t="shared" si="19"/>
        <v>-178.83503054986238</v>
      </c>
      <c r="G72" s="202">
        <v>-2.0366598777999999E-3</v>
      </c>
      <c r="H72" s="202">
        <v>-1</v>
      </c>
      <c r="I72" s="227">
        <v>1</v>
      </c>
      <c r="J72" s="227">
        <v>-1</v>
      </c>
      <c r="K72" s="227">
        <v>1</v>
      </c>
      <c r="L72" s="202">
        <v>-1</v>
      </c>
      <c r="M72" s="228">
        <v>2</v>
      </c>
      <c r="N72" s="288">
        <v>42579</v>
      </c>
      <c r="O72">
        <f t="shared" si="20"/>
        <v>-1</v>
      </c>
      <c r="P72">
        <f t="shared" si="34"/>
        <v>1</v>
      </c>
      <c r="Q72">
        <f t="shared" si="21"/>
        <v>-1</v>
      </c>
      <c r="R72">
        <f t="shared" si="22"/>
        <v>1</v>
      </c>
      <c r="S72">
        <f t="shared" si="23"/>
        <v>1</v>
      </c>
      <c r="T72">
        <f t="shared" si="24"/>
        <v>-1</v>
      </c>
      <c r="U72">
        <f t="shared" si="35"/>
        <v>1</v>
      </c>
      <c r="V72">
        <f>VLOOKUP($A72,'FuturesInfo (3)'!$A$2:$V$80,22)</f>
        <v>4</v>
      </c>
      <c r="W72">
        <v>1</v>
      </c>
      <c r="X72" s="354">
        <v>87808</v>
      </c>
      <c r="Y72" s="354">
        <v>12000</v>
      </c>
      <c r="Z72" s="188">
        <f t="shared" si="25"/>
        <v>178.83503054986238</v>
      </c>
      <c r="AA72" s="188">
        <f>IF(IF(sym!$Q61=H72,1,0)=1,ABS(X72*G72),-ABS(X72*G72))</f>
        <v>-178.83503054986238</v>
      </c>
      <c r="AB72" s="188">
        <f>IF(IF(sym!$P61=$H72,1,0)=1,ABS($X72*$G72),-ABS($X72*$G72))</f>
        <v>178.83503054986238</v>
      </c>
      <c r="AC72" s="188">
        <f t="shared" si="41"/>
        <v>178.83503054986238</v>
      </c>
      <c r="AD72" s="188">
        <f t="shared" si="26"/>
        <v>-178.83503054986238</v>
      </c>
      <c r="AE72" s="188">
        <f t="shared" si="27"/>
        <v>178.83503054986238</v>
      </c>
      <c r="AF72" s="188">
        <f t="shared" si="36"/>
        <v>-178.83503054986238</v>
      </c>
      <c r="AG72" s="188">
        <f t="shared" si="37"/>
        <v>-178.83503054986238</v>
      </c>
      <c r="AH72" s="188">
        <f t="shared" si="38"/>
        <v>178.83503054986238</v>
      </c>
      <c r="AI72" s="188">
        <f t="shared" si="39"/>
        <v>-178.83503054986238</v>
      </c>
      <c r="AJ72" s="188">
        <f t="shared" si="40"/>
        <v>178.83503054986238</v>
      </c>
      <c r="AK72" s="188">
        <f t="shared" si="28"/>
        <v>-178.83503054986238</v>
      </c>
      <c r="AL72" s="188">
        <f t="shared" si="29"/>
        <v>178.83503054986238</v>
      </c>
      <c r="AM72" s="188">
        <f t="shared" si="30"/>
        <v>-178.83503054986238</v>
      </c>
      <c r="AN72" s="188">
        <f t="shared" si="31"/>
        <v>-178.83503054986238</v>
      </c>
      <c r="AO72" s="188">
        <f t="shared" si="42"/>
        <v>178.83503054986238</v>
      </c>
      <c r="AP72" s="188">
        <f t="shared" si="43"/>
        <v>-178.83503054986238</v>
      </c>
    </row>
    <row r="73" spans="1:42" ht="15.75" thickBot="1" x14ac:dyDescent="0.3">
      <c r="A73" s="1" t="s">
        <v>396</v>
      </c>
      <c r="B73" s="149" t="s">
        <v>744</v>
      </c>
      <c r="C73" s="192" t="s">
        <v>1121</v>
      </c>
      <c r="E73" s="201">
        <f>'0810'!H73</f>
        <v>1</v>
      </c>
      <c r="F73" s="186">
        <f t="shared" si="19"/>
        <v>300.23362211609486</v>
      </c>
      <c r="G73" s="202">
        <v>7.7874038742300003E-4</v>
      </c>
      <c r="H73" s="202">
        <v>1</v>
      </c>
      <c r="I73" s="227">
        <v>1</v>
      </c>
      <c r="J73" s="227">
        <v>-1</v>
      </c>
      <c r="K73" s="227">
        <v>1</v>
      </c>
      <c r="L73" s="202">
        <v>1</v>
      </c>
      <c r="M73" s="228">
        <v>11</v>
      </c>
      <c r="N73" s="288">
        <v>42584</v>
      </c>
      <c r="O73">
        <f t="shared" si="20"/>
        <v>1</v>
      </c>
      <c r="P73">
        <f t="shared" si="34"/>
        <v>1</v>
      </c>
      <c r="Q73">
        <f t="shared" si="21"/>
        <v>-1</v>
      </c>
      <c r="R73">
        <f t="shared" si="22"/>
        <v>-1</v>
      </c>
      <c r="S73">
        <f t="shared" si="23"/>
        <v>-1</v>
      </c>
      <c r="T73">
        <f t="shared" si="24"/>
        <v>-1</v>
      </c>
      <c r="U73">
        <f t="shared" si="35"/>
        <v>-1</v>
      </c>
      <c r="V73">
        <f>VLOOKUP($A73,'FuturesInfo (3)'!$A$2:$V$80,22)</f>
        <v>3</v>
      </c>
      <c r="W73">
        <v>1</v>
      </c>
      <c r="X73" s="354">
        <v>385537.5</v>
      </c>
      <c r="Y73" s="354">
        <v>33606</v>
      </c>
      <c r="Z73" s="188">
        <f t="shared" si="25"/>
        <v>300.23362211609486</v>
      </c>
      <c r="AA73" s="188">
        <f>IF(IF(sym!$Q62=H73,1,0)=1,ABS(X73*G73),-ABS(X73*G73))</f>
        <v>300.23362211609486</v>
      </c>
      <c r="AB73" s="188">
        <f>IF(IF(sym!$P62=$H73,1,0)=1,ABS($X73*$G73),-ABS($X73*$G73))</f>
        <v>-300.23362211609486</v>
      </c>
      <c r="AC73" s="188">
        <f t="shared" si="41"/>
        <v>300.23362211609486</v>
      </c>
      <c r="AD73" s="188">
        <f t="shared" si="26"/>
        <v>-300.23362211609486</v>
      </c>
      <c r="AE73" s="188">
        <f t="shared" si="27"/>
        <v>-300.23362211609486</v>
      </c>
      <c r="AF73" s="188">
        <f t="shared" si="36"/>
        <v>300.23362211609486</v>
      </c>
      <c r="AG73" s="188">
        <f t="shared" si="37"/>
        <v>300.23362211609486</v>
      </c>
      <c r="AH73" s="188">
        <f t="shared" si="38"/>
        <v>300.23362211609486</v>
      </c>
      <c r="AI73" s="188">
        <f t="shared" si="39"/>
        <v>-300.23362211609486</v>
      </c>
      <c r="AJ73" s="188">
        <f t="shared" si="40"/>
        <v>300.23362211609486</v>
      </c>
      <c r="AK73" s="188">
        <f t="shared" si="28"/>
        <v>300.23362211609486</v>
      </c>
      <c r="AL73" s="188">
        <f t="shared" si="29"/>
        <v>-300.23362211609486</v>
      </c>
      <c r="AM73" s="188">
        <f t="shared" si="30"/>
        <v>-300.23362211609486</v>
      </c>
      <c r="AN73" s="188">
        <f t="shared" si="31"/>
        <v>-300.23362211609486</v>
      </c>
      <c r="AO73" s="188">
        <f t="shared" si="42"/>
        <v>-300.23362211609486</v>
      </c>
      <c r="AP73" s="188">
        <f t="shared" si="43"/>
        <v>-300.23362211609486</v>
      </c>
    </row>
    <row r="74" spans="1:42" ht="15.75" thickBot="1" x14ac:dyDescent="0.3">
      <c r="A74" s="1" t="s">
        <v>398</v>
      </c>
      <c r="B74" s="149" t="s">
        <v>722</v>
      </c>
      <c r="C74" s="192" t="s">
        <v>347</v>
      </c>
      <c r="E74" s="201">
        <f>'0810'!H74</f>
        <v>1</v>
      </c>
      <c r="F74" s="186">
        <f t="shared" si="19"/>
        <v>-744.42240951878807</v>
      </c>
      <c r="G74" s="202">
        <v>-7.4367873078800004E-3</v>
      </c>
      <c r="H74" s="202">
        <v>-1</v>
      </c>
      <c r="I74" s="227">
        <v>-1</v>
      </c>
      <c r="J74" s="227">
        <v>-1</v>
      </c>
      <c r="K74" s="227">
        <v>1</v>
      </c>
      <c r="L74" s="202">
        <v>-1</v>
      </c>
      <c r="M74" s="228">
        <v>15</v>
      </c>
      <c r="N74" s="288">
        <v>42584</v>
      </c>
      <c r="O74">
        <f t="shared" si="20"/>
        <v>-1</v>
      </c>
      <c r="P74">
        <f t="shared" si="34"/>
        <v>1</v>
      </c>
      <c r="Q74">
        <f t="shared" si="21"/>
        <v>-1</v>
      </c>
      <c r="R74">
        <f t="shared" si="22"/>
        <v>-1</v>
      </c>
      <c r="S74">
        <f t="shared" si="23"/>
        <v>-1</v>
      </c>
      <c r="T74">
        <f t="shared" si="24"/>
        <v>1</v>
      </c>
      <c r="U74">
        <f t="shared" si="35"/>
        <v>-1</v>
      </c>
      <c r="V74">
        <f>VLOOKUP($A74,'FuturesInfo (3)'!$A$2:$V$80,22)</f>
        <v>1</v>
      </c>
      <c r="W74">
        <v>1</v>
      </c>
      <c r="X74" s="354">
        <v>100100</v>
      </c>
      <c r="Y74" s="354">
        <v>1296</v>
      </c>
      <c r="Z74" s="188">
        <f t="shared" si="25"/>
        <v>744.42240951878807</v>
      </c>
      <c r="AA74" s="188">
        <f>IF(IF(sym!$Q63=H74,1,0)=1,ABS(X74*G74),-ABS(X74*G74))</f>
        <v>744.42240951878807</v>
      </c>
      <c r="AB74" s="188">
        <f>IF(IF(sym!$P63=$H74,1,0)=1,ABS($X74*$G74),-ABS($X74*$G74))</f>
        <v>-744.42240951878807</v>
      </c>
      <c r="AC74" s="188">
        <f t="shared" si="41"/>
        <v>-744.42240951878807</v>
      </c>
      <c r="AD74" s="188">
        <f t="shared" si="26"/>
        <v>744.42240951878807</v>
      </c>
      <c r="AE74" s="188">
        <f t="shared" si="27"/>
        <v>744.42240951878807</v>
      </c>
      <c r="AF74" s="188">
        <f t="shared" si="36"/>
        <v>744.42240951878807</v>
      </c>
      <c r="AG74" s="188">
        <f t="shared" si="37"/>
        <v>-744.42240951878807</v>
      </c>
      <c r="AH74" s="188">
        <f t="shared" si="38"/>
        <v>744.42240951878807</v>
      </c>
      <c r="AI74" s="188">
        <f t="shared" si="39"/>
        <v>-744.42240951878807</v>
      </c>
      <c r="AJ74" s="188">
        <f t="shared" si="40"/>
        <v>744.42240951878807</v>
      </c>
      <c r="AK74" s="188">
        <f t="shared" si="28"/>
        <v>-744.42240951878807</v>
      </c>
      <c r="AL74" s="188">
        <f t="shared" si="29"/>
        <v>744.42240951878807</v>
      </c>
      <c r="AM74" s="188">
        <f t="shared" si="30"/>
        <v>744.42240951878807</v>
      </c>
      <c r="AN74" s="188">
        <f t="shared" si="31"/>
        <v>744.42240951878807</v>
      </c>
      <c r="AO74" s="188">
        <f t="shared" si="42"/>
        <v>-744.42240951878807</v>
      </c>
      <c r="AP74" s="188">
        <f t="shared" si="43"/>
        <v>744.42240951878807</v>
      </c>
    </row>
    <row r="75" spans="1:42" ht="15.75" thickBot="1" x14ac:dyDescent="0.3">
      <c r="A75" s="1" t="s">
        <v>400</v>
      </c>
      <c r="B75" s="149" t="s">
        <v>732</v>
      </c>
      <c r="C75" s="192" t="s">
        <v>294</v>
      </c>
      <c r="E75" s="201">
        <f>'0810'!H75</f>
        <v>-1</v>
      </c>
      <c r="F75" s="186">
        <f t="shared" si="19"/>
        <v>637.96193469611228</v>
      </c>
      <c r="G75" s="291">
        <v>3.0848029800399999E-3</v>
      </c>
      <c r="H75" s="202">
        <v>1</v>
      </c>
      <c r="I75" s="227">
        <v>-1</v>
      </c>
      <c r="J75" s="227">
        <v>-1</v>
      </c>
      <c r="K75" s="227">
        <v>-1</v>
      </c>
      <c r="L75" s="202">
        <v>1</v>
      </c>
      <c r="M75" s="228">
        <v>2</v>
      </c>
      <c r="N75" s="288">
        <v>42572</v>
      </c>
      <c r="O75">
        <f t="shared" si="20"/>
        <v>1</v>
      </c>
      <c r="P75">
        <f t="shared" si="34"/>
        <v>-1</v>
      </c>
      <c r="Q75">
        <f t="shared" si="21"/>
        <v>1</v>
      </c>
      <c r="R75">
        <f t="shared" si="22"/>
        <v>-1</v>
      </c>
      <c r="S75">
        <f t="shared" si="23"/>
        <v>-1</v>
      </c>
      <c r="T75">
        <f t="shared" si="24"/>
        <v>-1</v>
      </c>
      <c r="U75">
        <f t="shared" si="35"/>
        <v>-1</v>
      </c>
      <c r="V75">
        <f>VLOOKUP($A75,'FuturesInfo (3)'!$A$2:$V$80,22)</f>
        <v>12</v>
      </c>
      <c r="W75">
        <v>1</v>
      </c>
      <c r="X75" s="354">
        <v>206808</v>
      </c>
      <c r="Y75" s="354">
        <v>6756</v>
      </c>
      <c r="Z75" s="188">
        <f t="shared" si="25"/>
        <v>637.96193469611228</v>
      </c>
      <c r="AA75" s="188">
        <f>IF(IF(sym!$Q64=H75,1,0)=1,ABS(X75*G75),-ABS(X75*G75))</f>
        <v>637.96193469611228</v>
      </c>
      <c r="AB75" s="188">
        <f>IF(IF(sym!$P64=$H75,1,0)=1,ABS($X75*$G75),-ABS($X75*$G75))</f>
        <v>-637.96193469611228</v>
      </c>
      <c r="AC75" s="188">
        <f t="shared" si="41"/>
        <v>-637.96193469611228</v>
      </c>
      <c r="AD75" s="188">
        <f t="shared" si="26"/>
        <v>637.96193469611228</v>
      </c>
      <c r="AE75" s="188">
        <f t="shared" si="27"/>
        <v>-637.96193469611228</v>
      </c>
      <c r="AF75" s="188">
        <f t="shared" si="36"/>
        <v>-637.96193469611228</v>
      </c>
      <c r="AG75" s="188">
        <f t="shared" si="37"/>
        <v>-637.96193469611228</v>
      </c>
      <c r="AH75" s="188">
        <f t="shared" si="38"/>
        <v>637.96193469611228</v>
      </c>
      <c r="AI75" s="188">
        <f t="shared" si="39"/>
        <v>-637.96193469611228</v>
      </c>
      <c r="AJ75" s="188">
        <f t="shared" si="40"/>
        <v>637.96193469611228</v>
      </c>
      <c r="AK75" s="188">
        <f t="shared" si="28"/>
        <v>-637.96193469611228</v>
      </c>
      <c r="AL75" s="188">
        <f t="shared" si="29"/>
        <v>637.96193469611228</v>
      </c>
      <c r="AM75" s="188">
        <f t="shared" si="30"/>
        <v>-637.96193469611228</v>
      </c>
      <c r="AN75" s="188">
        <f t="shared" si="31"/>
        <v>-637.96193469611228</v>
      </c>
      <c r="AO75" s="188">
        <f t="shared" si="42"/>
        <v>-637.96193469611228</v>
      </c>
      <c r="AP75" s="188">
        <f t="shared" si="43"/>
        <v>-637.96193469611228</v>
      </c>
    </row>
    <row r="76" spans="1:42" ht="15.75" thickBot="1" x14ac:dyDescent="0.3">
      <c r="A76" s="1" t="s">
        <v>992</v>
      </c>
      <c r="B76" s="149" t="s">
        <v>443</v>
      </c>
      <c r="C76" s="192" t="s">
        <v>1122</v>
      </c>
      <c r="E76" s="201">
        <f>'0810'!H76</f>
        <v>1</v>
      </c>
      <c r="F76" s="186">
        <f t="shared" si="19"/>
        <v>49.037262984800854</v>
      </c>
      <c r="G76" s="202">
        <v>6.5941312232099995E-5</v>
      </c>
      <c r="H76" s="202">
        <v>1</v>
      </c>
      <c r="I76" s="227">
        <v>-1</v>
      </c>
      <c r="J76" s="227">
        <v>1</v>
      </c>
      <c r="K76" s="227">
        <v>-1</v>
      </c>
      <c r="L76" s="202">
        <v>1</v>
      </c>
      <c r="M76" s="228">
        <v>2</v>
      </c>
      <c r="N76" s="288">
        <v>42578</v>
      </c>
      <c r="O76">
        <f t="shared" si="20"/>
        <v>1</v>
      </c>
      <c r="P76">
        <f t="shared" si="34"/>
        <v>-1</v>
      </c>
      <c r="Q76">
        <f t="shared" si="21"/>
        <v>1</v>
      </c>
      <c r="R76">
        <f t="shared" si="22"/>
        <v>-1</v>
      </c>
      <c r="S76">
        <f t="shared" si="23"/>
        <v>-1</v>
      </c>
      <c r="T76">
        <f t="shared" si="24"/>
        <v>1</v>
      </c>
      <c r="U76">
        <f t="shared" si="35"/>
        <v>-1</v>
      </c>
      <c r="V76">
        <f>VLOOKUP($A76,'FuturesInfo (3)'!$A$2:$V$80,22)</f>
        <v>5</v>
      </c>
      <c r="W76">
        <v>1</v>
      </c>
      <c r="X76" s="354">
        <v>743650.09316465631</v>
      </c>
      <c r="Y76" s="354">
        <v>2451.7014808276945</v>
      </c>
      <c r="Z76" s="188">
        <f t="shared" si="25"/>
        <v>49.037262984800854</v>
      </c>
      <c r="AA76" s="188">
        <f>IF(IF(sym!$Q65=H76,1,0)=1,ABS(X76*G76),-ABS(X76*G76))</f>
        <v>-49.037262984800854</v>
      </c>
      <c r="AB76" s="188">
        <f>IF(IF(sym!$P65=$H76,1,0)=1,ABS($X76*$G76),-ABS($X76*$G76))</f>
        <v>49.037262984800854</v>
      </c>
      <c r="AC76" s="188">
        <f t="shared" si="41"/>
        <v>49.037262984800854</v>
      </c>
      <c r="AD76" s="188">
        <f t="shared" si="26"/>
        <v>-49.037262984800854</v>
      </c>
      <c r="AE76" s="188">
        <f t="shared" si="27"/>
        <v>49.037262984800854</v>
      </c>
      <c r="AF76" s="188">
        <f t="shared" si="36"/>
        <v>-49.037262984800854</v>
      </c>
      <c r="AG76" s="188">
        <f t="shared" si="37"/>
        <v>-49.037262984800854</v>
      </c>
      <c r="AH76" s="188">
        <f t="shared" si="38"/>
        <v>49.037262984800854</v>
      </c>
      <c r="AI76" s="188">
        <f t="shared" si="39"/>
        <v>-49.037262984800854</v>
      </c>
      <c r="AJ76" s="188">
        <f t="shared" si="40"/>
        <v>49.037262984800854</v>
      </c>
      <c r="AK76" s="188">
        <f t="shared" si="28"/>
        <v>-49.037262984800854</v>
      </c>
      <c r="AL76" s="188">
        <f t="shared" si="29"/>
        <v>49.037262984800854</v>
      </c>
      <c r="AM76" s="188">
        <f t="shared" si="30"/>
        <v>-49.037262984800854</v>
      </c>
      <c r="AN76" s="188">
        <f t="shared" si="31"/>
        <v>-49.037262984800854</v>
      </c>
      <c r="AO76" s="188">
        <f t="shared" si="42"/>
        <v>49.037262984800854</v>
      </c>
      <c r="AP76" s="188">
        <f t="shared" si="43"/>
        <v>-49.037262984800854</v>
      </c>
    </row>
    <row r="77" spans="1:42" ht="15.75" thickBot="1" x14ac:dyDescent="0.3">
      <c r="A77" s="1" t="s">
        <v>401</v>
      </c>
      <c r="B77" s="149" t="s">
        <v>726</v>
      </c>
      <c r="C77" s="192" t="s">
        <v>297</v>
      </c>
      <c r="E77" s="201">
        <f>'0810'!H77</f>
        <v>-1</v>
      </c>
      <c r="F77" s="186">
        <f t="shared" si="19"/>
        <v>-39.975764919748634</v>
      </c>
      <c r="G77" s="202">
        <v>-6.0587700696799996E-4</v>
      </c>
      <c r="H77" s="202">
        <v>-1</v>
      </c>
      <c r="I77" s="227">
        <v>-1</v>
      </c>
      <c r="J77" s="227">
        <v>-1</v>
      </c>
      <c r="K77" s="227">
        <v>-1</v>
      </c>
      <c r="L77" s="202">
        <v>1</v>
      </c>
      <c r="M77" s="228">
        <v>-4</v>
      </c>
      <c r="N77" s="288">
        <v>42586</v>
      </c>
      <c r="O77">
        <f t="shared" si="20"/>
        <v>-1</v>
      </c>
      <c r="P77">
        <f t="shared" si="34"/>
        <v>-1</v>
      </c>
      <c r="Q77">
        <f t="shared" si="21"/>
        <v>-1</v>
      </c>
      <c r="R77">
        <f t="shared" si="22"/>
        <v>-1</v>
      </c>
      <c r="S77">
        <f t="shared" si="23"/>
        <v>-1</v>
      </c>
      <c r="T77">
        <f t="shared" si="24"/>
        <v>1</v>
      </c>
      <c r="U77">
        <f t="shared" si="35"/>
        <v>-1</v>
      </c>
      <c r="V77">
        <f>VLOOKUP($A77,'FuturesInfo (3)'!$A$2:$V$80,22)</f>
        <v>3</v>
      </c>
      <c r="W77">
        <v>1</v>
      </c>
      <c r="X77" s="354">
        <v>65980</v>
      </c>
      <c r="Y77" s="354">
        <v>12000</v>
      </c>
      <c r="Z77" s="188">
        <f t="shared" si="25"/>
        <v>39.975764919748634</v>
      </c>
      <c r="AA77" s="188">
        <f>IF(IF(sym!$Q66=H77,1,0)=1,ABS(X77*G77),-ABS(X77*G77))</f>
        <v>-39.975764919748634</v>
      </c>
      <c r="AB77" s="188">
        <f>IF(IF(sym!$P66=$H77,1,0)=1,ABS($X77*$G77),-ABS($X77*$G77))</f>
        <v>39.975764919748634</v>
      </c>
      <c r="AC77" s="188">
        <f t="shared" si="41"/>
        <v>39.975764919748634</v>
      </c>
      <c r="AD77" s="188">
        <f t="shared" si="26"/>
        <v>-39.975764919748634</v>
      </c>
      <c r="AE77" s="188">
        <f t="shared" si="27"/>
        <v>39.975764919748634</v>
      </c>
      <c r="AF77" s="188">
        <f t="shared" si="36"/>
        <v>39.975764919748634</v>
      </c>
      <c r="AG77" s="188">
        <f t="shared" si="37"/>
        <v>39.975764919748634</v>
      </c>
      <c r="AH77" s="188">
        <f t="shared" si="38"/>
        <v>-39.975764919748634</v>
      </c>
      <c r="AI77" s="188">
        <f t="shared" si="39"/>
        <v>39.975764919748634</v>
      </c>
      <c r="AJ77" s="188">
        <f t="shared" si="40"/>
        <v>39.975764919748634</v>
      </c>
      <c r="AK77" s="188">
        <f t="shared" si="28"/>
        <v>39.975764919748634</v>
      </c>
      <c r="AL77" s="188">
        <f t="shared" si="29"/>
        <v>39.975764919748634</v>
      </c>
      <c r="AM77" s="188">
        <f t="shared" si="30"/>
        <v>39.975764919748634</v>
      </c>
      <c r="AN77" s="188">
        <f t="shared" si="31"/>
        <v>39.975764919748634</v>
      </c>
      <c r="AO77" s="188">
        <f t="shared" si="42"/>
        <v>-39.975764919748634</v>
      </c>
      <c r="AP77" s="188">
        <f t="shared" si="43"/>
        <v>39.975764919748634</v>
      </c>
    </row>
    <row r="78" spans="1:42" ht="15.75" thickBot="1" x14ac:dyDescent="0.3">
      <c r="A78" s="1" t="s">
        <v>868</v>
      </c>
      <c r="B78" s="149" t="s">
        <v>746</v>
      </c>
      <c r="C78" s="192" t="s">
        <v>294</v>
      </c>
      <c r="E78" s="201">
        <f>'0810'!H78</f>
        <v>-1</v>
      </c>
      <c r="F78" s="186">
        <f t="shared" ref="F78:F92" si="44">G78*X78</f>
        <v>2767.6451685391457</v>
      </c>
      <c r="G78" s="202">
        <v>1.08642578125E-2</v>
      </c>
      <c r="H78" s="202">
        <v>1</v>
      </c>
      <c r="I78" s="227">
        <v>-1</v>
      </c>
      <c r="J78" s="227">
        <v>-1</v>
      </c>
      <c r="K78" s="227">
        <v>-1</v>
      </c>
      <c r="L78" s="202">
        <v>1</v>
      </c>
      <c r="M78" s="228">
        <v>-10</v>
      </c>
      <c r="N78" s="288">
        <v>42585</v>
      </c>
      <c r="O78">
        <f t="shared" ref="O78:O92" si="45">IF(M78&lt;0,L78*-1,L78)</f>
        <v>-1</v>
      </c>
      <c r="P78">
        <f t="shared" si="34"/>
        <v>-1</v>
      </c>
      <c r="Q78">
        <f t="shared" ref="Q78:Q92" si="46">IF(J78+O78+-1*E78&gt;0,1,-1)</f>
        <v>-1</v>
      </c>
      <c r="R78">
        <f t="shared" ref="R78:R92" si="47">IF(I78-L78-E78&gt;0,1,-1)</f>
        <v>-1</v>
      </c>
      <c r="S78">
        <f t="shared" ref="S78:S92" si="48">IF(P78+R78+Q78&lt;0,-1,1)</f>
        <v>-1</v>
      </c>
      <c r="T78">
        <f t="shared" ref="T78:T92" si="49">IF(E78-K78-O78&lt;0,-1,1)</f>
        <v>1</v>
      </c>
      <c r="U78">
        <f t="shared" si="35"/>
        <v>-1</v>
      </c>
      <c r="V78">
        <f>VLOOKUP($A78,'FuturesInfo (3)'!$A$2:$V$80,22)</f>
        <v>3</v>
      </c>
      <c r="W78">
        <v>1</v>
      </c>
      <c r="X78" s="354">
        <v>254747.74405250204</v>
      </c>
      <c r="Y78" s="354">
        <v>26336.136177194425</v>
      </c>
      <c r="Z78" s="188">
        <f t="shared" ref="Z78:Z92" si="50">ABS(X78*G78)</f>
        <v>2767.6451685391457</v>
      </c>
      <c r="AA78" s="188">
        <f>IF(IF(sym!$Q67=H78,1,0)=1,ABS(X78*G78),-ABS(X78*G78))</f>
        <v>2767.6451685391457</v>
      </c>
      <c r="AB78" s="188">
        <f>IF(IF(sym!$P67=$H78,1,0)=1,ABS($X78*$G78),-ABS($X78*$G78))</f>
        <v>-2767.6451685391457</v>
      </c>
      <c r="AC78" s="188">
        <f t="shared" si="41"/>
        <v>-2767.6451685391457</v>
      </c>
      <c r="AD78" s="188">
        <f t="shared" ref="AD78:AD92" si="51">IF(IF(-E78=H78,1,0)=1,ABS(X78*G78),-ABS(X78*G78))</f>
        <v>2767.6451685391457</v>
      </c>
      <c r="AE78" s="188">
        <f t="shared" ref="AE78:AE92" si="52">IF(IF(J78=H78,1,0)=1,ABS(X78*G78),-ABS(X78*G78))</f>
        <v>-2767.6451685391457</v>
      </c>
      <c r="AF78" s="188">
        <f t="shared" si="36"/>
        <v>-2767.6451685391457</v>
      </c>
      <c r="AG78" s="188">
        <f t="shared" si="37"/>
        <v>-2767.6451685391457</v>
      </c>
      <c r="AH78" s="188">
        <f t="shared" si="38"/>
        <v>2767.6451685391457</v>
      </c>
      <c r="AI78" s="188">
        <f t="shared" si="39"/>
        <v>-2767.6451685391457</v>
      </c>
      <c r="AJ78" s="188">
        <f t="shared" si="40"/>
        <v>-2767.6451685391457</v>
      </c>
      <c r="AK78" s="188">
        <f t="shared" ref="AK78:AK92" si="53">IF(IF(P78=H78,1,0)=1,ABS(X78*G78),-ABS(X78*G78))</f>
        <v>-2767.6451685391457</v>
      </c>
      <c r="AL78" s="188">
        <f t="shared" ref="AL78:AL92" si="54">IF(IF(H78=Q78,1,0)=1,ABS(X78*G78),-ABS(X78*G78))</f>
        <v>-2767.6451685391457</v>
      </c>
      <c r="AM78" s="188">
        <f t="shared" ref="AM78:AM92" si="55">IF(IF(R78=H78,1,0)=1,ABS(X78*G78),-ABS(X78*G78))</f>
        <v>-2767.6451685391457</v>
      </c>
      <c r="AN78" s="188">
        <f t="shared" ref="AN78:AN92" si="56">IF(IF(S78=H78,1,0)=1,ABS(X78*G78),-ABS(X78*G78))</f>
        <v>-2767.6451685391457</v>
      </c>
      <c r="AO78" s="188">
        <f t="shared" ref="AO78:AO92" si="57">IF(IF(T78=$H78,1,0)=1,ABS($X78*$G78),-ABS($X78*$G78))</f>
        <v>2767.6451685391457</v>
      </c>
      <c r="AP78" s="188">
        <f t="shared" ref="AP78:AP92" si="58">IF(IF(U78=$H78,1,0)=1,ABS($X78*$G78),-ABS($X78*$G78))</f>
        <v>-2767.6451685391457</v>
      </c>
    </row>
    <row r="79" spans="1:42" ht="15.75" thickBot="1" x14ac:dyDescent="0.3">
      <c r="A79" s="1" t="s">
        <v>403</v>
      </c>
      <c r="B79" s="149" t="s">
        <v>681</v>
      </c>
      <c r="C79" s="192" t="s">
        <v>294</v>
      </c>
      <c r="E79" s="201">
        <f>'0810'!H79</f>
        <v>-1</v>
      </c>
      <c r="F79" s="186">
        <f t="shared" si="44"/>
        <v>149.37205521466174</v>
      </c>
      <c r="G79" s="202">
        <v>7.9276993816399996E-4</v>
      </c>
      <c r="H79" s="202">
        <v>1</v>
      </c>
      <c r="I79" s="227">
        <v>-1</v>
      </c>
      <c r="J79" s="227">
        <v>-1</v>
      </c>
      <c r="K79" s="227">
        <v>-1</v>
      </c>
      <c r="L79" s="202">
        <v>-1</v>
      </c>
      <c r="M79" s="228">
        <v>-4</v>
      </c>
      <c r="N79" s="288">
        <v>42585</v>
      </c>
      <c r="O79">
        <f t="shared" si="45"/>
        <v>1</v>
      </c>
      <c r="P79">
        <f t="shared" ref="P79:P92" si="59">IF(E79+K79-L79&gt;0,1,-1)</f>
        <v>-1</v>
      </c>
      <c r="Q79">
        <f t="shared" si="46"/>
        <v>1</v>
      </c>
      <c r="R79">
        <f t="shared" si="47"/>
        <v>1</v>
      </c>
      <c r="S79">
        <f t="shared" si="48"/>
        <v>1</v>
      </c>
      <c r="T79">
        <f t="shared" si="49"/>
        <v>-1</v>
      </c>
      <c r="U79">
        <f t="shared" ref="U79:U92" si="60">IF(-E79+J79-L79&lt;0,-1,1)</f>
        <v>1</v>
      </c>
      <c r="V79">
        <f>VLOOKUP($A79,'FuturesInfo (3)'!$A$2:$V$80,22)</f>
        <v>4</v>
      </c>
      <c r="W79">
        <v>1</v>
      </c>
      <c r="X79" s="354">
        <v>188417.91044776121</v>
      </c>
      <c r="Y79" s="354">
        <v>6218.88</v>
      </c>
      <c r="Z79" s="188">
        <f t="shared" si="50"/>
        <v>149.37205521466174</v>
      </c>
      <c r="AA79" s="188">
        <f>IF(IF(sym!$Q68=H79,1,0)=1,ABS(X79*G79),-ABS(X79*G79))</f>
        <v>149.37205521466174</v>
      </c>
      <c r="AB79" s="188">
        <f>IF(IF(sym!$P68=$H79,1,0)=1,ABS($X79*$G79),-ABS($X79*$G79))</f>
        <v>-149.37205521466174</v>
      </c>
      <c r="AC79" s="188">
        <f t="shared" si="41"/>
        <v>-149.37205521466174</v>
      </c>
      <c r="AD79" s="188">
        <f t="shared" si="51"/>
        <v>149.37205521466174</v>
      </c>
      <c r="AE79" s="188">
        <f t="shared" si="52"/>
        <v>-149.37205521466174</v>
      </c>
      <c r="AF79" s="188">
        <f t="shared" ref="AF79:AF92" si="61">IF(IF(I79=H79,1,0)=1,ABS(X79*G79),-ABS(X79*G79))</f>
        <v>-149.37205521466174</v>
      </c>
      <c r="AG79" s="188">
        <f t="shared" ref="AG79:AG92" si="62">IF(IF(K79=H79,1,0)=1,ABS(X79*G79),-ABS(X79*G79))</f>
        <v>-149.37205521466174</v>
      </c>
      <c r="AH79" s="188">
        <f t="shared" ref="AH79:AH92" si="63">IF(IF(L79=H79,1,0)=1,ABS(X79*G79),-ABS(X79*G79))</f>
        <v>-149.37205521466174</v>
      </c>
      <c r="AI79" s="188">
        <f t="shared" ref="AI79:AI92" si="64">IF(IF(-L79=H79,1,0)=1,ABS(X79*G79),-ABS(X79*G79))</f>
        <v>149.37205521466174</v>
      </c>
      <c r="AJ79" s="188">
        <f t="shared" ref="AJ79:AJ92" si="65">IF(IF(O79=H79,1,0)=1,ABS(X79*G79),-ABS(X79*G79))</f>
        <v>149.37205521466174</v>
      </c>
      <c r="AK79" s="188">
        <f t="shared" si="53"/>
        <v>-149.37205521466174</v>
      </c>
      <c r="AL79" s="188">
        <f t="shared" si="54"/>
        <v>149.37205521466174</v>
      </c>
      <c r="AM79" s="188">
        <f t="shared" si="55"/>
        <v>149.37205521466174</v>
      </c>
      <c r="AN79" s="188">
        <f t="shared" si="56"/>
        <v>149.37205521466174</v>
      </c>
      <c r="AO79" s="188">
        <f t="shared" si="57"/>
        <v>-149.37205521466174</v>
      </c>
      <c r="AP79" s="188">
        <f t="shared" si="58"/>
        <v>149.37205521466174</v>
      </c>
    </row>
    <row r="80" spans="1:42" ht="15.75" thickBot="1" x14ac:dyDescent="0.3">
      <c r="A80" s="1" t="s">
        <v>405</v>
      </c>
      <c r="B80" s="149" t="s">
        <v>686</v>
      </c>
      <c r="C80" s="192" t="s">
        <v>294</v>
      </c>
      <c r="E80" s="201">
        <f>'0810'!H80</f>
        <v>1</v>
      </c>
      <c r="F80" s="186">
        <f t="shared" si="44"/>
        <v>-1489.0158172236856</v>
      </c>
      <c r="G80" s="202">
        <v>-7.3227885178699997E-3</v>
      </c>
      <c r="H80" s="202">
        <v>-1</v>
      </c>
      <c r="I80" s="227">
        <v>1</v>
      </c>
      <c r="J80" s="227">
        <v>-1</v>
      </c>
      <c r="K80" s="227">
        <v>1</v>
      </c>
      <c r="L80" s="202">
        <v>1</v>
      </c>
      <c r="M80" s="228">
        <v>-19</v>
      </c>
      <c r="N80" s="288">
        <v>42565</v>
      </c>
      <c r="O80">
        <f t="shared" si="45"/>
        <v>-1</v>
      </c>
      <c r="P80">
        <f t="shared" si="59"/>
        <v>1</v>
      </c>
      <c r="Q80">
        <f t="shared" si="46"/>
        <v>-1</v>
      </c>
      <c r="R80">
        <f t="shared" si="47"/>
        <v>-1</v>
      </c>
      <c r="S80">
        <f t="shared" si="48"/>
        <v>-1</v>
      </c>
      <c r="T80">
        <f t="shared" si="49"/>
        <v>1</v>
      </c>
      <c r="U80">
        <f t="shared" si="60"/>
        <v>-1</v>
      </c>
      <c r="V80">
        <f>VLOOKUP($A80,'FuturesInfo (3)'!$A$2:$V$80,22)</f>
        <v>6</v>
      </c>
      <c r="W80">
        <v>1</v>
      </c>
      <c r="X80" s="354">
        <v>203340</v>
      </c>
      <c r="Y80" s="354">
        <v>11250</v>
      </c>
      <c r="Z80" s="188">
        <f t="shared" si="50"/>
        <v>1489.0158172236856</v>
      </c>
      <c r="AA80" s="188">
        <f>IF(IF(sym!$Q69=H80,1,0)=1,ABS(X80*G80),-ABS(X80*G80))</f>
        <v>-1489.0158172236856</v>
      </c>
      <c r="AB80" s="188">
        <f>IF(IF(sym!$P69=$H80,1,0)=1,ABS($X80*$G80),-ABS($X80*$G80))</f>
        <v>1489.0158172236856</v>
      </c>
      <c r="AC80" s="188">
        <f t="shared" ref="AC80:AC92" si="66">IF(IF(E80=H80,1,0)=1,ABS(X80*G80),-ABS(X80*G80))</f>
        <v>-1489.0158172236856</v>
      </c>
      <c r="AD80" s="188">
        <f t="shared" si="51"/>
        <v>1489.0158172236856</v>
      </c>
      <c r="AE80" s="188">
        <f t="shared" si="52"/>
        <v>1489.0158172236856</v>
      </c>
      <c r="AF80" s="188">
        <f t="shared" si="61"/>
        <v>-1489.0158172236856</v>
      </c>
      <c r="AG80" s="188">
        <f t="shared" si="62"/>
        <v>-1489.0158172236856</v>
      </c>
      <c r="AH80" s="188">
        <f t="shared" si="63"/>
        <v>-1489.0158172236856</v>
      </c>
      <c r="AI80" s="188">
        <f t="shared" si="64"/>
        <v>1489.0158172236856</v>
      </c>
      <c r="AJ80" s="188">
        <f t="shared" si="65"/>
        <v>1489.0158172236856</v>
      </c>
      <c r="AK80" s="188">
        <f t="shared" si="53"/>
        <v>-1489.0158172236856</v>
      </c>
      <c r="AL80" s="188">
        <f t="shared" si="54"/>
        <v>1489.0158172236856</v>
      </c>
      <c r="AM80" s="188">
        <f t="shared" si="55"/>
        <v>1489.0158172236856</v>
      </c>
      <c r="AN80" s="188">
        <f t="shared" si="56"/>
        <v>1489.0158172236856</v>
      </c>
      <c r="AO80" s="188">
        <f t="shared" si="57"/>
        <v>-1489.0158172236856</v>
      </c>
      <c r="AP80" s="188">
        <f t="shared" si="58"/>
        <v>1489.0158172236856</v>
      </c>
    </row>
    <row r="81" spans="1:42" ht="15.75" thickBot="1" x14ac:dyDescent="0.3">
      <c r="A81" s="1" t="s">
        <v>408</v>
      </c>
      <c r="B81" s="149" t="s">
        <v>527</v>
      </c>
      <c r="C81" s="192" t="s">
        <v>294</v>
      </c>
      <c r="D81" s="2"/>
      <c r="E81" s="201">
        <f>'0810'!H81</f>
        <v>-1</v>
      </c>
      <c r="F81" s="186">
        <f t="shared" si="44"/>
        <v>1460.5450894629366</v>
      </c>
      <c r="G81" s="202">
        <v>8.6149768058299998E-3</v>
      </c>
      <c r="H81" s="202">
        <v>1</v>
      </c>
      <c r="I81" s="227">
        <v>1</v>
      </c>
      <c r="J81" s="227">
        <v>-1</v>
      </c>
      <c r="K81" s="227">
        <v>1</v>
      </c>
      <c r="L81" s="202">
        <v>-1</v>
      </c>
      <c r="M81" s="228">
        <v>-6</v>
      </c>
      <c r="N81" s="288">
        <v>42584</v>
      </c>
      <c r="O81">
        <f t="shared" si="45"/>
        <v>1</v>
      </c>
      <c r="P81">
        <f t="shared" si="59"/>
        <v>1</v>
      </c>
      <c r="Q81">
        <f t="shared" si="46"/>
        <v>1</v>
      </c>
      <c r="R81">
        <f t="shared" si="47"/>
        <v>1</v>
      </c>
      <c r="S81">
        <f t="shared" si="48"/>
        <v>1</v>
      </c>
      <c r="T81">
        <f t="shared" si="49"/>
        <v>-1</v>
      </c>
      <c r="U81">
        <f t="shared" si="60"/>
        <v>1</v>
      </c>
      <c r="V81">
        <f>VLOOKUP($A81,'FuturesInfo (3)'!$A$2:$V$80,22)</f>
        <v>5</v>
      </c>
      <c r="W81">
        <v>1</v>
      </c>
      <c r="X81" s="354">
        <v>169535.58000000002</v>
      </c>
      <c r="Y81" s="354">
        <v>16151.55</v>
      </c>
      <c r="Z81" s="188">
        <f t="shared" si="50"/>
        <v>1460.5450894629366</v>
      </c>
      <c r="AA81" s="188">
        <f>IF(IF(sym!$Q70=H81,1,0)=1,ABS(X81*G81),-ABS(X81*G81))</f>
        <v>1460.5450894629366</v>
      </c>
      <c r="AB81" s="188">
        <f>IF(IF(sym!$P70=$H81,1,0)=1,ABS($X81*$G81),-ABS($X81*$G81))</f>
        <v>-1460.5450894629366</v>
      </c>
      <c r="AC81" s="188">
        <f t="shared" si="66"/>
        <v>-1460.5450894629366</v>
      </c>
      <c r="AD81" s="188">
        <f t="shared" si="51"/>
        <v>1460.5450894629366</v>
      </c>
      <c r="AE81" s="188">
        <f t="shared" si="52"/>
        <v>-1460.5450894629366</v>
      </c>
      <c r="AF81" s="188">
        <f t="shared" si="61"/>
        <v>1460.5450894629366</v>
      </c>
      <c r="AG81" s="188">
        <f t="shared" si="62"/>
        <v>1460.5450894629366</v>
      </c>
      <c r="AH81" s="188">
        <f t="shared" si="63"/>
        <v>-1460.5450894629366</v>
      </c>
      <c r="AI81" s="188">
        <f t="shared" si="64"/>
        <v>1460.5450894629366</v>
      </c>
      <c r="AJ81" s="188">
        <f t="shared" si="65"/>
        <v>1460.5450894629366</v>
      </c>
      <c r="AK81" s="188">
        <f t="shared" si="53"/>
        <v>1460.5450894629366</v>
      </c>
      <c r="AL81" s="188">
        <f t="shared" si="54"/>
        <v>1460.5450894629366</v>
      </c>
      <c r="AM81" s="188">
        <f t="shared" si="55"/>
        <v>1460.5450894629366</v>
      </c>
      <c r="AN81" s="188">
        <f t="shared" si="56"/>
        <v>1460.5450894629366</v>
      </c>
      <c r="AO81" s="188">
        <f t="shared" si="57"/>
        <v>-1460.5450894629366</v>
      </c>
      <c r="AP81" s="188">
        <f t="shared" si="58"/>
        <v>1460.5450894629366</v>
      </c>
    </row>
    <row r="82" spans="1:42" ht="15.75" thickBot="1" x14ac:dyDescent="0.3">
      <c r="A82" s="1" t="s">
        <v>410</v>
      </c>
      <c r="B82" s="149" t="s">
        <v>556</v>
      </c>
      <c r="C82" s="192" t="s">
        <v>294</v>
      </c>
      <c r="E82" s="201">
        <f>'0810'!H82</f>
        <v>-1</v>
      </c>
      <c r="F82" s="186">
        <f t="shared" si="44"/>
        <v>1205.8953574063003</v>
      </c>
      <c r="G82" s="202">
        <v>4.9127978383700002E-3</v>
      </c>
      <c r="H82" s="202">
        <v>1</v>
      </c>
      <c r="I82" s="227">
        <v>1</v>
      </c>
      <c r="J82" s="227">
        <v>-1</v>
      </c>
      <c r="K82" s="227">
        <v>1</v>
      </c>
      <c r="L82" s="202">
        <v>1</v>
      </c>
      <c r="M82" s="228">
        <v>-25</v>
      </c>
      <c r="N82" s="288">
        <v>42557</v>
      </c>
      <c r="O82">
        <f t="shared" si="45"/>
        <v>-1</v>
      </c>
      <c r="P82">
        <f t="shared" si="59"/>
        <v>-1</v>
      </c>
      <c r="Q82">
        <f t="shared" si="46"/>
        <v>-1</v>
      </c>
      <c r="R82">
        <f t="shared" si="47"/>
        <v>1</v>
      </c>
      <c r="S82">
        <f t="shared" si="48"/>
        <v>-1</v>
      </c>
      <c r="T82">
        <f t="shared" si="49"/>
        <v>-1</v>
      </c>
      <c r="U82">
        <f t="shared" si="60"/>
        <v>-1</v>
      </c>
      <c r="V82">
        <f>VLOOKUP($A82,'FuturesInfo (3)'!$A$2:$V$80,22)</f>
        <v>2</v>
      </c>
      <c r="W82">
        <v>1</v>
      </c>
      <c r="X82" s="354">
        <v>245460</v>
      </c>
      <c r="Y82" s="354">
        <v>13500</v>
      </c>
      <c r="Z82" s="188">
        <f t="shared" si="50"/>
        <v>1205.8953574063003</v>
      </c>
      <c r="AA82" s="188">
        <f>IF(IF(sym!$Q71=H82,1,0)=1,ABS(X82*G82),-ABS(X82*G82))</f>
        <v>1205.8953574063003</v>
      </c>
      <c r="AB82" s="188">
        <f>IF(IF(sym!$P71=$H82,1,0)=1,ABS($X82*$G82),-ABS($X82*$G82))</f>
        <v>-1205.8953574063003</v>
      </c>
      <c r="AC82" s="188">
        <f t="shared" si="66"/>
        <v>-1205.8953574063003</v>
      </c>
      <c r="AD82" s="188">
        <f t="shared" si="51"/>
        <v>1205.8953574063003</v>
      </c>
      <c r="AE82" s="188">
        <f t="shared" si="52"/>
        <v>-1205.8953574063003</v>
      </c>
      <c r="AF82" s="188">
        <f t="shared" si="61"/>
        <v>1205.8953574063003</v>
      </c>
      <c r="AG82" s="188">
        <f t="shared" si="62"/>
        <v>1205.8953574063003</v>
      </c>
      <c r="AH82" s="188">
        <f t="shared" si="63"/>
        <v>1205.8953574063003</v>
      </c>
      <c r="AI82" s="188">
        <f t="shared" si="64"/>
        <v>-1205.8953574063003</v>
      </c>
      <c r="AJ82" s="188">
        <f t="shared" si="65"/>
        <v>-1205.8953574063003</v>
      </c>
      <c r="AK82" s="188">
        <f t="shared" si="53"/>
        <v>-1205.8953574063003</v>
      </c>
      <c r="AL82" s="188">
        <f t="shared" si="54"/>
        <v>-1205.8953574063003</v>
      </c>
      <c r="AM82" s="188">
        <f t="shared" si="55"/>
        <v>1205.8953574063003</v>
      </c>
      <c r="AN82" s="188">
        <f t="shared" si="56"/>
        <v>-1205.8953574063003</v>
      </c>
      <c r="AO82" s="188">
        <f t="shared" si="57"/>
        <v>-1205.8953574063003</v>
      </c>
      <c r="AP82" s="188">
        <f t="shared" si="58"/>
        <v>-1205.8953574063003</v>
      </c>
    </row>
    <row r="83" spans="1:42" ht="15.75" thickBot="1" x14ac:dyDescent="0.3">
      <c r="A83" s="1" t="s">
        <v>412</v>
      </c>
      <c r="B83" s="149" t="s">
        <v>763</v>
      </c>
      <c r="C83" s="192" t="s">
        <v>1122</v>
      </c>
      <c r="E83" s="201">
        <f>'0810'!H83</f>
        <v>1</v>
      </c>
      <c r="F83" s="186">
        <f t="shared" si="44"/>
        <v>-2996.5738758011253</v>
      </c>
      <c r="G83" s="202">
        <v>-1.142041399E-3</v>
      </c>
      <c r="H83" s="202">
        <v>-1</v>
      </c>
      <c r="I83" s="227">
        <v>-1</v>
      </c>
      <c r="J83" s="227">
        <v>-1</v>
      </c>
      <c r="K83" s="227">
        <v>-1</v>
      </c>
      <c r="L83" s="202">
        <v>1</v>
      </c>
      <c r="M83" s="228">
        <v>-4</v>
      </c>
      <c r="N83" s="288">
        <v>42586</v>
      </c>
      <c r="O83">
        <f t="shared" si="45"/>
        <v>-1</v>
      </c>
      <c r="P83">
        <f t="shared" si="59"/>
        <v>-1</v>
      </c>
      <c r="Q83">
        <f t="shared" si="46"/>
        <v>-1</v>
      </c>
      <c r="R83">
        <f t="shared" si="47"/>
        <v>-1</v>
      </c>
      <c r="S83">
        <f t="shared" si="48"/>
        <v>-1</v>
      </c>
      <c r="T83">
        <f t="shared" si="49"/>
        <v>1</v>
      </c>
      <c r="U83">
        <f t="shared" si="60"/>
        <v>-1</v>
      </c>
      <c r="V83">
        <f>VLOOKUP($A83,'FuturesInfo (3)'!$A$2:$V$80,22)</f>
        <v>11</v>
      </c>
      <c r="W83">
        <v>1</v>
      </c>
      <c r="X83" s="354">
        <v>2623875</v>
      </c>
      <c r="Y83" s="354">
        <v>8244</v>
      </c>
      <c r="Z83" s="188">
        <f t="shared" si="50"/>
        <v>2996.5738758011253</v>
      </c>
      <c r="AA83" s="188">
        <f>IF(IF(sym!$Q72=H83,1,0)=1,ABS(X83*G83),-ABS(X83*G83))</f>
        <v>2996.5738758011253</v>
      </c>
      <c r="AB83" s="188">
        <f>IF(IF(sym!$P72=$H83,1,0)=1,ABS($X83*$G83),-ABS($X83*$G83))</f>
        <v>-2996.5738758011253</v>
      </c>
      <c r="AC83" s="188">
        <f t="shared" si="66"/>
        <v>-2996.5738758011253</v>
      </c>
      <c r="AD83" s="188">
        <f t="shared" si="51"/>
        <v>2996.5738758011253</v>
      </c>
      <c r="AE83" s="188">
        <f t="shared" si="52"/>
        <v>2996.5738758011253</v>
      </c>
      <c r="AF83" s="188">
        <f t="shared" si="61"/>
        <v>2996.5738758011253</v>
      </c>
      <c r="AG83" s="188">
        <f t="shared" si="62"/>
        <v>2996.5738758011253</v>
      </c>
      <c r="AH83" s="188">
        <f t="shared" si="63"/>
        <v>-2996.5738758011253</v>
      </c>
      <c r="AI83" s="188">
        <f t="shared" si="64"/>
        <v>2996.5738758011253</v>
      </c>
      <c r="AJ83" s="188">
        <f t="shared" si="65"/>
        <v>2996.5738758011253</v>
      </c>
      <c r="AK83" s="188">
        <f t="shared" si="53"/>
        <v>2996.5738758011253</v>
      </c>
      <c r="AL83" s="188">
        <f t="shared" si="54"/>
        <v>2996.5738758011253</v>
      </c>
      <c r="AM83" s="188">
        <f t="shared" si="55"/>
        <v>2996.5738758011253</v>
      </c>
      <c r="AN83" s="188">
        <f t="shared" si="56"/>
        <v>2996.5738758011253</v>
      </c>
      <c r="AO83" s="188">
        <f t="shared" si="57"/>
        <v>-2996.5738758011253</v>
      </c>
      <c r="AP83" s="188">
        <f t="shared" si="58"/>
        <v>2996.5738758011253</v>
      </c>
    </row>
    <row r="84" spans="1:42" ht="15.75" thickBot="1" x14ac:dyDescent="0.3">
      <c r="A84" s="1" t="s">
        <v>413</v>
      </c>
      <c r="B84" s="149" t="s">
        <v>761</v>
      </c>
      <c r="C84" s="192" t="s">
        <v>1122</v>
      </c>
      <c r="E84" s="201">
        <f>'0810'!H84</f>
        <v>1</v>
      </c>
      <c r="F84" s="186">
        <f t="shared" si="44"/>
        <v>-2735.756327248791</v>
      </c>
      <c r="G84" s="202">
        <v>-5.1795173631500003E-3</v>
      </c>
      <c r="H84" s="202">
        <v>-1</v>
      </c>
      <c r="I84" s="227">
        <v>1</v>
      </c>
      <c r="J84" s="227">
        <v>-1</v>
      </c>
      <c r="K84" s="227">
        <v>1</v>
      </c>
      <c r="L84" s="202">
        <v>1</v>
      </c>
      <c r="M84" s="228">
        <v>2</v>
      </c>
      <c r="N84" s="288">
        <v>42580</v>
      </c>
      <c r="O84">
        <f t="shared" si="45"/>
        <v>1</v>
      </c>
      <c r="P84">
        <f t="shared" si="59"/>
        <v>1</v>
      </c>
      <c r="Q84">
        <f t="shared" si="46"/>
        <v>-1</v>
      </c>
      <c r="R84">
        <f t="shared" si="47"/>
        <v>-1</v>
      </c>
      <c r="S84">
        <f t="shared" si="48"/>
        <v>-1</v>
      </c>
      <c r="T84">
        <f t="shared" si="49"/>
        <v>-1</v>
      </c>
      <c r="U84">
        <f t="shared" si="60"/>
        <v>-1</v>
      </c>
      <c r="V84">
        <f>VLOOKUP($A84,'FuturesInfo (3)'!$A$2:$V$80,22)</f>
        <v>4</v>
      </c>
      <c r="W84">
        <v>1</v>
      </c>
      <c r="X84" s="354">
        <v>528187.5</v>
      </c>
      <c r="Y84" s="354">
        <v>6248</v>
      </c>
      <c r="Z84" s="188">
        <f t="shared" si="50"/>
        <v>2735.756327248791</v>
      </c>
      <c r="AA84" s="188">
        <f>IF(IF(sym!$Q73=H84,1,0)=1,ABS(X84*G84),-ABS(X84*G84))</f>
        <v>2735.756327248791</v>
      </c>
      <c r="AB84" s="188">
        <f>IF(IF(sym!$P73=$H84,1,0)=1,ABS($X84*$G84),-ABS($X84*$G84))</f>
        <v>-2735.756327248791</v>
      </c>
      <c r="AC84" s="188">
        <f t="shared" si="66"/>
        <v>-2735.756327248791</v>
      </c>
      <c r="AD84" s="188">
        <f t="shared" si="51"/>
        <v>2735.756327248791</v>
      </c>
      <c r="AE84" s="188">
        <f t="shared" si="52"/>
        <v>2735.756327248791</v>
      </c>
      <c r="AF84" s="188">
        <f t="shared" si="61"/>
        <v>-2735.756327248791</v>
      </c>
      <c r="AG84" s="188">
        <f t="shared" si="62"/>
        <v>-2735.756327248791</v>
      </c>
      <c r="AH84" s="188">
        <f t="shared" si="63"/>
        <v>-2735.756327248791</v>
      </c>
      <c r="AI84" s="188">
        <f t="shared" si="64"/>
        <v>2735.756327248791</v>
      </c>
      <c r="AJ84" s="188">
        <f t="shared" si="65"/>
        <v>-2735.756327248791</v>
      </c>
      <c r="AK84" s="188">
        <f t="shared" si="53"/>
        <v>-2735.756327248791</v>
      </c>
      <c r="AL84" s="188">
        <f t="shared" si="54"/>
        <v>2735.756327248791</v>
      </c>
      <c r="AM84" s="188">
        <f t="shared" si="55"/>
        <v>2735.756327248791</v>
      </c>
      <c r="AN84" s="188">
        <f t="shared" si="56"/>
        <v>2735.756327248791</v>
      </c>
      <c r="AO84" s="188">
        <f t="shared" si="57"/>
        <v>2735.756327248791</v>
      </c>
      <c r="AP84" s="188">
        <f t="shared" si="58"/>
        <v>2735.756327248791</v>
      </c>
    </row>
    <row r="85" spans="1:42" ht="15.75" thickBot="1" x14ac:dyDescent="0.3">
      <c r="A85" s="1" t="s">
        <v>414</v>
      </c>
      <c r="B85" s="149" t="s">
        <v>759</v>
      </c>
      <c r="C85" s="192" t="s">
        <v>1122</v>
      </c>
      <c r="E85" s="201">
        <f>'0810'!H85</f>
        <v>1</v>
      </c>
      <c r="F85" s="186">
        <f t="shared" si="44"/>
        <v>-3342.168077823233</v>
      </c>
      <c r="G85" s="202">
        <v>-9.7279769410900004E-3</v>
      </c>
      <c r="H85" s="202">
        <v>-1</v>
      </c>
      <c r="I85" s="227">
        <v>-1</v>
      </c>
      <c r="J85" s="227">
        <v>-1</v>
      </c>
      <c r="K85" s="227">
        <v>-1</v>
      </c>
      <c r="L85" s="202">
        <v>1</v>
      </c>
      <c r="M85" s="228">
        <v>3</v>
      </c>
      <c r="N85" s="288">
        <v>42580</v>
      </c>
      <c r="O85">
        <f t="shared" si="45"/>
        <v>1</v>
      </c>
      <c r="P85">
        <f t="shared" si="59"/>
        <v>-1</v>
      </c>
      <c r="Q85">
        <f t="shared" si="46"/>
        <v>-1</v>
      </c>
      <c r="R85">
        <f t="shared" si="47"/>
        <v>-1</v>
      </c>
      <c r="S85">
        <f t="shared" si="48"/>
        <v>-1</v>
      </c>
      <c r="T85">
        <f t="shared" si="49"/>
        <v>1</v>
      </c>
      <c r="U85">
        <f t="shared" si="60"/>
        <v>-1</v>
      </c>
      <c r="V85">
        <f>VLOOKUP($A85,'FuturesInfo (3)'!$A$2:$V$80,22)</f>
        <v>2</v>
      </c>
      <c r="W85">
        <v>1</v>
      </c>
      <c r="X85" s="354">
        <v>343562.5</v>
      </c>
      <c r="Y85" s="354">
        <v>9124</v>
      </c>
      <c r="Z85" s="188">
        <f t="shared" si="50"/>
        <v>3342.168077823233</v>
      </c>
      <c r="AA85" s="188">
        <f>IF(IF(sym!$Q74=H85,1,0)=1,ABS(X85*G85),-ABS(X85*G85))</f>
        <v>3342.168077823233</v>
      </c>
      <c r="AB85" s="188">
        <f>IF(IF(sym!$P74=$H85,1,0)=1,ABS($X85*$G85),-ABS($X85*$G85))</f>
        <v>-3342.168077823233</v>
      </c>
      <c r="AC85" s="188">
        <f t="shared" si="66"/>
        <v>-3342.168077823233</v>
      </c>
      <c r="AD85" s="188">
        <f t="shared" si="51"/>
        <v>3342.168077823233</v>
      </c>
      <c r="AE85" s="188">
        <f t="shared" si="52"/>
        <v>3342.168077823233</v>
      </c>
      <c r="AF85" s="188">
        <f t="shared" si="61"/>
        <v>3342.168077823233</v>
      </c>
      <c r="AG85" s="188">
        <f t="shared" si="62"/>
        <v>3342.168077823233</v>
      </c>
      <c r="AH85" s="188">
        <f t="shared" si="63"/>
        <v>-3342.168077823233</v>
      </c>
      <c r="AI85" s="188">
        <f t="shared" si="64"/>
        <v>3342.168077823233</v>
      </c>
      <c r="AJ85" s="188">
        <f t="shared" si="65"/>
        <v>-3342.168077823233</v>
      </c>
      <c r="AK85" s="188">
        <f t="shared" si="53"/>
        <v>3342.168077823233</v>
      </c>
      <c r="AL85" s="188">
        <f t="shared" si="54"/>
        <v>3342.168077823233</v>
      </c>
      <c r="AM85" s="188">
        <f t="shared" si="55"/>
        <v>3342.168077823233</v>
      </c>
      <c r="AN85" s="188">
        <f t="shared" si="56"/>
        <v>3342.168077823233</v>
      </c>
      <c r="AO85" s="188">
        <f t="shared" si="57"/>
        <v>-3342.168077823233</v>
      </c>
      <c r="AP85" s="188">
        <f t="shared" si="58"/>
        <v>3342.168077823233</v>
      </c>
    </row>
    <row r="86" spans="1:42" ht="15.75" thickBot="1" x14ac:dyDescent="0.3">
      <c r="A86" s="1" t="s">
        <v>416</v>
      </c>
      <c r="B86" s="149" t="s">
        <v>494</v>
      </c>
      <c r="C86" s="192" t="s">
        <v>294</v>
      </c>
      <c r="E86" s="201">
        <f>'0810'!H86</f>
        <v>1</v>
      </c>
      <c r="F86" s="186">
        <f t="shared" si="44"/>
        <v>-878.155335520515</v>
      </c>
      <c r="G86" s="202">
        <v>-1.9417475633399999E-2</v>
      </c>
      <c r="H86" s="202">
        <v>-1</v>
      </c>
      <c r="I86" s="227">
        <v>-1</v>
      </c>
      <c r="J86" s="227">
        <v>1</v>
      </c>
      <c r="K86" s="227">
        <v>-1</v>
      </c>
      <c r="L86" s="202">
        <v>1</v>
      </c>
      <c r="M86" s="228">
        <v>-13</v>
      </c>
      <c r="N86" s="288">
        <v>42573</v>
      </c>
      <c r="O86">
        <f t="shared" si="45"/>
        <v>-1</v>
      </c>
      <c r="P86">
        <f t="shared" si="59"/>
        <v>-1</v>
      </c>
      <c r="Q86">
        <f t="shared" si="46"/>
        <v>-1</v>
      </c>
      <c r="R86">
        <f t="shared" si="47"/>
        <v>-1</v>
      </c>
      <c r="S86">
        <f t="shared" si="48"/>
        <v>-1</v>
      </c>
      <c r="T86">
        <f t="shared" si="49"/>
        <v>1</v>
      </c>
      <c r="U86">
        <f t="shared" si="60"/>
        <v>-1</v>
      </c>
      <c r="V86">
        <f>VLOOKUP($A86,'FuturesInfo (3)'!$A$2:$V$80,22)</f>
        <v>3</v>
      </c>
      <c r="W86">
        <v>1</v>
      </c>
      <c r="X86" s="354">
        <v>45225</v>
      </c>
      <c r="Y86" s="354">
        <v>26148</v>
      </c>
      <c r="Z86" s="188">
        <f t="shared" si="50"/>
        <v>878.155335520515</v>
      </c>
      <c r="AA86" s="188">
        <f>IF(IF(sym!$Q75=H86,1,0)=1,ABS(X86*G86),-ABS(X86*G86))</f>
        <v>878.155335520515</v>
      </c>
      <c r="AB86" s="188">
        <f>IF(IF(sym!$P75=$H86,1,0)=1,ABS($X86*$G86),-ABS($X86*$G86))</f>
        <v>-878.155335520515</v>
      </c>
      <c r="AC86" s="188">
        <f t="shared" si="66"/>
        <v>-878.155335520515</v>
      </c>
      <c r="AD86" s="188">
        <f t="shared" si="51"/>
        <v>878.155335520515</v>
      </c>
      <c r="AE86" s="188">
        <f t="shared" si="52"/>
        <v>-878.155335520515</v>
      </c>
      <c r="AF86" s="188">
        <f t="shared" si="61"/>
        <v>878.155335520515</v>
      </c>
      <c r="AG86" s="188">
        <f t="shared" si="62"/>
        <v>878.155335520515</v>
      </c>
      <c r="AH86" s="188">
        <f t="shared" si="63"/>
        <v>-878.155335520515</v>
      </c>
      <c r="AI86" s="188">
        <f t="shared" si="64"/>
        <v>878.155335520515</v>
      </c>
      <c r="AJ86" s="188">
        <f t="shared" si="65"/>
        <v>878.155335520515</v>
      </c>
      <c r="AK86" s="188">
        <f t="shared" si="53"/>
        <v>878.155335520515</v>
      </c>
      <c r="AL86" s="188">
        <f t="shared" si="54"/>
        <v>878.155335520515</v>
      </c>
      <c r="AM86" s="188">
        <f t="shared" si="55"/>
        <v>878.155335520515</v>
      </c>
      <c r="AN86" s="188">
        <f t="shared" si="56"/>
        <v>878.155335520515</v>
      </c>
      <c r="AO86" s="188">
        <f t="shared" si="57"/>
        <v>-878.155335520515</v>
      </c>
      <c r="AP86" s="188">
        <f t="shared" si="58"/>
        <v>878.155335520515</v>
      </c>
    </row>
    <row r="87" spans="1:42" s="2" customFormat="1" ht="15.75" thickBot="1" x14ac:dyDescent="0.3">
      <c r="A87" s="1" t="s">
        <v>418</v>
      </c>
      <c r="B87" s="149" t="s">
        <v>767</v>
      </c>
      <c r="C87" s="192" t="s">
        <v>297</v>
      </c>
      <c r="D87"/>
      <c r="E87" s="201">
        <f>'0810'!H87</f>
        <v>1</v>
      </c>
      <c r="F87" s="186">
        <f t="shared" si="44"/>
        <v>-1139.77474726016</v>
      </c>
      <c r="G87" s="202">
        <v>-1.3040900998399999E-2</v>
      </c>
      <c r="H87" s="202">
        <v>-1</v>
      </c>
      <c r="I87" s="227">
        <v>1</v>
      </c>
      <c r="J87" s="227">
        <v>-1</v>
      </c>
      <c r="K87" s="227">
        <v>1</v>
      </c>
      <c r="L87" s="202">
        <v>1</v>
      </c>
      <c r="M87" s="228">
        <v>6</v>
      </c>
      <c r="N87" s="288">
        <v>42584</v>
      </c>
      <c r="O87">
        <f t="shared" si="45"/>
        <v>1</v>
      </c>
      <c r="P87">
        <f t="shared" si="59"/>
        <v>1</v>
      </c>
      <c r="Q87">
        <f t="shared" si="46"/>
        <v>-1</v>
      </c>
      <c r="R87">
        <f t="shared" si="47"/>
        <v>-1</v>
      </c>
      <c r="S87">
        <f t="shared" si="48"/>
        <v>-1</v>
      </c>
      <c r="T87">
        <f t="shared" si="49"/>
        <v>-1</v>
      </c>
      <c r="U87">
        <f t="shared" si="60"/>
        <v>-1</v>
      </c>
      <c r="V87">
        <f>VLOOKUP($A87,'FuturesInfo (3)'!$A$2:$V$80,22)</f>
        <v>4</v>
      </c>
      <c r="W87">
        <v>1</v>
      </c>
      <c r="X87" s="354">
        <v>87400</v>
      </c>
      <c r="Y87" s="354">
        <v>14000</v>
      </c>
      <c r="Z87" s="188">
        <f t="shared" si="50"/>
        <v>1139.77474726016</v>
      </c>
      <c r="AA87" s="188">
        <f>IF(IF(sym!$Q76=H87,1,0)=1,ABS(X87*G87),-ABS(X87*G87))</f>
        <v>-1139.77474726016</v>
      </c>
      <c r="AB87" s="188">
        <f>IF(IF(sym!$P76=$H87,1,0)=1,ABS($X87*$G87),-ABS($X87*$G87))</f>
        <v>1139.77474726016</v>
      </c>
      <c r="AC87" s="188">
        <f t="shared" si="66"/>
        <v>-1139.77474726016</v>
      </c>
      <c r="AD87" s="188">
        <f t="shared" si="51"/>
        <v>1139.77474726016</v>
      </c>
      <c r="AE87" s="188">
        <f t="shared" si="52"/>
        <v>1139.77474726016</v>
      </c>
      <c r="AF87" s="188">
        <f t="shared" si="61"/>
        <v>-1139.77474726016</v>
      </c>
      <c r="AG87" s="188">
        <f t="shared" si="62"/>
        <v>-1139.77474726016</v>
      </c>
      <c r="AH87" s="188">
        <f t="shared" si="63"/>
        <v>-1139.77474726016</v>
      </c>
      <c r="AI87" s="188">
        <f t="shared" si="64"/>
        <v>1139.77474726016</v>
      </c>
      <c r="AJ87" s="188">
        <f t="shared" si="65"/>
        <v>-1139.77474726016</v>
      </c>
      <c r="AK87" s="188">
        <f t="shared" si="53"/>
        <v>-1139.77474726016</v>
      </c>
      <c r="AL87" s="188">
        <f t="shared" si="54"/>
        <v>1139.77474726016</v>
      </c>
      <c r="AM87" s="188">
        <f t="shared" si="55"/>
        <v>1139.77474726016</v>
      </c>
      <c r="AN87" s="188">
        <f t="shared" si="56"/>
        <v>1139.77474726016</v>
      </c>
      <c r="AO87" s="188">
        <f t="shared" si="57"/>
        <v>1139.77474726016</v>
      </c>
      <c r="AP87" s="188">
        <f t="shared" si="58"/>
        <v>1139.77474726016</v>
      </c>
    </row>
    <row r="88" spans="1:42" s="2" customFormat="1" ht="15.75" thickBot="1" x14ac:dyDescent="0.3">
      <c r="A88" s="1" t="s">
        <v>1053</v>
      </c>
      <c r="B88" s="149" t="s">
        <v>738</v>
      </c>
      <c r="C88" s="192" t="s">
        <v>294</v>
      </c>
      <c r="D88"/>
      <c r="E88" s="201">
        <f>'0810'!H88</f>
        <v>-1</v>
      </c>
      <c r="F88" s="186">
        <f t="shared" si="44"/>
        <v>-1322.6833545932996</v>
      </c>
      <c r="G88" s="202">
        <v>-4.1909620991299997E-3</v>
      </c>
      <c r="H88" s="202">
        <v>-1</v>
      </c>
      <c r="I88" s="227">
        <v>1</v>
      </c>
      <c r="J88" s="227">
        <v>1</v>
      </c>
      <c r="K88" s="227">
        <v>1</v>
      </c>
      <c r="L88" s="202">
        <v>1</v>
      </c>
      <c r="M88" s="228">
        <v>7</v>
      </c>
      <c r="N88" s="288">
        <v>42583</v>
      </c>
      <c r="O88">
        <f t="shared" si="45"/>
        <v>1</v>
      </c>
      <c r="P88">
        <f t="shared" si="59"/>
        <v>-1</v>
      </c>
      <c r="Q88">
        <f t="shared" si="46"/>
        <v>1</v>
      </c>
      <c r="R88">
        <f t="shared" si="47"/>
        <v>1</v>
      </c>
      <c r="S88">
        <f t="shared" si="48"/>
        <v>1</v>
      </c>
      <c r="T88">
        <f t="shared" si="49"/>
        <v>-1</v>
      </c>
      <c r="U88">
        <f t="shared" si="60"/>
        <v>1</v>
      </c>
      <c r="V88">
        <f>VLOOKUP($A88,'FuturesInfo (3)'!$A$2:$V$80,22)</f>
        <v>3</v>
      </c>
      <c r="W88">
        <v>1</v>
      </c>
      <c r="X88" s="354">
        <v>315603.75</v>
      </c>
      <c r="Y88" s="354">
        <v>19489.47</v>
      </c>
      <c r="Z88" s="188">
        <f t="shared" si="50"/>
        <v>1322.6833545932996</v>
      </c>
      <c r="AA88" s="188">
        <f>IF(IF(sym!$Q77=H88,1,0)=1,ABS(X88*G88),-ABS(X88*G88))</f>
        <v>-1322.6833545932996</v>
      </c>
      <c r="AB88" s="188">
        <f>IF(IF(sym!$P77=$H88,1,0)=1,ABS($X88*$G88),-ABS($X88*$G88))</f>
        <v>1322.6833545932996</v>
      </c>
      <c r="AC88" s="188">
        <f t="shared" si="66"/>
        <v>1322.6833545932996</v>
      </c>
      <c r="AD88" s="188">
        <f t="shared" si="51"/>
        <v>-1322.6833545932996</v>
      </c>
      <c r="AE88" s="188">
        <f t="shared" si="52"/>
        <v>-1322.6833545932996</v>
      </c>
      <c r="AF88" s="188">
        <f t="shared" si="61"/>
        <v>-1322.6833545932996</v>
      </c>
      <c r="AG88" s="188">
        <f t="shared" si="62"/>
        <v>-1322.6833545932996</v>
      </c>
      <c r="AH88" s="188">
        <f t="shared" si="63"/>
        <v>-1322.6833545932996</v>
      </c>
      <c r="AI88" s="188">
        <f t="shared" si="64"/>
        <v>1322.6833545932996</v>
      </c>
      <c r="AJ88" s="188">
        <f t="shared" si="65"/>
        <v>-1322.6833545932996</v>
      </c>
      <c r="AK88" s="188">
        <f t="shared" si="53"/>
        <v>1322.6833545932996</v>
      </c>
      <c r="AL88" s="188">
        <f t="shared" si="54"/>
        <v>-1322.6833545932996</v>
      </c>
      <c r="AM88" s="188">
        <f t="shared" si="55"/>
        <v>-1322.6833545932996</v>
      </c>
      <c r="AN88" s="188">
        <f t="shared" si="56"/>
        <v>-1322.6833545932996</v>
      </c>
      <c r="AO88" s="188">
        <f t="shared" si="57"/>
        <v>1322.6833545932996</v>
      </c>
      <c r="AP88" s="188">
        <f t="shared" si="58"/>
        <v>-1322.6833545932996</v>
      </c>
    </row>
    <row r="89" spans="1:42" s="2" customFormat="1" ht="15.75" thickBot="1" x14ac:dyDescent="0.3">
      <c r="A89" s="328" t="s">
        <v>1054</v>
      </c>
      <c r="B89" s="329" t="s">
        <v>463</v>
      </c>
      <c r="C89" s="330" t="s">
        <v>1285</v>
      </c>
      <c r="D89"/>
      <c r="E89" s="201">
        <f>'0810'!H89</f>
        <v>1</v>
      </c>
      <c r="F89" s="186">
        <f t="shared" si="44"/>
        <v>0</v>
      </c>
      <c r="G89" s="202">
        <v>0</v>
      </c>
      <c r="H89" s="202">
        <v>1</v>
      </c>
      <c r="I89" s="227">
        <v>1</v>
      </c>
      <c r="J89" s="227">
        <v>1</v>
      </c>
      <c r="K89" s="227">
        <v>1</v>
      </c>
      <c r="L89" s="202">
        <v>-1</v>
      </c>
      <c r="M89" s="228">
        <v>-6</v>
      </c>
      <c r="N89" s="288">
        <v>42584</v>
      </c>
      <c r="O89">
        <f t="shared" si="45"/>
        <v>1</v>
      </c>
      <c r="P89">
        <f t="shared" si="59"/>
        <v>1</v>
      </c>
      <c r="Q89">
        <f t="shared" si="46"/>
        <v>1</v>
      </c>
      <c r="R89">
        <f t="shared" si="47"/>
        <v>1</v>
      </c>
      <c r="S89">
        <f t="shared" si="48"/>
        <v>1</v>
      </c>
      <c r="T89">
        <f t="shared" si="49"/>
        <v>-1</v>
      </c>
      <c r="U89">
        <f t="shared" si="60"/>
        <v>1</v>
      </c>
      <c r="V89">
        <f>VLOOKUP($A89,'FuturesInfo (3)'!$A$2:$V$80,22)</f>
        <v>0</v>
      </c>
      <c r="W89">
        <v>1</v>
      </c>
      <c r="X89" s="354">
        <v>0</v>
      </c>
      <c r="Y89" s="354">
        <v>0</v>
      </c>
      <c r="Z89" s="188">
        <f t="shared" si="50"/>
        <v>0</v>
      </c>
      <c r="AA89" s="188">
        <f>IF(IF(sym!$Q78=H89,1,0)=1,ABS(X89*G89),-ABS(X89*G89))</f>
        <v>0</v>
      </c>
      <c r="AB89" s="188">
        <f>IF(IF(sym!$P78=$H89,1,0)=1,ABS($X89*$G89),-ABS($X89*$G89))</f>
        <v>0</v>
      </c>
      <c r="AC89" s="188">
        <f t="shared" si="66"/>
        <v>0</v>
      </c>
      <c r="AD89" s="188">
        <f t="shared" si="51"/>
        <v>0</v>
      </c>
      <c r="AE89" s="188">
        <f t="shared" si="52"/>
        <v>0</v>
      </c>
      <c r="AF89" s="188">
        <f t="shared" si="61"/>
        <v>0</v>
      </c>
      <c r="AG89" s="188">
        <f t="shared" si="62"/>
        <v>0</v>
      </c>
      <c r="AH89" s="188">
        <f t="shared" si="63"/>
        <v>0</v>
      </c>
      <c r="AI89" s="188">
        <f t="shared" si="64"/>
        <v>0</v>
      </c>
      <c r="AJ89" s="188">
        <f t="shared" si="65"/>
        <v>0</v>
      </c>
      <c r="AK89" s="188">
        <f t="shared" si="53"/>
        <v>0</v>
      </c>
      <c r="AL89" s="188">
        <f t="shared" si="54"/>
        <v>0</v>
      </c>
      <c r="AM89" s="188">
        <f t="shared" si="55"/>
        <v>0</v>
      </c>
      <c r="AN89" s="188">
        <f t="shared" si="56"/>
        <v>0</v>
      </c>
      <c r="AO89" s="188">
        <f t="shared" si="57"/>
        <v>0</v>
      </c>
      <c r="AP89" s="188">
        <f t="shared" si="58"/>
        <v>0</v>
      </c>
    </row>
    <row r="90" spans="1:42" s="4" customFormat="1" ht="15.75" thickBot="1" x14ac:dyDescent="0.3">
      <c r="A90" s="1" t="s">
        <v>422</v>
      </c>
      <c r="B90" s="149" t="s">
        <v>639</v>
      </c>
      <c r="C90" s="192" t="s">
        <v>294</v>
      </c>
      <c r="E90" s="201">
        <f>'0810'!H90</f>
        <v>-1</v>
      </c>
      <c r="F90" s="186">
        <f t="shared" si="44"/>
        <v>2273.8402341224578</v>
      </c>
      <c r="G90" s="202">
        <v>6.1239973986599999E-3</v>
      </c>
      <c r="H90" s="202">
        <v>1</v>
      </c>
      <c r="I90" s="227">
        <v>-1</v>
      </c>
      <c r="J90" s="227">
        <v>1</v>
      </c>
      <c r="K90" s="227">
        <v>-1</v>
      </c>
      <c r="L90" s="202">
        <v>1</v>
      </c>
      <c r="M90" s="228">
        <v>15</v>
      </c>
      <c r="N90" s="288">
        <v>42571</v>
      </c>
      <c r="O90">
        <f t="shared" si="45"/>
        <v>1</v>
      </c>
      <c r="P90">
        <f t="shared" si="59"/>
        <v>-1</v>
      </c>
      <c r="Q90">
        <f t="shared" si="46"/>
        <v>1</v>
      </c>
      <c r="R90">
        <f t="shared" si="47"/>
        <v>-1</v>
      </c>
      <c r="S90">
        <f t="shared" si="48"/>
        <v>-1</v>
      </c>
      <c r="T90">
        <f t="shared" si="49"/>
        <v>-1</v>
      </c>
      <c r="U90">
        <f t="shared" si="60"/>
        <v>1</v>
      </c>
      <c r="V90">
        <f>VLOOKUP($A90,'FuturesInfo (3)'!$A$2:$V$80,22)</f>
        <v>4</v>
      </c>
      <c r="W90">
        <v>1</v>
      </c>
      <c r="X90" s="354">
        <v>371300</v>
      </c>
      <c r="Y90" s="354">
        <v>16248</v>
      </c>
      <c r="Z90" s="188">
        <f t="shared" si="50"/>
        <v>2273.8402341224578</v>
      </c>
      <c r="AA90" s="188">
        <f>IF(IF(sym!$Q79=H90,1,0)=1,ABS(X90*G90),-ABS(X90*G90))</f>
        <v>2273.8402341224578</v>
      </c>
      <c r="AB90" s="188">
        <f>IF(IF(sym!$P79=$H90,1,0)=1,ABS($X90*$G90),-ABS($X90*$G90))</f>
        <v>-2273.8402341224578</v>
      </c>
      <c r="AC90" s="188">
        <f t="shared" si="66"/>
        <v>-2273.8402341224578</v>
      </c>
      <c r="AD90" s="188">
        <f t="shared" si="51"/>
        <v>2273.8402341224578</v>
      </c>
      <c r="AE90" s="188">
        <f t="shared" si="52"/>
        <v>2273.8402341224578</v>
      </c>
      <c r="AF90" s="188">
        <f t="shared" si="61"/>
        <v>-2273.8402341224578</v>
      </c>
      <c r="AG90" s="188">
        <f t="shared" si="62"/>
        <v>-2273.8402341224578</v>
      </c>
      <c r="AH90" s="188">
        <f t="shared" si="63"/>
        <v>2273.8402341224578</v>
      </c>
      <c r="AI90" s="188">
        <f t="shared" si="64"/>
        <v>-2273.8402341224578</v>
      </c>
      <c r="AJ90" s="188">
        <f t="shared" si="65"/>
        <v>2273.8402341224578</v>
      </c>
      <c r="AK90" s="188">
        <f t="shared" si="53"/>
        <v>-2273.8402341224578</v>
      </c>
      <c r="AL90" s="188">
        <f t="shared" si="54"/>
        <v>2273.8402341224578</v>
      </c>
      <c r="AM90" s="188">
        <f t="shared" si="55"/>
        <v>-2273.8402341224578</v>
      </c>
      <c r="AN90" s="188">
        <f t="shared" si="56"/>
        <v>-2273.8402341224578</v>
      </c>
      <c r="AO90" s="188">
        <f t="shared" si="57"/>
        <v>-2273.8402341224578</v>
      </c>
      <c r="AP90" s="188">
        <f t="shared" si="58"/>
        <v>2273.8402341224578</v>
      </c>
    </row>
    <row r="91" spans="1:42" s="4" customFormat="1" ht="15.75" thickBot="1" x14ac:dyDescent="0.3">
      <c r="A91" s="1" t="s">
        <v>1025</v>
      </c>
      <c r="B91" s="149" t="s">
        <v>459</v>
      </c>
      <c r="C91" s="192" t="s">
        <v>1122</v>
      </c>
      <c r="E91" s="201">
        <f>'0810'!H91</f>
        <v>1</v>
      </c>
      <c r="F91" s="186">
        <f t="shared" si="44"/>
        <v>0</v>
      </c>
      <c r="G91" s="202">
        <v>0</v>
      </c>
      <c r="H91" s="202">
        <v>1</v>
      </c>
      <c r="I91" s="227">
        <v>-1</v>
      </c>
      <c r="J91" s="227">
        <v>1</v>
      </c>
      <c r="K91" s="227">
        <v>-1</v>
      </c>
      <c r="L91" s="202">
        <v>-1</v>
      </c>
      <c r="M91" s="228">
        <v>-6</v>
      </c>
      <c r="N91" s="288">
        <v>42584</v>
      </c>
      <c r="O91">
        <f t="shared" si="45"/>
        <v>1</v>
      </c>
      <c r="P91">
        <f t="shared" si="59"/>
        <v>1</v>
      </c>
      <c r="Q91">
        <f t="shared" si="46"/>
        <v>1</v>
      </c>
      <c r="R91">
        <f t="shared" si="47"/>
        <v>-1</v>
      </c>
      <c r="S91">
        <f t="shared" si="48"/>
        <v>1</v>
      </c>
      <c r="T91">
        <f t="shared" si="49"/>
        <v>1</v>
      </c>
      <c r="U91">
        <f t="shared" si="60"/>
        <v>1</v>
      </c>
      <c r="V91">
        <f>VLOOKUP($A91,'FuturesInfo (3)'!$A$2:$V$80,22)</f>
        <v>16</v>
      </c>
      <c r="W91">
        <v>1</v>
      </c>
      <c r="X91" s="354">
        <v>3402685.44</v>
      </c>
      <c r="Y91" s="354">
        <v>12320</v>
      </c>
      <c r="Z91" s="188">
        <f t="shared" si="50"/>
        <v>0</v>
      </c>
      <c r="AA91" s="188">
        <f>IF(IF(sym!$Q80=H91,1,0)=1,ABS(X91*G91),-ABS(X91*G91))</f>
        <v>0</v>
      </c>
      <c r="AB91" s="188">
        <f>IF(IF(sym!$P80=$H91,1,0)=1,ABS($X91*$G91),-ABS($X91*$G91))</f>
        <v>0</v>
      </c>
      <c r="AC91" s="188">
        <f t="shared" si="66"/>
        <v>0</v>
      </c>
      <c r="AD91" s="188">
        <f t="shared" si="51"/>
        <v>0</v>
      </c>
      <c r="AE91" s="188">
        <f t="shared" si="52"/>
        <v>0</v>
      </c>
      <c r="AF91" s="188">
        <f t="shared" si="61"/>
        <v>0</v>
      </c>
      <c r="AG91" s="188">
        <f t="shared" si="62"/>
        <v>0</v>
      </c>
      <c r="AH91" s="188">
        <f t="shared" si="63"/>
        <v>0</v>
      </c>
      <c r="AI91" s="188">
        <f t="shared" si="64"/>
        <v>0</v>
      </c>
      <c r="AJ91" s="188">
        <f t="shared" si="65"/>
        <v>0</v>
      </c>
      <c r="AK91" s="188">
        <f t="shared" si="53"/>
        <v>0</v>
      </c>
      <c r="AL91" s="188">
        <f t="shared" si="54"/>
        <v>0</v>
      </c>
      <c r="AM91" s="188">
        <f t="shared" si="55"/>
        <v>0</v>
      </c>
      <c r="AN91" s="188">
        <f t="shared" si="56"/>
        <v>0</v>
      </c>
      <c r="AO91" s="188">
        <f t="shared" si="57"/>
        <v>0</v>
      </c>
      <c r="AP91" s="188">
        <f t="shared" si="58"/>
        <v>0</v>
      </c>
    </row>
    <row r="92" spans="1:42" s="4" customFormat="1" ht="15.75" thickBot="1" x14ac:dyDescent="0.3">
      <c r="A92" s="1" t="s">
        <v>1026</v>
      </c>
      <c r="B92" s="149" t="s">
        <v>447</v>
      </c>
      <c r="C92" s="192" t="s">
        <v>1122</v>
      </c>
      <c r="E92" s="201">
        <f>'0810'!H92</f>
        <v>1</v>
      </c>
      <c r="F92" s="186">
        <f t="shared" si="44"/>
        <v>462.07062780329926</v>
      </c>
      <c r="G92" s="203">
        <v>1.52874031798E-4</v>
      </c>
      <c r="H92" s="203">
        <v>1</v>
      </c>
      <c r="I92" s="231">
        <v>-1</v>
      </c>
      <c r="J92" s="231">
        <v>-1</v>
      </c>
      <c r="K92" s="231">
        <v>1</v>
      </c>
      <c r="L92" s="203">
        <v>1</v>
      </c>
      <c r="M92" s="232">
        <v>2</v>
      </c>
      <c r="N92" s="289">
        <v>42584</v>
      </c>
      <c r="O92">
        <f t="shared" si="45"/>
        <v>1</v>
      </c>
      <c r="P92">
        <f t="shared" si="59"/>
        <v>1</v>
      </c>
      <c r="Q92">
        <f t="shared" si="46"/>
        <v>-1</v>
      </c>
      <c r="R92">
        <f t="shared" si="47"/>
        <v>-1</v>
      </c>
      <c r="S92">
        <f t="shared" si="48"/>
        <v>-1</v>
      </c>
      <c r="T92">
        <f t="shared" si="49"/>
        <v>-1</v>
      </c>
      <c r="U92">
        <f t="shared" si="60"/>
        <v>-1</v>
      </c>
      <c r="V92">
        <f>VLOOKUP($A92,'FuturesInfo (3)'!$A$2:$V$80,22)</f>
        <v>5</v>
      </c>
      <c r="W92">
        <v>1</v>
      </c>
      <c r="X92" s="354">
        <v>3022558</v>
      </c>
      <c r="Y92" s="354">
        <v>12512.5</v>
      </c>
      <c r="Z92" s="188">
        <f t="shared" si="50"/>
        <v>462.07062780329926</v>
      </c>
      <c r="AA92" s="188">
        <f>IF(IF(sym!$Q81=H92,1,0)=1,ABS(X92*G92),-ABS(X92*G92))</f>
        <v>-462.07062780329926</v>
      </c>
      <c r="AB92" s="188">
        <f>IF(IF(sym!$P81=$H92,1,0)=1,ABS($X92*$G92),-ABS($X92*$G92))</f>
        <v>462.07062780329926</v>
      </c>
      <c r="AC92" s="188">
        <f t="shared" si="66"/>
        <v>462.07062780329926</v>
      </c>
      <c r="AD92" s="188">
        <f t="shared" si="51"/>
        <v>-462.07062780329926</v>
      </c>
      <c r="AE92" s="188">
        <f t="shared" si="52"/>
        <v>-462.07062780329926</v>
      </c>
      <c r="AF92" s="188">
        <f t="shared" si="61"/>
        <v>-462.07062780329926</v>
      </c>
      <c r="AG92" s="188">
        <f t="shared" si="62"/>
        <v>462.07062780329926</v>
      </c>
      <c r="AH92" s="188">
        <f t="shared" si="63"/>
        <v>462.07062780329926</v>
      </c>
      <c r="AI92" s="188">
        <f t="shared" si="64"/>
        <v>-462.07062780329926</v>
      </c>
      <c r="AJ92" s="188">
        <f t="shared" si="65"/>
        <v>462.07062780329926</v>
      </c>
      <c r="AK92" s="188">
        <f t="shared" si="53"/>
        <v>462.07062780329926</v>
      </c>
      <c r="AL92" s="188">
        <f t="shared" si="54"/>
        <v>-462.07062780329926</v>
      </c>
      <c r="AM92" s="188">
        <f t="shared" si="55"/>
        <v>-462.07062780329926</v>
      </c>
      <c r="AN92" s="188">
        <f t="shared" si="56"/>
        <v>-462.07062780329926</v>
      </c>
      <c r="AO92" s="188">
        <f t="shared" si="57"/>
        <v>-462.07062780329926</v>
      </c>
      <c r="AP92" s="188">
        <f t="shared" si="58"/>
        <v>-462.07062780329926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7">COUNTIF(AA14:AA92,"&gt;0")/$B$10</f>
        <v>0.6619718309859155</v>
      </c>
      <c r="AB94" s="193">
        <f t="shared" si="67"/>
        <v>0.3380281690140845</v>
      </c>
      <c r="AC94" s="193">
        <f t="shared" si="67"/>
        <v>0.38028169014084506</v>
      </c>
      <c r="AD94" s="193">
        <f t="shared" si="67"/>
        <v>0.61971830985915488</v>
      </c>
      <c r="AE94" s="193">
        <f t="shared" si="67"/>
        <v>0.40845070422535212</v>
      </c>
      <c r="AF94" s="193">
        <f t="shared" si="67"/>
        <v>0.53521126760563376</v>
      </c>
      <c r="AG94" s="193">
        <f t="shared" si="67"/>
        <v>0.53521126760563376</v>
      </c>
      <c r="AH94" s="193">
        <f t="shared" si="67"/>
        <v>0.40845070422535212</v>
      </c>
      <c r="AI94" s="193">
        <f t="shared" ref="AI94" si="68">COUNTIF(AI14:AI92,"&gt;0")/$B$10</f>
        <v>0.59154929577464788</v>
      </c>
      <c r="AJ94" s="193">
        <f t="shared" si="67"/>
        <v>0.647887323943662</v>
      </c>
      <c r="AK94" s="193">
        <f t="shared" si="67"/>
        <v>0.50704225352112675</v>
      </c>
      <c r="AL94" s="193">
        <f t="shared" si="67"/>
        <v>0.59154929577464788</v>
      </c>
      <c r="AM94" s="193">
        <f t="shared" si="67"/>
        <v>0.63380281690140849</v>
      </c>
      <c r="AN94" s="193">
        <f t="shared" si="67"/>
        <v>0.60563380281690138</v>
      </c>
      <c r="AO94" s="193">
        <f t="shared" si="67"/>
        <v>0.36619718309859156</v>
      </c>
      <c r="AP94" s="193">
        <f t="shared" si="67"/>
        <v>0.57746478873239437</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1294</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1" t="str">
        <f t="shared" ref="Z1:AP1" si="1">Z12</f>
        <v>MAX ACC 100% PNL 87974</v>
      </c>
      <c r="AA1" s="332" t="str">
        <f t="shared" si="1"/>
        <v>RISK-ON ACC 31% PNL -31685</v>
      </c>
      <c r="AB1" s="332" t="str">
        <f t="shared" si="1"/>
        <v>RISK-OFF ACC 69% PNL 31685</v>
      </c>
      <c r="AC1" s="332" t="str">
        <f t="shared" ref="AC1" si="2">AC12</f>
        <v>Previous ACC 61% PNL 45370</v>
      </c>
      <c r="AD1" s="295" t="str">
        <f t="shared" si="1"/>
        <v>Anti-Previous ACC 39% PNL -45370</v>
      </c>
      <c r="AE1" s="333" t="str">
        <f t="shared" si="1"/>
        <v>&gt;equity ACC 56% PNL 18937</v>
      </c>
      <c r="AF1" s="333" t="str">
        <f t="shared" si="1"/>
        <v>50/50 ACC 45% PNL -162</v>
      </c>
      <c r="AG1" s="333" t="str">
        <f t="shared" si="1"/>
        <v>&lt;equity ACC 44% PNL -10219</v>
      </c>
      <c r="AH1" s="334" t="str">
        <f t="shared" si="1"/>
        <v>SEASONALITY ACC 56% PNL 13275</v>
      </c>
      <c r="AI1" s="334" t="str">
        <f t="shared" si="1"/>
        <v>ANTI-SEASONALITY ACC 44% PNL -13275</v>
      </c>
      <c r="AJ1" s="334" t="str">
        <f t="shared" si="1"/>
        <v>ADJ_SEASONALITY ACC 46% PNL -10404</v>
      </c>
      <c r="AK1" s="335" t="str">
        <f t="shared" si="1"/>
        <v>V1 ACC 52% PNL 15395</v>
      </c>
      <c r="AL1" s="335" t="str">
        <f t="shared" si="1"/>
        <v>V2 ACC 46% PNL -23757</v>
      </c>
      <c r="AM1" s="335" t="str">
        <f t="shared" si="1"/>
        <v>V3 ACC 37% PNL -26943</v>
      </c>
      <c r="AN1" s="335" t="str">
        <f t="shared" si="1"/>
        <v>V4 ACC 41% PNL -14974</v>
      </c>
      <c r="AO1" s="335" t="str">
        <f t="shared" si="1"/>
        <v>V5 ACC 59% PNL 26719</v>
      </c>
      <c r="AP1" s="335" t="str">
        <f t="shared" si="1"/>
        <v>V6 ACC 45% PNL -14591</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14527.573034789406</v>
      </c>
      <c r="H2" s="143">
        <f t="shared" ref="H2:H10" si="5">G2/$B2</f>
        <v>1614.1747816432674</v>
      </c>
      <c r="I2" s="186">
        <f>SUMIF($C$14:$C$92,A2,F$14:F$92)/B2</f>
        <v>1150.9358832767891</v>
      </c>
      <c r="J2" t="str">
        <f t="shared" ref="J2:J9" si="6">A2</f>
        <v>currency</v>
      </c>
      <c r="K2" s="342">
        <f t="shared" ref="K2:K9" si="7">SUMIF($C$14:$C$92,$A2,E$14:E$92)/$B2</f>
        <v>0.55555555555555558</v>
      </c>
      <c r="L2" s="342">
        <f t="shared" ref="L2:O9" si="8">SUMIF($C$14:$C$92,$A2,I$14:I$92)/$B2</f>
        <v>-0.1111111111111111</v>
      </c>
      <c r="M2" s="342">
        <f t="shared" si="8"/>
        <v>-0.1111111111111111</v>
      </c>
      <c r="N2" s="342">
        <f t="shared" si="8"/>
        <v>-0.1111111111111111</v>
      </c>
      <c r="O2" s="342">
        <f t="shared" si="8"/>
        <v>-0.33333333333333331</v>
      </c>
      <c r="P2" s="342">
        <f t="shared" ref="P2:V9" si="9">SUMIF($C$14:$C$92,$A2,O$14:O$92)/$B2</f>
        <v>0.1111111111111111</v>
      </c>
      <c r="Q2" s="342">
        <f t="shared" si="9"/>
        <v>0.1111111111111111</v>
      </c>
      <c r="R2" s="342">
        <f t="shared" si="9"/>
        <v>-0.1111111111111111</v>
      </c>
      <c r="S2" s="342">
        <f t="shared" si="9"/>
        <v>0.1111111111111111</v>
      </c>
      <c r="T2" s="342">
        <f t="shared" si="9"/>
        <v>0.1111111111111111</v>
      </c>
      <c r="U2" s="342">
        <f t="shared" si="9"/>
        <v>0.1111111111111111</v>
      </c>
      <c r="V2" s="342">
        <f t="shared" si="9"/>
        <v>-0.33333333333333331</v>
      </c>
      <c r="W2" s="286"/>
      <c r="X2" s="6"/>
      <c r="Y2" t="s">
        <v>1121</v>
      </c>
      <c r="Z2" s="282">
        <f t="shared" ref="Z2:AP9" si="10">SUMIF($C$14:$C$92,$Y2,Z$14:Z$92)</f>
        <v>14527.573034789406</v>
      </c>
      <c r="AA2" s="282">
        <f t="shared" si="10"/>
        <v>11762.185680398408</v>
      </c>
      <c r="AB2" s="282">
        <f t="shared" si="10"/>
        <v>-11762.185680398408</v>
      </c>
      <c r="AC2" s="282">
        <f t="shared" si="10"/>
        <v>14114.724237802573</v>
      </c>
      <c r="AD2" s="282">
        <f t="shared" si="10"/>
        <v>-14114.724237802573</v>
      </c>
      <c r="AE2" s="282">
        <f t="shared" si="10"/>
        <v>3980.1855205103179</v>
      </c>
      <c r="AF2" s="282">
        <f t="shared" si="10"/>
        <v>2168.5042968863609</v>
      </c>
      <c r="AG2" s="282">
        <f t="shared" si="10"/>
        <v>2168.5042968863609</v>
      </c>
      <c r="AH2" s="282">
        <f t="shared" si="10"/>
        <v>2824.443287665953</v>
      </c>
      <c r="AI2" s="282">
        <f>SUMIF($C$14:$C$92,$Y2,AI$14:AI$92)</f>
        <v>-2824.443287665953</v>
      </c>
      <c r="AJ2" s="282">
        <f t="shared" si="10"/>
        <v>-1541.896850375856</v>
      </c>
      <c r="AK2" s="282">
        <f t="shared" si="10"/>
        <v>5911.2229730105028</v>
      </c>
      <c r="AL2" s="282">
        <f t="shared" si="10"/>
        <v>-5168.3295371529712</v>
      </c>
      <c r="AM2" s="282">
        <f t="shared" si="10"/>
        <v>-6567.1619637900958</v>
      </c>
      <c r="AN2" s="282">
        <f t="shared" si="10"/>
        <v>-6567.1619637900958</v>
      </c>
      <c r="AO2" s="282">
        <f t="shared" si="10"/>
        <v>6980.0107607769287</v>
      </c>
      <c r="AP2" s="282">
        <f t="shared" si="10"/>
        <v>-10606.443447554044</v>
      </c>
    </row>
    <row r="3" spans="1:42" outlineLevel="1" x14ac:dyDescent="0.25">
      <c r="A3" s="1" t="s">
        <v>288</v>
      </c>
      <c r="B3" s="95">
        <f t="shared" ref="B3:B9" si="11">COUNTIF($C$14:$C$92,A3)</f>
        <v>6</v>
      </c>
      <c r="C3" s="193">
        <f t="shared" ref="C3:C10" si="12">B3/$B$10</f>
        <v>8.4507042253521125E-2</v>
      </c>
      <c r="F3" s="294">
        <f t="shared" si="3"/>
        <v>0</v>
      </c>
      <c r="G3" s="137">
        <f t="shared" si="4"/>
        <v>11310.398550949432</v>
      </c>
      <c r="H3" s="143">
        <f t="shared" si="5"/>
        <v>1885.0664251582386</v>
      </c>
      <c r="I3" s="186">
        <f t="shared" ref="I3:I9" si="13">SUMIF($C$14:$C$92,A3,F$14:F$92)/B3</f>
        <v>-1885.0664251582386</v>
      </c>
      <c r="J3" t="str">
        <f t="shared" si="6"/>
        <v>energy</v>
      </c>
      <c r="K3" s="342">
        <f t="shared" si="7"/>
        <v>-0.66666666666666663</v>
      </c>
      <c r="L3" s="342">
        <f t="shared" si="8"/>
        <v>0</v>
      </c>
      <c r="M3" s="342">
        <f t="shared" si="8"/>
        <v>0.33333333333333331</v>
      </c>
      <c r="N3" s="342">
        <f t="shared" si="8"/>
        <v>0</v>
      </c>
      <c r="O3" s="342">
        <f t="shared" si="8"/>
        <v>-0.66666666666666663</v>
      </c>
      <c r="P3" s="342">
        <f t="shared" si="9"/>
        <v>0</v>
      </c>
      <c r="Q3" s="342">
        <f t="shared" si="9"/>
        <v>-0.33333333333333331</v>
      </c>
      <c r="R3" s="342">
        <f t="shared" si="9"/>
        <v>0.33333333333333331</v>
      </c>
      <c r="S3" s="342">
        <f t="shared" si="9"/>
        <v>1</v>
      </c>
      <c r="T3" s="342">
        <f t="shared" si="9"/>
        <v>0.66666666666666663</v>
      </c>
      <c r="U3" s="342">
        <f t="shared" si="9"/>
        <v>-0.33333333333333331</v>
      </c>
      <c r="V3" s="342">
        <f t="shared" si="9"/>
        <v>0.66666666666666663</v>
      </c>
      <c r="W3" s="286"/>
      <c r="X3" s="6"/>
      <c r="Y3" s="1" t="s">
        <v>288</v>
      </c>
      <c r="Z3" s="282">
        <f t="shared" si="10"/>
        <v>11310.398550949432</v>
      </c>
      <c r="AA3" s="282">
        <f t="shared" si="10"/>
        <v>-11310.398550949432</v>
      </c>
      <c r="AB3" s="282">
        <f t="shared" si="10"/>
        <v>11310.398550949432</v>
      </c>
      <c r="AC3" s="282">
        <f t="shared" si="10"/>
        <v>8850.2074681439317</v>
      </c>
      <c r="AD3" s="282">
        <f t="shared" si="10"/>
        <v>-8850.2074681439317</v>
      </c>
      <c r="AE3" s="282">
        <f t="shared" si="10"/>
        <v>-5677.113777894514</v>
      </c>
      <c r="AF3" s="282">
        <f t="shared" si="10"/>
        <v>-473.02226436836236</v>
      </c>
      <c r="AG3" s="282">
        <f t="shared" si="10"/>
        <v>-473.02226436836236</v>
      </c>
      <c r="AH3" s="282">
        <f t="shared" si="10"/>
        <v>9263.0988139696074</v>
      </c>
      <c r="AI3" s="282">
        <f t="shared" si="10"/>
        <v>-9263.0988139696074</v>
      </c>
      <c r="AJ3" s="282">
        <f t="shared" si="10"/>
        <v>1598.8162176379542</v>
      </c>
      <c r="AK3" s="282">
        <f t="shared" si="10"/>
        <v>1574.2774726114635</v>
      </c>
      <c r="AL3" s="282">
        <f t="shared" si="10"/>
        <v>-5677.113777894514</v>
      </c>
      <c r="AM3" s="282">
        <f t="shared" si="10"/>
        <v>-11310.398550949432</v>
      </c>
      <c r="AN3" s="282">
        <f t="shared" si="10"/>
        <v>-8137.3048607000146</v>
      </c>
      <c r="AO3" s="282">
        <f t="shared" si="10"/>
        <v>5677.113777894514</v>
      </c>
      <c r="AP3" s="282">
        <f t="shared" si="10"/>
        <v>-8850.2074681439317</v>
      </c>
    </row>
    <row r="4" spans="1:42" outlineLevel="1" x14ac:dyDescent="0.25">
      <c r="A4" s="1" t="s">
        <v>297</v>
      </c>
      <c r="B4" s="95">
        <f t="shared" si="11"/>
        <v>10</v>
      </c>
      <c r="C4" s="193">
        <f t="shared" si="12"/>
        <v>0.14084507042253522</v>
      </c>
      <c r="F4" s="294">
        <f t="shared" si="3"/>
        <v>0.6</v>
      </c>
      <c r="G4" s="137">
        <f t="shared" si="4"/>
        <v>6739.2819877665752</v>
      </c>
      <c r="H4" s="143">
        <f t="shared" si="5"/>
        <v>673.9281987766575</v>
      </c>
      <c r="I4" s="186">
        <f t="shared" si="13"/>
        <v>34.629098025786746</v>
      </c>
      <c r="J4" t="str">
        <f t="shared" si="6"/>
        <v>grain</v>
      </c>
      <c r="K4" s="342">
        <f t="shared" si="7"/>
        <v>0.4</v>
      </c>
      <c r="L4" s="342">
        <f t="shared" si="8"/>
        <v>0.2</v>
      </c>
      <c r="M4" s="342">
        <f t="shared" si="8"/>
        <v>-0.2</v>
      </c>
      <c r="N4" s="342">
        <f t="shared" si="8"/>
        <v>0.4</v>
      </c>
      <c r="O4" s="342">
        <f t="shared" si="8"/>
        <v>0.8</v>
      </c>
      <c r="P4" s="342">
        <f t="shared" si="9"/>
        <v>-0.2</v>
      </c>
      <c r="Q4" s="342">
        <f t="shared" si="9"/>
        <v>0.2</v>
      </c>
      <c r="R4" s="342">
        <f t="shared" si="9"/>
        <v>-0.2</v>
      </c>
      <c r="S4" s="342">
        <f t="shared" si="9"/>
        <v>-0.8</v>
      </c>
      <c r="T4" s="342">
        <f t="shared" si="9"/>
        <v>-0.6</v>
      </c>
      <c r="U4" s="342">
        <f t="shared" si="9"/>
        <v>0</v>
      </c>
      <c r="V4" s="342">
        <f t="shared" si="9"/>
        <v>-0.6</v>
      </c>
      <c r="W4" s="286"/>
      <c r="X4" s="6"/>
      <c r="Y4" s="1" t="s">
        <v>297</v>
      </c>
      <c r="Z4" s="282">
        <f t="shared" si="10"/>
        <v>6739.2819877665752</v>
      </c>
      <c r="AA4" s="282">
        <f t="shared" si="10"/>
        <v>346.29098025786743</v>
      </c>
      <c r="AB4" s="282">
        <f t="shared" si="10"/>
        <v>-346.29098025786743</v>
      </c>
      <c r="AC4" s="282">
        <f t="shared" si="10"/>
        <v>-1014.4145842853737</v>
      </c>
      <c r="AD4" s="282">
        <f t="shared" si="10"/>
        <v>1014.4145842853737</v>
      </c>
      <c r="AE4" s="282">
        <f t="shared" si="10"/>
        <v>2755.7246099576728</v>
      </c>
      <c r="AF4" s="282">
        <f t="shared" si="10"/>
        <v>-299.58689452403326</v>
      </c>
      <c r="AG4" s="282">
        <f t="shared" si="10"/>
        <v>1762.3277974281307</v>
      </c>
      <c r="AH4" s="282">
        <f t="shared" si="10"/>
        <v>-1715.6237116942966</v>
      </c>
      <c r="AI4" s="282">
        <f t="shared" si="10"/>
        <v>1715.6237116942966</v>
      </c>
      <c r="AJ4" s="282">
        <f t="shared" si="10"/>
        <v>3778.0342705179596</v>
      </c>
      <c r="AK4" s="282">
        <f t="shared" si="10"/>
        <v>253.29618679178679</v>
      </c>
      <c r="AL4" s="282">
        <f t="shared" si="10"/>
        <v>1603.9596311656992</v>
      </c>
      <c r="AM4" s="282">
        <f t="shared" si="10"/>
        <v>1162.7406303784765</v>
      </c>
      <c r="AN4" s="282">
        <f t="shared" si="10"/>
        <v>1752.285677258802</v>
      </c>
      <c r="AO4" s="282">
        <f t="shared" si="10"/>
        <v>-5287.0658811543026</v>
      </c>
      <c r="AP4" s="282">
        <f t="shared" si="10"/>
        <v>1463.1917581987764</v>
      </c>
    </row>
    <row r="5" spans="1:42" outlineLevel="1" x14ac:dyDescent="0.25">
      <c r="A5" s="1" t="s">
        <v>294</v>
      </c>
      <c r="B5" s="95">
        <f t="shared" si="11"/>
        <v>21</v>
      </c>
      <c r="C5" s="193">
        <f t="shared" si="12"/>
        <v>0.29577464788732394</v>
      </c>
      <c r="F5" s="294">
        <f t="shared" si="3"/>
        <v>0.2857142857142857</v>
      </c>
      <c r="G5" s="137">
        <f t="shared" si="4"/>
        <v>14012.495736126029</v>
      </c>
      <c r="H5" s="143">
        <f t="shared" si="5"/>
        <v>667.26170172028708</v>
      </c>
      <c r="I5" s="186">
        <f t="shared" si="13"/>
        <v>-437.98186581710848</v>
      </c>
      <c r="J5" t="str">
        <f t="shared" si="6"/>
        <v>index</v>
      </c>
      <c r="K5" s="342">
        <f t="shared" si="7"/>
        <v>0.61904761904761907</v>
      </c>
      <c r="L5" s="342">
        <f t="shared" si="8"/>
        <v>0.14285714285714285</v>
      </c>
      <c r="M5" s="342">
        <f t="shared" si="8"/>
        <v>-0.61904761904761907</v>
      </c>
      <c r="N5" s="342">
        <f t="shared" si="8"/>
        <v>0.33333333333333331</v>
      </c>
      <c r="O5" s="342">
        <f t="shared" si="8"/>
        <v>4.7619047619047616E-2</v>
      </c>
      <c r="P5" s="342">
        <f t="shared" si="9"/>
        <v>0.14285714285714285</v>
      </c>
      <c r="Q5" s="342">
        <f t="shared" si="9"/>
        <v>0.52380952380952384</v>
      </c>
      <c r="R5" s="342">
        <f t="shared" si="9"/>
        <v>-0.7142857142857143</v>
      </c>
      <c r="S5" s="342">
        <f t="shared" si="9"/>
        <v>-0.33333333333333331</v>
      </c>
      <c r="T5" s="342">
        <f t="shared" si="9"/>
        <v>-0.42857142857142855</v>
      </c>
      <c r="U5" s="342">
        <f t="shared" si="9"/>
        <v>4.7619047619047616E-2</v>
      </c>
      <c r="V5" s="342">
        <f t="shared" si="9"/>
        <v>-0.7142857142857143</v>
      </c>
      <c r="W5" s="286"/>
      <c r="X5" s="6"/>
      <c r="Y5" s="1" t="s">
        <v>294</v>
      </c>
      <c r="Z5" s="282">
        <f t="shared" si="10"/>
        <v>14012.495736126029</v>
      </c>
      <c r="AA5" s="282">
        <f t="shared" si="10"/>
        <v>-12318.831303368277</v>
      </c>
      <c r="AB5" s="282">
        <f t="shared" si="10"/>
        <v>12318.831303368277</v>
      </c>
      <c r="AC5" s="282">
        <f t="shared" si="10"/>
        <v>-4258.4118842112175</v>
      </c>
      <c r="AD5" s="282">
        <f t="shared" si="10"/>
        <v>4258.4118842112175</v>
      </c>
      <c r="AE5" s="282">
        <f t="shared" si="10"/>
        <v>1725.0411321328538</v>
      </c>
      <c r="AF5" s="282">
        <f t="shared" si="10"/>
        <v>-5857.6364155782776</v>
      </c>
      <c r="AG5" s="282">
        <f t="shared" si="10"/>
        <v>-6685.5719341351378</v>
      </c>
      <c r="AH5" s="282">
        <f t="shared" si="10"/>
        <v>-1886.6396055222158</v>
      </c>
      <c r="AI5" s="282">
        <f t="shared" si="10"/>
        <v>1886.6396055222158</v>
      </c>
      <c r="AJ5" s="282">
        <f t="shared" si="10"/>
        <v>1202.7632894165367</v>
      </c>
      <c r="AK5" s="282">
        <f t="shared" si="10"/>
        <v>-2176.0094056569778</v>
      </c>
      <c r="AL5" s="282">
        <f t="shared" si="10"/>
        <v>5140.9871440053012</v>
      </c>
      <c r="AM5" s="282">
        <f t="shared" si="10"/>
        <v>-2026.8530900702187</v>
      </c>
      <c r="AN5" s="282">
        <f t="shared" si="10"/>
        <v>3490.3257315506376</v>
      </c>
      <c r="AO5" s="282">
        <f t="shared" si="10"/>
        <v>3307.629121454363</v>
      </c>
      <c r="AP5" s="282">
        <f t="shared" si="10"/>
        <v>5140.1572616125613</v>
      </c>
    </row>
    <row r="6" spans="1:42" outlineLevel="1" x14ac:dyDescent="0.25">
      <c r="A6" s="1" t="s">
        <v>313</v>
      </c>
      <c r="B6" s="95">
        <f t="shared" si="11"/>
        <v>3</v>
      </c>
      <c r="C6" s="193">
        <f t="shared" si="12"/>
        <v>4.2253521126760563E-2</v>
      </c>
      <c r="F6" s="294">
        <f t="shared" si="3"/>
        <v>0.33333333333333331</v>
      </c>
      <c r="G6" s="137">
        <f t="shared" si="4"/>
        <v>1695.6303556837302</v>
      </c>
      <c r="H6" s="143">
        <f t="shared" si="5"/>
        <v>565.21011856124335</v>
      </c>
      <c r="I6" s="186">
        <f t="shared" si="13"/>
        <v>272.46456642993797</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1695.6303556837302</v>
      </c>
      <c r="AA6" s="282">
        <f t="shared" si="10"/>
        <v>817.39369928981387</v>
      </c>
      <c r="AB6" s="282">
        <f t="shared" si="10"/>
        <v>-817.39369928981387</v>
      </c>
      <c r="AC6" s="282">
        <f t="shared" si="10"/>
        <v>-1695.6303556837302</v>
      </c>
      <c r="AD6" s="282">
        <f t="shared" si="10"/>
        <v>1695.6303556837302</v>
      </c>
      <c r="AE6" s="282">
        <f t="shared" si="10"/>
        <v>1515.7477469879341</v>
      </c>
      <c r="AF6" s="282">
        <f t="shared" si="10"/>
        <v>-1695.6303556837302</v>
      </c>
      <c r="AG6" s="282">
        <f t="shared" si="10"/>
        <v>-1695.6303556837302</v>
      </c>
      <c r="AH6" s="282">
        <f t="shared" si="10"/>
        <v>1695.6303556837302</v>
      </c>
      <c r="AI6" s="282">
        <f t="shared" si="10"/>
        <v>-1695.6303556837302</v>
      </c>
      <c r="AJ6" s="282">
        <f t="shared" si="10"/>
        <v>1695.6303556837302</v>
      </c>
      <c r="AK6" s="282">
        <f t="shared" si="10"/>
        <v>-1695.6303556837302</v>
      </c>
      <c r="AL6" s="282">
        <f t="shared" si="10"/>
        <v>1695.6303556837302</v>
      </c>
      <c r="AM6" s="282">
        <f t="shared" si="10"/>
        <v>-1695.6303556837302</v>
      </c>
      <c r="AN6" s="282">
        <f t="shared" si="10"/>
        <v>-1695.6303556837302</v>
      </c>
      <c r="AO6" s="282">
        <f t="shared" si="10"/>
        <v>-1695.6303556837302</v>
      </c>
      <c r="AP6" s="282">
        <f t="shared" si="10"/>
        <v>1515.7477469879341</v>
      </c>
    </row>
    <row r="7" spans="1:42" outlineLevel="1" x14ac:dyDescent="0.25">
      <c r="A7" s="1" t="s">
        <v>347</v>
      </c>
      <c r="B7" s="95">
        <f t="shared" si="11"/>
        <v>5</v>
      </c>
      <c r="C7" s="193">
        <f t="shared" si="12"/>
        <v>7.0422535211267609E-2</v>
      </c>
      <c r="F7" s="294">
        <f t="shared" si="3"/>
        <v>1</v>
      </c>
      <c r="G7" s="137">
        <f t="shared" si="4"/>
        <v>12802.343566299513</v>
      </c>
      <c r="H7" s="143">
        <f t="shared" si="5"/>
        <v>2560.4687132599024</v>
      </c>
      <c r="I7" s="186">
        <f t="shared" si="13"/>
        <v>2560.4687132599024</v>
      </c>
      <c r="J7" t="str">
        <f t="shared" si="6"/>
        <v>metal</v>
      </c>
      <c r="K7" s="342">
        <f t="shared" si="7"/>
        <v>0.6</v>
      </c>
      <c r="L7" s="342">
        <f t="shared" si="8"/>
        <v>-0.2</v>
      </c>
      <c r="M7" s="342">
        <f t="shared" si="8"/>
        <v>0.6</v>
      </c>
      <c r="N7" s="342">
        <f t="shared" si="8"/>
        <v>-0.2</v>
      </c>
      <c r="O7" s="342">
        <f t="shared" si="8"/>
        <v>-0.6</v>
      </c>
      <c r="P7" s="342">
        <f t="shared" si="9"/>
        <v>-0.2</v>
      </c>
      <c r="Q7" s="342">
        <f t="shared" si="9"/>
        <v>0.6</v>
      </c>
      <c r="R7" s="342">
        <f t="shared" si="9"/>
        <v>-0.2</v>
      </c>
      <c r="S7" s="342">
        <f t="shared" si="9"/>
        <v>0.2</v>
      </c>
      <c r="T7" s="342">
        <f t="shared" si="9"/>
        <v>0.2</v>
      </c>
      <c r="U7" s="342">
        <f t="shared" si="9"/>
        <v>0.2</v>
      </c>
      <c r="V7" s="342">
        <f t="shared" si="9"/>
        <v>0.6</v>
      </c>
      <c r="W7" s="286"/>
      <c r="X7" s="6"/>
      <c r="Y7" s="1" t="s">
        <v>347</v>
      </c>
      <c r="Z7" s="282">
        <f t="shared" si="10"/>
        <v>12802.343566299513</v>
      </c>
      <c r="AA7" s="282">
        <f t="shared" si="10"/>
        <v>2729.9171794759168</v>
      </c>
      <c r="AB7" s="282">
        <f t="shared" si="10"/>
        <v>-2729.9171794759168</v>
      </c>
      <c r="AC7" s="282">
        <f t="shared" si="10"/>
        <v>10681.831938391475</v>
      </c>
      <c r="AD7" s="282">
        <f t="shared" si="10"/>
        <v>-10681.831938391475</v>
      </c>
      <c r="AE7" s="282">
        <f t="shared" si="10"/>
        <v>10681.831938391475</v>
      </c>
      <c r="AF7" s="282">
        <f t="shared" si="10"/>
        <v>5342.2135522631706</v>
      </c>
      <c r="AG7" s="282">
        <f t="shared" si="10"/>
        <v>-5949.0239376961836</v>
      </c>
      <c r="AH7" s="282">
        <f t="shared" si="10"/>
        <v>-10714.312081932909</v>
      </c>
      <c r="AI7" s="282">
        <f t="shared" si="10"/>
        <v>10714.312081932909</v>
      </c>
      <c r="AJ7" s="282">
        <f t="shared" si="10"/>
        <v>-5981.5040812376174</v>
      </c>
      <c r="AK7" s="282">
        <f t="shared" si="10"/>
        <v>10714.312081932909</v>
      </c>
      <c r="AL7" s="282">
        <f t="shared" si="10"/>
        <v>-5981.5040812376174</v>
      </c>
      <c r="AM7" s="282">
        <f t="shared" si="10"/>
        <v>7462.7251801712082</v>
      </c>
      <c r="AN7" s="282">
        <f t="shared" si="10"/>
        <v>7462.7251801712082</v>
      </c>
      <c r="AO7" s="282">
        <f t="shared" si="10"/>
        <v>5949.0239376961836</v>
      </c>
      <c r="AP7" s="282">
        <f t="shared" si="10"/>
        <v>10714.312081932909</v>
      </c>
    </row>
    <row r="8" spans="1:42" outlineLevel="1" x14ac:dyDescent="0.25">
      <c r="A8" s="1" t="s">
        <v>1122</v>
      </c>
      <c r="B8" s="95">
        <f t="shared" si="11"/>
        <v>10</v>
      </c>
      <c r="C8" s="193">
        <f t="shared" si="12"/>
        <v>0.14084507042253522</v>
      </c>
      <c r="F8" s="294">
        <f t="shared" si="3"/>
        <v>1</v>
      </c>
      <c r="G8" s="137">
        <f t="shared" si="4"/>
        <v>13460.875242946484</v>
      </c>
      <c r="H8" s="143">
        <f t="shared" si="5"/>
        <v>1346.0875242946483</v>
      </c>
      <c r="I8" s="186">
        <f t="shared" si="13"/>
        <v>1346.0875242946483</v>
      </c>
      <c r="J8" t="str">
        <f t="shared" si="6"/>
        <v>rates</v>
      </c>
      <c r="K8" s="342">
        <f t="shared" si="7"/>
        <v>1</v>
      </c>
      <c r="L8" s="342">
        <f t="shared" si="8"/>
        <v>0.2</v>
      </c>
      <c r="M8" s="342">
        <f t="shared" si="8"/>
        <v>-0.2</v>
      </c>
      <c r="N8" s="342">
        <f t="shared" si="8"/>
        <v>0.2</v>
      </c>
      <c r="O8" s="342">
        <f t="shared" si="8"/>
        <v>1</v>
      </c>
      <c r="P8" s="342">
        <f t="shared" si="9"/>
        <v>-0.2</v>
      </c>
      <c r="Q8" s="342">
        <f t="shared" si="9"/>
        <v>0.2</v>
      </c>
      <c r="R8" s="342">
        <f t="shared" si="9"/>
        <v>-0.6</v>
      </c>
      <c r="S8" s="342">
        <f t="shared" si="9"/>
        <v>-1</v>
      </c>
      <c r="T8" s="342">
        <f t="shared" si="9"/>
        <v>-0.8</v>
      </c>
      <c r="U8" s="342">
        <f t="shared" si="9"/>
        <v>0.4</v>
      </c>
      <c r="V8" s="342">
        <f t="shared" si="9"/>
        <v>-1</v>
      </c>
      <c r="W8" s="286"/>
      <c r="X8" s="6"/>
      <c r="Y8" s="1" t="s">
        <v>1122</v>
      </c>
      <c r="Z8" s="282">
        <f t="shared" si="10"/>
        <v>13460.875242946484</v>
      </c>
      <c r="AA8" s="282">
        <f t="shared" si="10"/>
        <v>-13460.875242946484</v>
      </c>
      <c r="AB8" s="282">
        <f t="shared" si="10"/>
        <v>13460.875242946484</v>
      </c>
      <c r="AC8" s="282">
        <f t="shared" si="10"/>
        <v>13460.875242946484</v>
      </c>
      <c r="AD8" s="282">
        <f t="shared" si="10"/>
        <v>-13460.875242946484</v>
      </c>
      <c r="AE8" s="282">
        <f t="shared" si="10"/>
        <v>-4289.6449055659432</v>
      </c>
      <c r="AF8" s="282">
        <f t="shared" si="10"/>
        <v>2055.3186896749166</v>
      </c>
      <c r="AG8" s="282">
        <f t="shared" si="10"/>
        <v>2055.3186896749166</v>
      </c>
      <c r="AH8" s="282">
        <f t="shared" si="10"/>
        <v>13460.875242946484</v>
      </c>
      <c r="AI8" s="282">
        <f t="shared" si="10"/>
        <v>-13460.875242946484</v>
      </c>
      <c r="AJ8" s="282">
        <f t="shared" si="10"/>
        <v>-5924.7578573705669</v>
      </c>
      <c r="AK8" s="282">
        <f t="shared" si="10"/>
        <v>2055.3186896749166</v>
      </c>
      <c r="AL8" s="282">
        <f t="shared" si="10"/>
        <v>-10139.857661904378</v>
      </c>
      <c r="AM8" s="282">
        <f t="shared" si="10"/>
        <v>-13460.875242946484</v>
      </c>
      <c r="AN8" s="282">
        <f t="shared" si="10"/>
        <v>-10772.227598421254</v>
      </c>
      <c r="AO8" s="282">
        <f t="shared" si="10"/>
        <v>6557.1277938874455</v>
      </c>
      <c r="AP8" s="282">
        <f t="shared" si="10"/>
        <v>-13460.875242946484</v>
      </c>
    </row>
    <row r="9" spans="1:42" outlineLevel="1" x14ac:dyDescent="0.25">
      <c r="A9" s="17" t="s">
        <v>304</v>
      </c>
      <c r="B9" s="295">
        <f t="shared" si="11"/>
        <v>7</v>
      </c>
      <c r="C9" s="200">
        <f t="shared" si="12"/>
        <v>9.8591549295774641E-2</v>
      </c>
      <c r="D9" s="126"/>
      <c r="F9" s="294">
        <f t="shared" si="3"/>
        <v>0.14285714285714285</v>
      </c>
      <c r="G9" s="199">
        <f t="shared" si="4"/>
        <v>13425.517139884796</v>
      </c>
      <c r="H9" s="143">
        <f t="shared" si="5"/>
        <v>1917.9310199835422</v>
      </c>
      <c r="I9" s="186">
        <f t="shared" si="13"/>
        <v>-1464.3680573787465</v>
      </c>
      <c r="J9" t="str">
        <f t="shared" si="6"/>
        <v>soft</v>
      </c>
      <c r="K9" s="342">
        <f t="shared" si="7"/>
        <v>-0.42857142857142855</v>
      </c>
      <c r="L9" s="342">
        <f t="shared" si="8"/>
        <v>0.14285714285714285</v>
      </c>
      <c r="M9" s="342">
        <f t="shared" si="8"/>
        <v>0.14285714285714285</v>
      </c>
      <c r="N9" s="342">
        <f t="shared" si="8"/>
        <v>0.14285714285714285</v>
      </c>
      <c r="O9" s="342">
        <f t="shared" si="8"/>
        <v>0.14285714285714285</v>
      </c>
      <c r="P9" s="342">
        <f t="shared" si="9"/>
        <v>0.42857142857142855</v>
      </c>
      <c r="Q9" s="342">
        <f t="shared" si="9"/>
        <v>-0.14285714285714285</v>
      </c>
      <c r="R9" s="342">
        <f t="shared" si="9"/>
        <v>0.42857142857142855</v>
      </c>
      <c r="S9" s="342">
        <f t="shared" si="9"/>
        <v>0.14285714285714285</v>
      </c>
      <c r="T9" s="342">
        <f t="shared" si="9"/>
        <v>0.14285714285714285</v>
      </c>
      <c r="U9" s="342">
        <f t="shared" si="9"/>
        <v>-0.42857142857142855</v>
      </c>
      <c r="V9" s="342">
        <f t="shared" si="9"/>
        <v>0.14285714285714285</v>
      </c>
      <c r="W9" s="286"/>
      <c r="X9" s="6"/>
      <c r="Y9" s="17" t="s">
        <v>304</v>
      </c>
      <c r="Z9" s="283">
        <f t="shared" si="10"/>
        <v>13425.517139884796</v>
      </c>
      <c r="AA9" s="283">
        <f t="shared" si="10"/>
        <v>-10250.576401651226</v>
      </c>
      <c r="AB9" s="283">
        <f t="shared" si="10"/>
        <v>10250.576401651226</v>
      </c>
      <c r="AC9" s="283">
        <f t="shared" si="10"/>
        <v>5230.690357430236</v>
      </c>
      <c r="AD9" s="283">
        <f t="shared" si="10"/>
        <v>-5230.690357430236</v>
      </c>
      <c r="AE9" s="283">
        <f t="shared" si="10"/>
        <v>8245.7190560815907</v>
      </c>
      <c r="AF9" s="283">
        <f t="shared" si="10"/>
        <v>-1402.0416919597096</v>
      </c>
      <c r="AG9" s="283">
        <f t="shared" si="10"/>
        <v>-1402.0416919597096</v>
      </c>
      <c r="AH9" s="283">
        <f t="shared" si="10"/>
        <v>347.23006323077198</v>
      </c>
      <c r="AI9" s="283">
        <f t="shared" si="10"/>
        <v>-347.23006323077198</v>
      </c>
      <c r="AJ9" s="283">
        <f t="shared" si="10"/>
        <v>-5230.690357430236</v>
      </c>
      <c r="AK9" s="283">
        <f t="shared" si="10"/>
        <v>-1242.1296523774931</v>
      </c>
      <c r="AL9" s="283">
        <f t="shared" si="10"/>
        <v>-5230.690357430236</v>
      </c>
      <c r="AM9" s="283">
        <f t="shared" si="10"/>
        <v>-507.14210281298756</v>
      </c>
      <c r="AN9" s="283">
        <f t="shared" si="10"/>
        <v>-507.14210281298756</v>
      </c>
      <c r="AO9" s="283">
        <f t="shared" si="10"/>
        <v>5230.690357430236</v>
      </c>
      <c r="AP9" s="283">
        <f t="shared" si="10"/>
        <v>-507.14210281298756</v>
      </c>
    </row>
    <row r="10" spans="1:42" outlineLevel="1" x14ac:dyDescent="0.25">
      <c r="B10">
        <f>SUM(B2:B9)</f>
        <v>71</v>
      </c>
      <c r="C10" s="193">
        <f t="shared" si="12"/>
        <v>1</v>
      </c>
      <c r="D10" s="126"/>
      <c r="F10" s="294">
        <f>SUMIFS(H$14:H$92,H$14:H$92,1,$C$14:$C$92,"&lt;&gt;offline")/$B10</f>
        <v>0.52112676056338025</v>
      </c>
      <c r="G10" s="167">
        <f>SUM(G2:G9)</f>
        <v>87974.115614445967</v>
      </c>
      <c r="H10" s="143">
        <f t="shared" si="5"/>
        <v>1239.0720509076896</v>
      </c>
      <c r="I10" s="186">
        <f>SUM(F14:F92)/B10</f>
        <v>92.027709899475241</v>
      </c>
      <c r="J10" s="137"/>
      <c r="K10" s="6"/>
      <c r="L10" s="292"/>
      <c r="M10" s="286"/>
      <c r="N10" s="292"/>
      <c r="O10" s="6"/>
      <c r="R10" s="6"/>
      <c r="S10" s="286"/>
      <c r="T10" s="286"/>
      <c r="U10" s="286"/>
      <c r="V10" s="6"/>
      <c r="W10" s="286"/>
      <c r="X10" s="6"/>
      <c r="Y10" s="6" t="s">
        <v>1245</v>
      </c>
      <c r="Z10" s="284">
        <f>SUM(Z2:Z9)</f>
        <v>87974.115614445967</v>
      </c>
      <c r="AA10" s="284">
        <f t="shared" ref="AA10:AP10" si="14">SUM(AA2:AA9)</f>
        <v>-31684.893959493413</v>
      </c>
      <c r="AB10" s="284">
        <f t="shared" si="14"/>
        <v>31684.893959493413</v>
      </c>
      <c r="AC10" s="284">
        <f t="shared" si="14"/>
        <v>45369.872420534375</v>
      </c>
      <c r="AD10" s="284">
        <f t="shared" si="14"/>
        <v>-45369.872420534375</v>
      </c>
      <c r="AE10" s="284">
        <f t="shared" si="14"/>
        <v>18937.491320601388</v>
      </c>
      <c r="AF10" s="284">
        <f t="shared" si="14"/>
        <v>-161.88108328966473</v>
      </c>
      <c r="AG10" s="284">
        <f t="shared" si="14"/>
        <v>-10219.139399853715</v>
      </c>
      <c r="AH10" s="284">
        <f t="shared" si="14"/>
        <v>13274.702364347126</v>
      </c>
      <c r="AI10" s="284">
        <f t="shared" ref="AI10" si="15">SUM(AI2:AI9)</f>
        <v>-13274.702364347126</v>
      </c>
      <c r="AJ10" s="284">
        <f t="shared" si="14"/>
        <v>-10403.605013158096</v>
      </c>
      <c r="AK10" s="284">
        <f t="shared" si="14"/>
        <v>15394.65799030338</v>
      </c>
      <c r="AL10" s="284">
        <f t="shared" si="14"/>
        <v>-23756.918284764986</v>
      </c>
      <c r="AM10" s="284">
        <f t="shared" si="14"/>
        <v>-26942.595495703263</v>
      </c>
      <c r="AN10" s="284">
        <f t="shared" si="14"/>
        <v>-14974.130292427435</v>
      </c>
      <c r="AO10" s="284">
        <f t="shared" si="14"/>
        <v>26718.899512301636</v>
      </c>
      <c r="AP10" s="284">
        <f t="shared" si="14"/>
        <v>-14591.259412725265</v>
      </c>
    </row>
    <row r="11" spans="1:42" outlineLevel="1" x14ac:dyDescent="0.25">
      <c r="H11" t="s">
        <v>1158</v>
      </c>
      <c r="I11" s="95">
        <v>0.75</v>
      </c>
      <c r="J11">
        <v>0.5</v>
      </c>
      <c r="K11">
        <v>1</v>
      </c>
      <c r="X11" s="112" t="s">
        <v>1281</v>
      </c>
      <c r="Y11" s="352">
        <v>2477.3122879457305</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s="112" t="s">
        <v>1152</v>
      </c>
      <c r="Y12" s="112" t="s">
        <v>1313</v>
      </c>
      <c r="Z12" s="336" t="str">
        <f t="shared" ref="Z12:AP12" si="16">Z93&amp;" ACC "&amp;ROUND(Z94,2)*100&amp;"% PNL "&amp;ROUND(Z10,0)</f>
        <v>MAX ACC 100% PNL 87974</v>
      </c>
      <c r="AA12" s="308" t="str">
        <f t="shared" si="16"/>
        <v>RISK-ON ACC 31% PNL -31685</v>
      </c>
      <c r="AB12" s="308" t="str">
        <f t="shared" si="16"/>
        <v>RISK-OFF ACC 69% PNL 31685</v>
      </c>
      <c r="AC12" s="308" t="str">
        <f t="shared" si="16"/>
        <v>Previous ACC 61% PNL 45370</v>
      </c>
      <c r="AD12" s="337" t="str">
        <f t="shared" si="16"/>
        <v>Anti-Previous ACC 39% PNL -45370</v>
      </c>
      <c r="AE12" s="338" t="str">
        <f t="shared" si="16"/>
        <v>&gt;equity ACC 56% PNL 18937</v>
      </c>
      <c r="AF12" s="338" t="str">
        <f t="shared" si="16"/>
        <v>50/50 ACC 45% PNL -162</v>
      </c>
      <c r="AG12" s="338" t="str">
        <f t="shared" si="16"/>
        <v>&lt;equity ACC 44% PNL -10219</v>
      </c>
      <c r="AH12" s="339" t="str">
        <f t="shared" si="16"/>
        <v>SEASONALITY ACC 56% PNL 13275</v>
      </c>
      <c r="AI12" s="339" t="str">
        <f t="shared" si="16"/>
        <v>ANTI-SEASONALITY ACC 44% PNL -13275</v>
      </c>
      <c r="AJ12" s="339" t="str">
        <f t="shared" si="16"/>
        <v>ADJ_SEASONALITY ACC 46% PNL -10404</v>
      </c>
      <c r="AK12" s="340" t="str">
        <f t="shared" si="16"/>
        <v>V1 ACC 52% PNL 15395</v>
      </c>
      <c r="AL12" s="340" t="str">
        <f t="shared" si="16"/>
        <v>V2 ACC 46% PNL -23757</v>
      </c>
      <c r="AM12" s="340" t="str">
        <f t="shared" si="16"/>
        <v>V3 ACC 37% PNL -26943</v>
      </c>
      <c r="AN12" s="340" t="str">
        <f t="shared" si="16"/>
        <v>V4 ACC 41% PNL -14974</v>
      </c>
      <c r="AO12" s="340" t="str">
        <f t="shared" si="16"/>
        <v>V5 ACC 59% PNL 26719</v>
      </c>
      <c r="AP12" s="340" t="str">
        <f t="shared" si="16"/>
        <v>V6 ACC 45% PNL -14591</v>
      </c>
    </row>
    <row r="13" spans="1:42" ht="15.75" thickBot="1" x14ac:dyDescent="0.3">
      <c r="A13" s="3"/>
      <c r="B13" s="164"/>
      <c r="C13" s="164"/>
      <c r="E13" s="240">
        <f>COUNTIF(E14:E92,1)/COUNT(E14:E92)</f>
        <v>0.69620253164556967</v>
      </c>
      <c r="H13" s="240">
        <f>COUNTIF(H14:H92,1)/COUNT(H14:H92)</f>
        <v>0.54430379746835444</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3">
        <v>24646371.677310213</v>
      </c>
      <c r="Y13" s="353">
        <f>SUM(Y14:Y92)</f>
        <v>861779.10664455185</v>
      </c>
      <c r="Z13" s="187">
        <f t="shared" ref="Z13:AP13" si="19">SUM(Z14:Z92)</f>
        <v>88466.880515108074</v>
      </c>
      <c r="AA13" s="187">
        <f t="shared" si="19"/>
        <v>-32177.658860155512</v>
      </c>
      <c r="AB13" s="187">
        <f t="shared" si="19"/>
        <v>32177.658860155512</v>
      </c>
      <c r="AC13" s="187">
        <f>SUM(AC14:AC92)</f>
        <v>44877.107519872283</v>
      </c>
      <c r="AD13" s="187">
        <f t="shared" si="19"/>
        <v>-44877.107519872283</v>
      </c>
      <c r="AE13" s="187">
        <f t="shared" si="19"/>
        <v>18444.726419939296</v>
      </c>
      <c r="AF13" s="187">
        <f t="shared" si="19"/>
        <v>-654.64598395176267</v>
      </c>
      <c r="AG13" s="187">
        <f t="shared" si="19"/>
        <v>-10711.904300515816</v>
      </c>
      <c r="AH13" s="187">
        <f t="shared" si="19"/>
        <v>12781.937463685015</v>
      </c>
      <c r="AI13" s="187">
        <f t="shared" si="19"/>
        <v>-12781.937463685015</v>
      </c>
      <c r="AJ13" s="187">
        <f>SUM(AJ14:AJ92)</f>
        <v>-10896.369913820196</v>
      </c>
      <c r="AK13" s="187">
        <f>SUM(AK14:AK92)</f>
        <v>14901.893089641282</v>
      </c>
      <c r="AL13" s="187">
        <f t="shared" si="19"/>
        <v>-24249.683185427075</v>
      </c>
      <c r="AM13" s="187">
        <f>SUM(AM14:AM92)</f>
        <v>-26449.830595041174</v>
      </c>
      <c r="AN13" s="187">
        <f t="shared" si="19"/>
        <v>-15466.895193089538</v>
      </c>
      <c r="AO13" s="187">
        <f t="shared" si="19"/>
        <v>27211.664412963735</v>
      </c>
      <c r="AP13" s="187">
        <f t="shared" si="19"/>
        <v>-14098.494512063167</v>
      </c>
    </row>
    <row r="14" spans="1:42" ht="15.75" thickBot="1" x14ac:dyDescent="0.3">
      <c r="A14" s="328" t="s">
        <v>287</v>
      </c>
      <c r="B14" s="329" t="s">
        <v>558</v>
      </c>
      <c r="C14" s="330" t="s">
        <v>1285</v>
      </c>
      <c r="E14" s="201">
        <f>'0809'!H14</f>
        <v>-1</v>
      </c>
      <c r="F14" s="186">
        <f t="shared" ref="F14:F77" si="20">G14*X14</f>
        <v>0</v>
      </c>
      <c r="G14" s="201">
        <v>-3.5161744022500002E-3</v>
      </c>
      <c r="H14" s="202">
        <v>-1</v>
      </c>
      <c r="I14" s="202">
        <v>1</v>
      </c>
      <c r="J14" s="225">
        <v>-1</v>
      </c>
      <c r="K14" s="225">
        <v>1</v>
      </c>
      <c r="L14" s="201">
        <v>1</v>
      </c>
      <c r="M14" s="226">
        <v>-5</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4">
        <v>0</v>
      </c>
      <c r="Y14" s="354">
        <f>VLOOKUP(A14,'FuturesInfo (3)'!$A$2:$AI$80,35)*V14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'0809'!H15</f>
        <v>1</v>
      </c>
      <c r="F15" s="186">
        <f t="shared" si="20"/>
        <v>1297.2434055886556</v>
      </c>
      <c r="G15" s="202">
        <v>5.6150430921899997E-3</v>
      </c>
      <c r="H15" s="202">
        <v>1</v>
      </c>
      <c r="I15" s="202">
        <v>1</v>
      </c>
      <c r="J15" s="227">
        <v>-1</v>
      </c>
      <c r="K15" s="227">
        <v>1</v>
      </c>
      <c r="L15" s="202">
        <v>-1</v>
      </c>
      <c r="M15" s="228">
        <v>-12</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4">
        <v>231030</v>
      </c>
      <c r="Y15" s="354">
        <f>VLOOKUP(A15,'FuturesInfo (3)'!$A$2:$AI$80,35)*V15</f>
        <v>7968</v>
      </c>
      <c r="Z15" s="188">
        <f t="shared" si="26"/>
        <v>1297.2434055886556</v>
      </c>
      <c r="AA15" s="188">
        <f>IF(IF(sym!$Q4=H15,1,0)=1,ABS(X15*G15),-ABS(X15*G15))</f>
        <v>1297.2434055886556</v>
      </c>
      <c r="AB15" s="188">
        <f>IF(IF(sym!$P4=$H15,1,0)=1,ABS($X15*$G15),-ABS($X15*$G15))</f>
        <v>-1297.2434055886556</v>
      </c>
      <c r="AC15" s="188">
        <f>IF(IF(E15=H15,1,0)=1,ABS(X15*G15),-ABS(X15*G15))</f>
        <v>1297.2434055886556</v>
      </c>
      <c r="AD15" s="188">
        <f t="shared" si="27"/>
        <v>-1297.2434055886556</v>
      </c>
      <c r="AE15" s="188">
        <f t="shared" si="28"/>
        <v>-1297.2434055886556</v>
      </c>
      <c r="AF15" s="188">
        <f t="shared" ref="AF15:AF78" si="37">IF(IF(I15=H15,1,0)=1,ABS(X15*G15),-ABS(X15*G15))</f>
        <v>1297.2434055886556</v>
      </c>
      <c r="AG15" s="188">
        <f t="shared" ref="AG15:AG78" si="38">IF(IF(K15=H15,1,0)=1,ABS(X15*G15),-ABS(X15*G15))</f>
        <v>1297.2434055886556</v>
      </c>
      <c r="AH15" s="188">
        <f t="shared" ref="AH15:AH78" si="39">IF(IF(L15=H15,1,0)=1,ABS(X15*G15),-ABS(X15*G15))</f>
        <v>-1297.2434055886556</v>
      </c>
      <c r="AI15" s="188">
        <f t="shared" ref="AI15:AI78" si="40">IF(IF(-L15=H15,1,0)=1,ABS(X15*G15),-ABS(X15*G15))</f>
        <v>1297.2434055886556</v>
      </c>
      <c r="AJ15" s="188">
        <f t="shared" ref="AJ15:AJ78" si="41">IF(IF(O15=H15,1,0)=1,ABS(X15*G15),-ABS(X15*G15))</f>
        <v>1297.2434055886556</v>
      </c>
      <c r="AK15" s="188">
        <f t="shared" si="29"/>
        <v>1297.2434055886556</v>
      </c>
      <c r="AL15" s="188">
        <f t="shared" si="30"/>
        <v>-1297.2434055886556</v>
      </c>
      <c r="AM15" s="188">
        <f t="shared" si="31"/>
        <v>1297.2434055886556</v>
      </c>
      <c r="AN15" s="188">
        <f t="shared" si="32"/>
        <v>1297.2434055886556</v>
      </c>
      <c r="AO15" s="188">
        <f t="shared" si="33"/>
        <v>-1297.2434055886556</v>
      </c>
      <c r="AP15" s="188">
        <f t="shared" si="34"/>
        <v>-1297.2434055886556</v>
      </c>
    </row>
    <row r="16" spans="1:42" ht="15.75" thickBot="1" x14ac:dyDescent="0.3">
      <c r="A16" s="1" t="s">
        <v>292</v>
      </c>
      <c r="B16" s="149" t="s">
        <v>292</v>
      </c>
      <c r="C16" s="192" t="s">
        <v>294</v>
      </c>
      <c r="E16" s="201">
        <f>'0809'!H16</f>
        <v>1</v>
      </c>
      <c r="F16" s="186">
        <f t="shared" si="20"/>
        <v>-757.11066150525585</v>
      </c>
      <c r="G16" s="202">
        <v>-3.75981422094E-3</v>
      </c>
      <c r="H16" s="202">
        <v>-1</v>
      </c>
      <c r="I16" s="202">
        <v>1</v>
      </c>
      <c r="J16" s="227">
        <v>1</v>
      </c>
      <c r="K16" s="227">
        <v>1</v>
      </c>
      <c r="L16" s="202">
        <v>-1</v>
      </c>
      <c r="M16" s="228">
        <v>-5</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4">
        <v>201369.16799999998</v>
      </c>
      <c r="Y16" s="354">
        <f>VLOOKUP(A16,'FuturesInfo (3)'!$A$2:$AI$80,35)*V16</f>
        <v>21702.815999999999</v>
      </c>
      <c r="Z16" s="188">
        <f t="shared" si="26"/>
        <v>757.11066150525585</v>
      </c>
      <c r="AA16" s="188">
        <f>IF(IF(sym!$Q5=H16,1,0)=1,ABS(X16*G16),-ABS(X16*G16))</f>
        <v>-757.11066150525585</v>
      </c>
      <c r="AB16" s="188">
        <f>IF(IF(sym!$P5=$H16,1,0)=1,ABS($X16*$G16),-ABS($X16*$G16))</f>
        <v>757.11066150525585</v>
      </c>
      <c r="AC16" s="188">
        <f t="shared" ref="AC16:AC79" si="42">IF(IF(E16=H16,1,0)=1,ABS(X16*G16),-ABS(X16*G16))</f>
        <v>-757.11066150525585</v>
      </c>
      <c r="AD16" s="188">
        <f t="shared" si="27"/>
        <v>757.11066150525585</v>
      </c>
      <c r="AE16" s="188">
        <f t="shared" si="28"/>
        <v>-757.11066150525585</v>
      </c>
      <c r="AF16" s="188">
        <f t="shared" si="37"/>
        <v>-757.11066150525585</v>
      </c>
      <c r="AG16" s="188">
        <f t="shared" si="38"/>
        <v>-757.11066150525585</v>
      </c>
      <c r="AH16" s="188">
        <f t="shared" si="39"/>
        <v>757.11066150525585</v>
      </c>
      <c r="AI16" s="188">
        <f t="shared" si="40"/>
        <v>-757.11066150525585</v>
      </c>
      <c r="AJ16" s="188">
        <f t="shared" si="41"/>
        <v>-757.11066150525585</v>
      </c>
      <c r="AK16" s="188">
        <f t="shared" si="29"/>
        <v>-757.11066150525585</v>
      </c>
      <c r="AL16" s="188">
        <f t="shared" si="30"/>
        <v>-757.11066150525585</v>
      </c>
      <c r="AM16" s="188">
        <f t="shared" si="31"/>
        <v>-757.11066150525585</v>
      </c>
      <c r="AN16" s="188">
        <f t="shared" si="32"/>
        <v>-757.11066150525585</v>
      </c>
      <c r="AO16" s="188">
        <f t="shared" si="33"/>
        <v>757.11066150525585</v>
      </c>
      <c r="AP16" s="188">
        <f t="shared" si="34"/>
        <v>-757.11066150525585</v>
      </c>
    </row>
    <row r="17" spans="1:42" ht="15.75" thickBot="1" x14ac:dyDescent="0.3">
      <c r="A17" s="1" t="s">
        <v>295</v>
      </c>
      <c r="B17" s="149" t="s">
        <v>728</v>
      </c>
      <c r="C17" s="192" t="s">
        <v>297</v>
      </c>
      <c r="E17" s="201">
        <f>'0809'!H17</f>
        <v>1</v>
      </c>
      <c r="F17" s="186">
        <f t="shared" si="20"/>
        <v>1030.957345976082</v>
      </c>
      <c r="G17" s="202">
        <v>1.0742496050600001E-2</v>
      </c>
      <c r="H17" s="202">
        <v>1</v>
      </c>
      <c r="I17" s="202">
        <v>-1</v>
      </c>
      <c r="J17" s="227">
        <v>-1</v>
      </c>
      <c r="K17" s="227">
        <v>1</v>
      </c>
      <c r="L17" s="202">
        <v>-1</v>
      </c>
      <c r="M17" s="228">
        <v>-5</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4">
        <v>95970</v>
      </c>
      <c r="Y17" s="354">
        <f>VLOOKUP(A17,'FuturesInfo (3)'!$A$2:$AI$80,35)*V17</f>
        <v>4685</v>
      </c>
      <c r="Z17" s="188">
        <f t="shared" si="26"/>
        <v>1030.957345976082</v>
      </c>
      <c r="AA17" s="188">
        <f>IF(IF(sym!$Q6=H17,1,0)=1,ABS(X17*G17),-ABS(X17*G17))</f>
        <v>1030.957345976082</v>
      </c>
      <c r="AB17" s="188">
        <f>IF(IF(sym!$P6=$H17,1,0)=1,ABS($X17*$G17),-ABS($X17*$G17))</f>
        <v>-1030.957345976082</v>
      </c>
      <c r="AC17" s="188">
        <f t="shared" si="42"/>
        <v>1030.957345976082</v>
      </c>
      <c r="AD17" s="188">
        <f t="shared" si="27"/>
        <v>-1030.957345976082</v>
      </c>
      <c r="AE17" s="188">
        <f t="shared" si="28"/>
        <v>-1030.957345976082</v>
      </c>
      <c r="AF17" s="188">
        <f t="shared" si="37"/>
        <v>-1030.957345976082</v>
      </c>
      <c r="AG17" s="188">
        <f t="shared" si="38"/>
        <v>1030.957345976082</v>
      </c>
      <c r="AH17" s="188">
        <f t="shared" si="39"/>
        <v>-1030.957345976082</v>
      </c>
      <c r="AI17" s="188">
        <f t="shared" si="40"/>
        <v>1030.957345976082</v>
      </c>
      <c r="AJ17" s="188">
        <f t="shared" si="41"/>
        <v>1030.957345976082</v>
      </c>
      <c r="AK17" s="188">
        <f t="shared" si="29"/>
        <v>1030.957345976082</v>
      </c>
      <c r="AL17" s="188">
        <f t="shared" si="30"/>
        <v>-1030.957345976082</v>
      </c>
      <c r="AM17" s="188">
        <f t="shared" si="31"/>
        <v>-1030.957345976082</v>
      </c>
      <c r="AN17" s="188">
        <f t="shared" si="32"/>
        <v>-1030.957345976082</v>
      </c>
      <c r="AO17" s="188">
        <f t="shared" si="33"/>
        <v>-1030.957345976082</v>
      </c>
      <c r="AP17" s="188">
        <f t="shared" si="34"/>
        <v>-1030.957345976082</v>
      </c>
    </row>
    <row r="18" spans="1:42" ht="15.75" thickBot="1" x14ac:dyDescent="0.3">
      <c r="A18" s="1" t="s">
        <v>298</v>
      </c>
      <c r="B18" s="149" t="s">
        <v>479</v>
      </c>
      <c r="C18" s="192" t="s">
        <v>1121</v>
      </c>
      <c r="E18" s="201">
        <f>'0809'!H18</f>
        <v>-1</v>
      </c>
      <c r="F18" s="186">
        <f t="shared" si="20"/>
        <v>206.42439849341625</v>
      </c>
      <c r="G18" s="202">
        <v>8.4556845261000004E-4</v>
      </c>
      <c r="H18" s="202">
        <v>1</v>
      </c>
      <c r="I18" s="202">
        <v>-1</v>
      </c>
      <c r="J18" s="227">
        <v>1</v>
      </c>
      <c r="K18" s="227">
        <v>-1</v>
      </c>
      <c r="L18" s="202">
        <v>-1</v>
      </c>
      <c r="M18" s="228">
        <v>5</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4">
        <v>244125</v>
      </c>
      <c r="Y18" s="354">
        <f>VLOOKUP(A18,'FuturesInfo (3)'!$A$2:$AI$80,35)*V18</f>
        <v>8889</v>
      </c>
      <c r="Z18" s="188">
        <f t="shared" si="26"/>
        <v>206.42439849341625</v>
      </c>
      <c r="AA18" s="188">
        <f>IF(IF(sym!$Q7=H18,1,0)=1,ABS(X18*G18),-ABS(X18*G18))</f>
        <v>206.42439849341625</v>
      </c>
      <c r="AB18" s="188">
        <f>IF(IF(sym!$P7=$H18,1,0)=1,ABS($X18*$G18),-ABS($X18*$G18))</f>
        <v>-206.42439849341625</v>
      </c>
      <c r="AC18" s="188">
        <f t="shared" si="42"/>
        <v>-206.42439849341625</v>
      </c>
      <c r="AD18" s="188">
        <f t="shared" si="27"/>
        <v>206.42439849341625</v>
      </c>
      <c r="AE18" s="188">
        <f t="shared" si="28"/>
        <v>206.42439849341625</v>
      </c>
      <c r="AF18" s="188">
        <f t="shared" si="37"/>
        <v>-206.42439849341625</v>
      </c>
      <c r="AG18" s="188">
        <f t="shared" si="38"/>
        <v>-206.42439849341625</v>
      </c>
      <c r="AH18" s="188">
        <f t="shared" si="39"/>
        <v>-206.42439849341625</v>
      </c>
      <c r="AI18" s="188">
        <f t="shared" si="40"/>
        <v>206.42439849341625</v>
      </c>
      <c r="AJ18" s="188">
        <f t="shared" si="41"/>
        <v>-206.42439849341625</v>
      </c>
      <c r="AK18" s="188">
        <f t="shared" si="29"/>
        <v>-206.42439849341625</v>
      </c>
      <c r="AL18" s="188">
        <f t="shared" si="30"/>
        <v>206.42439849341625</v>
      </c>
      <c r="AM18" s="188">
        <f t="shared" si="31"/>
        <v>206.42439849341625</v>
      </c>
      <c r="AN18" s="188">
        <f t="shared" si="32"/>
        <v>206.42439849341625</v>
      </c>
      <c r="AO18" s="188">
        <f t="shared" si="33"/>
        <v>206.42439849341625</v>
      </c>
      <c r="AP18" s="188">
        <f t="shared" si="34"/>
        <v>206.42439849341625</v>
      </c>
    </row>
    <row r="19" spans="1:42" ht="15.75" thickBot="1" x14ac:dyDescent="0.3">
      <c r="A19" s="1" t="s">
        <v>300</v>
      </c>
      <c r="B19" s="149" t="s">
        <v>518</v>
      </c>
      <c r="C19" s="192" t="s">
        <v>297</v>
      </c>
      <c r="E19" s="201">
        <f>'0809'!H19</f>
        <v>-1</v>
      </c>
      <c r="F19" s="186">
        <f t="shared" si="20"/>
        <v>150.22556391015002</v>
      </c>
      <c r="G19" s="202">
        <v>1.5037593985000001E-3</v>
      </c>
      <c r="H19" s="202">
        <v>1</v>
      </c>
      <c r="I19" s="202">
        <v>-1</v>
      </c>
      <c r="J19" s="227">
        <v>1</v>
      </c>
      <c r="K19" s="227">
        <v>-1</v>
      </c>
      <c r="L19" s="202">
        <v>1</v>
      </c>
      <c r="M19" s="228">
        <v>-8</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4">
        <v>99900</v>
      </c>
      <c r="Y19" s="354">
        <f>VLOOKUP(A19,'FuturesInfo (3)'!$A$2:$AI$80,35)*V19</f>
        <v>13500</v>
      </c>
      <c r="Z19" s="188">
        <f t="shared" si="26"/>
        <v>150.22556391015002</v>
      </c>
      <c r="AA19" s="188">
        <f>IF(IF(sym!$Q8=H19,1,0)=1,ABS(X19*G19),-ABS(X19*G19))</f>
        <v>150.22556391015002</v>
      </c>
      <c r="AB19" s="188">
        <f>IF(IF(sym!$P8=$H19,1,0)=1,ABS($X19*$G19),-ABS($X19*$G19))</f>
        <v>-150.22556391015002</v>
      </c>
      <c r="AC19" s="188">
        <f t="shared" si="42"/>
        <v>-150.22556391015002</v>
      </c>
      <c r="AD19" s="188">
        <f t="shared" si="27"/>
        <v>150.22556391015002</v>
      </c>
      <c r="AE19" s="188">
        <f t="shared" si="28"/>
        <v>150.22556391015002</v>
      </c>
      <c r="AF19" s="188">
        <f t="shared" si="37"/>
        <v>-150.22556391015002</v>
      </c>
      <c r="AG19" s="188">
        <f t="shared" si="38"/>
        <v>-150.22556391015002</v>
      </c>
      <c r="AH19" s="188">
        <f t="shared" si="39"/>
        <v>150.22556391015002</v>
      </c>
      <c r="AI19" s="188">
        <f t="shared" si="40"/>
        <v>-150.22556391015002</v>
      </c>
      <c r="AJ19" s="188">
        <f t="shared" si="41"/>
        <v>-150.22556391015002</v>
      </c>
      <c r="AK19" s="188">
        <f t="shared" si="29"/>
        <v>-150.22556391015002</v>
      </c>
      <c r="AL19" s="188">
        <f t="shared" si="30"/>
        <v>150.22556391015002</v>
      </c>
      <c r="AM19" s="188">
        <f t="shared" si="31"/>
        <v>-150.22556391015002</v>
      </c>
      <c r="AN19" s="188">
        <f t="shared" si="32"/>
        <v>-150.22556391015002</v>
      </c>
      <c r="AO19" s="188">
        <f t="shared" si="33"/>
        <v>150.22556391015002</v>
      </c>
      <c r="AP19" s="188">
        <f t="shared" si="34"/>
        <v>150.22556391015002</v>
      </c>
    </row>
    <row r="20" spans="1:42" ht="15.75" thickBot="1" x14ac:dyDescent="0.3">
      <c r="A20" s="1" t="s">
        <v>302</v>
      </c>
      <c r="B20" s="149" t="s">
        <v>509</v>
      </c>
      <c r="C20" s="192" t="s">
        <v>304</v>
      </c>
      <c r="E20" s="201">
        <f>'0809'!H20</f>
        <v>-1</v>
      </c>
      <c r="F20" s="186">
        <f t="shared" si="20"/>
        <v>1587.4703691167852</v>
      </c>
      <c r="G20" s="202">
        <v>1.7609210971900002E-2</v>
      </c>
      <c r="H20" s="202">
        <v>1</v>
      </c>
      <c r="I20" s="202">
        <v>-1</v>
      </c>
      <c r="J20" s="227">
        <v>1</v>
      </c>
      <c r="K20" s="227">
        <v>-1</v>
      </c>
      <c r="L20" s="202">
        <v>-1</v>
      </c>
      <c r="M20" s="228">
        <v>-7</v>
      </c>
      <c r="N20" s="288">
        <v>42580</v>
      </c>
      <c r="O20">
        <f t="shared" si="21"/>
        <v>1</v>
      </c>
      <c r="P20">
        <f t="shared" si="35"/>
        <v>-1</v>
      </c>
      <c r="Q20">
        <f t="shared" si="22"/>
        <v>1</v>
      </c>
      <c r="R20">
        <f t="shared" si="23"/>
        <v>1</v>
      </c>
      <c r="S20">
        <f t="shared" si="24"/>
        <v>1</v>
      </c>
      <c r="T20">
        <f t="shared" si="25"/>
        <v>-1</v>
      </c>
      <c r="U20">
        <f t="shared" si="36"/>
        <v>1</v>
      </c>
      <c r="V20">
        <f>VLOOKUP($A20,'FuturesInfo (3)'!$A$2:$V$80,22)</f>
        <v>4</v>
      </c>
      <c r="W20">
        <v>1</v>
      </c>
      <c r="X20" s="354">
        <v>90150</v>
      </c>
      <c r="Y20" s="354">
        <f>VLOOKUP(A20,'FuturesInfo (3)'!$A$2:$AI$80,35)*V20</f>
        <v>12000</v>
      </c>
      <c r="Z20" s="188">
        <f t="shared" si="26"/>
        <v>1587.4703691167852</v>
      </c>
      <c r="AA20" s="188">
        <f>IF(IF(sym!$Q9=H20,1,0)=1,ABS(X20*G20),-ABS(X20*G20))</f>
        <v>1587.4703691167852</v>
      </c>
      <c r="AB20" s="188">
        <f>IF(IF(sym!$P9=$H20,1,0)=1,ABS($X20*$G20),-ABS($X20*$G20))</f>
        <v>-1587.4703691167852</v>
      </c>
      <c r="AC20" s="188">
        <f t="shared" si="42"/>
        <v>-1587.4703691167852</v>
      </c>
      <c r="AD20" s="188">
        <f t="shared" si="27"/>
        <v>1587.4703691167852</v>
      </c>
      <c r="AE20" s="188">
        <f t="shared" si="28"/>
        <v>1587.4703691167852</v>
      </c>
      <c r="AF20" s="188">
        <f t="shared" si="37"/>
        <v>-1587.4703691167852</v>
      </c>
      <c r="AG20" s="188">
        <f t="shared" si="38"/>
        <v>-1587.4703691167852</v>
      </c>
      <c r="AH20" s="188">
        <f t="shared" si="39"/>
        <v>-1587.4703691167852</v>
      </c>
      <c r="AI20" s="188">
        <f t="shared" si="40"/>
        <v>1587.4703691167852</v>
      </c>
      <c r="AJ20" s="188">
        <f t="shared" si="41"/>
        <v>1587.4703691167852</v>
      </c>
      <c r="AK20" s="188">
        <f t="shared" si="29"/>
        <v>-1587.4703691167852</v>
      </c>
      <c r="AL20" s="188">
        <f t="shared" si="30"/>
        <v>1587.4703691167852</v>
      </c>
      <c r="AM20" s="188">
        <f t="shared" si="31"/>
        <v>1587.4703691167852</v>
      </c>
      <c r="AN20" s="188">
        <f t="shared" si="32"/>
        <v>1587.4703691167852</v>
      </c>
      <c r="AO20" s="188">
        <f t="shared" si="33"/>
        <v>-1587.4703691167852</v>
      </c>
      <c r="AP20" s="188">
        <f t="shared" si="34"/>
        <v>1587.4703691167852</v>
      </c>
    </row>
    <row r="21" spans="1:42" ht="15.75" thickBot="1" x14ac:dyDescent="0.3">
      <c r="A21" s="1" t="s">
        <v>305</v>
      </c>
      <c r="B21" s="149" t="s">
        <v>488</v>
      </c>
      <c r="C21" s="192" t="s">
        <v>1121</v>
      </c>
      <c r="E21" s="201">
        <f>'0809'!H21</f>
        <v>1</v>
      </c>
      <c r="F21" s="186">
        <f t="shared" si="20"/>
        <v>1871.3593380620716</v>
      </c>
      <c r="G21" s="202">
        <v>6.1071710007899998E-3</v>
      </c>
      <c r="H21" s="202">
        <v>1</v>
      </c>
      <c r="I21" s="202">
        <v>-1</v>
      </c>
      <c r="J21" s="227">
        <v>-1</v>
      </c>
      <c r="K21" s="227">
        <v>-1</v>
      </c>
      <c r="L21" s="202">
        <v>-1</v>
      </c>
      <c r="M21" s="228">
        <v>3</v>
      </c>
      <c r="N21" s="288">
        <v>42576</v>
      </c>
      <c r="O21">
        <f t="shared" si="21"/>
        <v>-1</v>
      </c>
      <c r="P21">
        <f t="shared" si="35"/>
        <v>1</v>
      </c>
      <c r="Q21">
        <f t="shared" si="22"/>
        <v>-1</v>
      </c>
      <c r="R21">
        <f t="shared" si="23"/>
        <v>-1</v>
      </c>
      <c r="S21">
        <f t="shared" si="24"/>
        <v>-1</v>
      </c>
      <c r="T21">
        <f t="shared" si="25"/>
        <v>1</v>
      </c>
      <c r="U21">
        <f t="shared" si="36"/>
        <v>-1</v>
      </c>
      <c r="V21">
        <f>VLOOKUP($A21,'FuturesInfo (3)'!$A$2:$V$80,22)</f>
        <v>4</v>
      </c>
      <c r="W21">
        <v>1</v>
      </c>
      <c r="X21" s="354">
        <v>306420</v>
      </c>
      <c r="Y21" s="354">
        <f>VLOOKUP(A21,'FuturesInfo (3)'!$A$2:$AI$80,35)*V21</f>
        <v>10428</v>
      </c>
      <c r="Z21" s="188">
        <f t="shared" si="26"/>
        <v>1871.3593380620716</v>
      </c>
      <c r="AA21" s="188">
        <f>IF(IF(sym!$Q10=H21,1,0)=1,ABS(X21*G21),-ABS(X21*G21))</f>
        <v>1871.3593380620716</v>
      </c>
      <c r="AB21" s="188">
        <f>IF(IF(sym!$P10=$H21,1,0)=1,ABS($X21*$G21),-ABS($X21*$G21))</f>
        <v>-1871.3593380620716</v>
      </c>
      <c r="AC21" s="188">
        <f t="shared" si="42"/>
        <v>1871.3593380620716</v>
      </c>
      <c r="AD21" s="188">
        <f t="shared" si="27"/>
        <v>-1871.3593380620716</v>
      </c>
      <c r="AE21" s="188">
        <f t="shared" si="28"/>
        <v>-1871.3593380620716</v>
      </c>
      <c r="AF21" s="188">
        <f t="shared" si="37"/>
        <v>-1871.3593380620716</v>
      </c>
      <c r="AG21" s="188">
        <f t="shared" si="38"/>
        <v>-1871.3593380620716</v>
      </c>
      <c r="AH21" s="188">
        <f t="shared" si="39"/>
        <v>-1871.3593380620716</v>
      </c>
      <c r="AI21" s="188">
        <f t="shared" si="40"/>
        <v>1871.3593380620716</v>
      </c>
      <c r="AJ21" s="188">
        <f t="shared" si="41"/>
        <v>-1871.3593380620716</v>
      </c>
      <c r="AK21" s="188">
        <f t="shared" si="29"/>
        <v>1871.3593380620716</v>
      </c>
      <c r="AL21" s="188">
        <f t="shared" si="30"/>
        <v>-1871.3593380620716</v>
      </c>
      <c r="AM21" s="188">
        <f t="shared" si="31"/>
        <v>-1871.3593380620716</v>
      </c>
      <c r="AN21" s="188">
        <f t="shared" si="32"/>
        <v>-1871.3593380620716</v>
      </c>
      <c r="AO21" s="188">
        <f t="shared" si="33"/>
        <v>1871.3593380620716</v>
      </c>
      <c r="AP21" s="188">
        <f t="shared" si="34"/>
        <v>-1871.3593380620716</v>
      </c>
    </row>
    <row r="22" spans="1:42" ht="15.75" thickBot="1" x14ac:dyDescent="0.3">
      <c r="A22" s="328" t="s">
        <v>307</v>
      </c>
      <c r="B22" s="329" t="s">
        <v>484</v>
      </c>
      <c r="C22" s="330" t="s">
        <v>1285</v>
      </c>
      <c r="E22" s="201">
        <f>'0809'!H22</f>
        <v>1</v>
      </c>
      <c r="F22" s="186">
        <f t="shared" si="20"/>
        <v>0</v>
      </c>
      <c r="G22" s="202">
        <v>1.61485668147E-3</v>
      </c>
      <c r="H22" s="202">
        <v>1</v>
      </c>
      <c r="I22" s="227">
        <v>1</v>
      </c>
      <c r="J22" s="227">
        <v>-1</v>
      </c>
      <c r="K22" s="227">
        <v>1</v>
      </c>
      <c r="L22" s="202">
        <v>1</v>
      </c>
      <c r="M22" s="228">
        <v>4</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4">
        <v>0</v>
      </c>
      <c r="Y22" s="354">
        <f>VLOOKUP(A22,'FuturesInfo (3)'!$A$2:$AI$80,35)*V22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'0809'!H23</f>
        <v>-1</v>
      </c>
      <c r="F23" s="186">
        <f t="shared" si="20"/>
        <v>-2067.4584989489881</v>
      </c>
      <c r="G23" s="202">
        <v>-2.47837269114E-2</v>
      </c>
      <c r="H23" s="202">
        <v>-1</v>
      </c>
      <c r="I23" s="227">
        <v>-1</v>
      </c>
      <c r="J23" s="227">
        <v>1</v>
      </c>
      <c r="K23" s="227">
        <v>-1</v>
      </c>
      <c r="L23" s="202">
        <v>-1</v>
      </c>
      <c r="M23" s="228">
        <v>-5</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4">
        <v>83420</v>
      </c>
      <c r="Y23" s="354">
        <f>VLOOKUP(A23,'FuturesInfo (3)'!$A$2:$AI$80,35)*V23</f>
        <v>9180</v>
      </c>
      <c r="Z23" s="188">
        <f t="shared" si="26"/>
        <v>2067.4584989489881</v>
      </c>
      <c r="AA23" s="188">
        <f>IF(IF(sym!$Q12=H23,1,0)=1,ABS(X23*G23),-ABS(X23*G23))</f>
        <v>-2067.4584989489881</v>
      </c>
      <c r="AB23" s="188">
        <f>IF(IF(sym!$P12=$H23,1,0)=1,ABS($X23*$G23),-ABS($X23*$G23))</f>
        <v>2067.4584989489881</v>
      </c>
      <c r="AC23" s="188">
        <f t="shared" si="42"/>
        <v>2067.4584989489881</v>
      </c>
      <c r="AD23" s="188">
        <f t="shared" si="27"/>
        <v>-2067.4584989489881</v>
      </c>
      <c r="AE23" s="188">
        <f t="shared" si="28"/>
        <v>-2067.4584989489881</v>
      </c>
      <c r="AF23" s="188">
        <f t="shared" si="37"/>
        <v>2067.4584989489881</v>
      </c>
      <c r="AG23" s="188">
        <f t="shared" si="38"/>
        <v>2067.4584989489881</v>
      </c>
      <c r="AH23" s="188">
        <f t="shared" si="39"/>
        <v>2067.4584989489881</v>
      </c>
      <c r="AI23" s="188">
        <f t="shared" si="40"/>
        <v>-2067.4584989489881</v>
      </c>
      <c r="AJ23" s="188">
        <f t="shared" si="41"/>
        <v>-2067.4584989489881</v>
      </c>
      <c r="AK23" s="188">
        <f t="shared" si="29"/>
        <v>2067.4584989489881</v>
      </c>
      <c r="AL23" s="188">
        <f t="shared" si="30"/>
        <v>-2067.4584989489881</v>
      </c>
      <c r="AM23" s="188">
        <f t="shared" si="31"/>
        <v>-2067.4584989489881</v>
      </c>
      <c r="AN23" s="188">
        <f t="shared" si="32"/>
        <v>-2067.4584989489881</v>
      </c>
      <c r="AO23" s="188">
        <f t="shared" si="33"/>
        <v>2067.4584989489881</v>
      </c>
      <c r="AP23" s="188">
        <f t="shared" si="34"/>
        <v>-2067.4584989489881</v>
      </c>
    </row>
    <row r="24" spans="1:42" ht="15.75" thickBot="1" x14ac:dyDescent="0.3">
      <c r="A24" s="1" t="s">
        <v>311</v>
      </c>
      <c r="B24" s="149" t="s">
        <v>520</v>
      </c>
      <c r="C24" s="192" t="s">
        <v>304</v>
      </c>
      <c r="E24" s="201">
        <f>'0809'!H24</f>
        <v>-1</v>
      </c>
      <c r="F24" s="186">
        <f t="shared" si="20"/>
        <v>-2361.774127308624</v>
      </c>
      <c r="G24" s="202">
        <v>-2.2039698836400001E-2</v>
      </c>
      <c r="H24" s="233">
        <v>-1</v>
      </c>
      <c r="I24" s="229">
        <v>-1</v>
      </c>
      <c r="J24" s="229">
        <v>-1</v>
      </c>
      <c r="K24" s="229">
        <v>-1</v>
      </c>
      <c r="L24" s="202">
        <v>1</v>
      </c>
      <c r="M24" s="228">
        <v>2</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4">
        <v>107160</v>
      </c>
      <c r="Y24" s="354">
        <f>VLOOKUP(A24,'FuturesInfo (3)'!$A$2:$AI$80,35)*V24</f>
        <v>4503</v>
      </c>
      <c r="Z24" s="188">
        <f t="shared" si="26"/>
        <v>2361.774127308624</v>
      </c>
      <c r="AA24" s="188">
        <f>IF(IF(sym!$Q13=H24,1,0)=1,ABS(X24*G24),-ABS(X24*G24))</f>
        <v>-2361.774127308624</v>
      </c>
      <c r="AB24" s="188">
        <f>IF(IF(sym!$P13=$H24,1,0)=1,ABS($X24*$G24),-ABS($X24*$G24))</f>
        <v>2361.774127308624</v>
      </c>
      <c r="AC24" s="188">
        <f t="shared" si="42"/>
        <v>2361.774127308624</v>
      </c>
      <c r="AD24" s="188">
        <f t="shared" si="27"/>
        <v>-2361.774127308624</v>
      </c>
      <c r="AE24" s="188">
        <f t="shared" si="28"/>
        <v>2361.774127308624</v>
      </c>
      <c r="AF24" s="188">
        <f t="shared" si="37"/>
        <v>2361.774127308624</v>
      </c>
      <c r="AG24" s="188">
        <f t="shared" si="38"/>
        <v>2361.774127308624</v>
      </c>
      <c r="AH24" s="188">
        <f t="shared" si="39"/>
        <v>-2361.774127308624</v>
      </c>
      <c r="AI24" s="188">
        <f t="shared" si="40"/>
        <v>2361.774127308624</v>
      </c>
      <c r="AJ24" s="188">
        <f t="shared" si="41"/>
        <v>-2361.774127308624</v>
      </c>
      <c r="AK24" s="188">
        <f t="shared" si="29"/>
        <v>2361.774127308624</v>
      </c>
      <c r="AL24" s="188">
        <f t="shared" si="30"/>
        <v>-2361.774127308624</v>
      </c>
      <c r="AM24" s="188">
        <f t="shared" si="31"/>
        <v>2361.774127308624</v>
      </c>
      <c r="AN24" s="188">
        <f t="shared" si="32"/>
        <v>2361.774127308624</v>
      </c>
      <c r="AO24" s="188">
        <f t="shared" si="33"/>
        <v>2361.774127308624</v>
      </c>
      <c r="AP24" s="188">
        <f t="shared" si="34"/>
        <v>2361.774127308624</v>
      </c>
    </row>
    <row r="25" spans="1:42" ht="15.75" thickBot="1" x14ac:dyDescent="0.3">
      <c r="A25" s="1" t="s">
        <v>1008</v>
      </c>
      <c r="B25" s="149" t="s">
        <v>583</v>
      </c>
      <c r="C25" s="192" t="s">
        <v>1121</v>
      </c>
      <c r="E25" s="201">
        <f>'0809'!H25</f>
        <v>1</v>
      </c>
      <c r="F25" s="186">
        <f t="shared" si="20"/>
        <v>2489.682486182493</v>
      </c>
      <c r="G25" s="202">
        <v>5.9323176486500004E-3</v>
      </c>
      <c r="H25" s="202">
        <v>1</v>
      </c>
      <c r="I25" s="227">
        <v>1</v>
      </c>
      <c r="J25" s="227">
        <v>1</v>
      </c>
      <c r="K25" s="227">
        <v>1</v>
      </c>
      <c r="L25" s="202">
        <v>1</v>
      </c>
      <c r="M25" s="228">
        <v>-5</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4">
        <v>419681.25</v>
      </c>
      <c r="Y25" s="354">
        <f>VLOOKUP(A25,'FuturesInfo (3)'!$A$2:$AI$80,35)*V25</f>
        <v>21792</v>
      </c>
      <c r="Z25" s="188">
        <f t="shared" si="26"/>
        <v>2489.682486182493</v>
      </c>
      <c r="AA25" s="188">
        <f>IF(IF(sym!$Q14=H25,1,0)=1,ABS(X25*G25),-ABS(X25*G25))</f>
        <v>2489.682486182493</v>
      </c>
      <c r="AB25" s="188">
        <f>IF(IF(sym!$P14=$H25,1,0)=1,ABS($X25*$G25),-ABS($X25*$G25))</f>
        <v>-2489.682486182493</v>
      </c>
      <c r="AC25" s="188">
        <f t="shared" si="42"/>
        <v>2489.682486182493</v>
      </c>
      <c r="AD25" s="188">
        <f t="shared" si="27"/>
        <v>-2489.682486182493</v>
      </c>
      <c r="AE25" s="188">
        <f t="shared" si="28"/>
        <v>2489.682486182493</v>
      </c>
      <c r="AF25" s="188">
        <f t="shared" si="37"/>
        <v>2489.682486182493</v>
      </c>
      <c r="AG25" s="188">
        <f t="shared" si="38"/>
        <v>2489.682486182493</v>
      </c>
      <c r="AH25" s="188">
        <f t="shared" si="39"/>
        <v>2489.682486182493</v>
      </c>
      <c r="AI25" s="188">
        <f t="shared" si="40"/>
        <v>-2489.682486182493</v>
      </c>
      <c r="AJ25" s="188">
        <f t="shared" si="41"/>
        <v>-2489.682486182493</v>
      </c>
      <c r="AK25" s="188">
        <f t="shared" si="29"/>
        <v>2489.682486182493</v>
      </c>
      <c r="AL25" s="188">
        <f t="shared" si="30"/>
        <v>-2489.682486182493</v>
      </c>
      <c r="AM25" s="188">
        <f t="shared" si="31"/>
        <v>-2489.682486182493</v>
      </c>
      <c r="AN25" s="188">
        <f t="shared" si="32"/>
        <v>-2489.682486182493</v>
      </c>
      <c r="AO25" s="188">
        <f t="shared" si="33"/>
        <v>2489.682486182493</v>
      </c>
      <c r="AP25" s="188">
        <f t="shared" si="34"/>
        <v>-2489.682486182493</v>
      </c>
    </row>
    <row r="26" spans="1:42" ht="15.75" thickBot="1" x14ac:dyDescent="0.3">
      <c r="A26" s="1" t="s">
        <v>314</v>
      </c>
      <c r="B26" s="149" t="s">
        <v>755</v>
      </c>
      <c r="C26" s="192" t="s">
        <v>1121</v>
      </c>
      <c r="E26" s="201">
        <f>'0809'!H26</f>
        <v>-1</v>
      </c>
      <c r="F26" s="186">
        <f t="shared" si="20"/>
        <v>-2084.5750426491518</v>
      </c>
      <c r="G26" s="202">
        <v>-5.4508384304899999E-3</v>
      </c>
      <c r="H26" s="202">
        <v>-1</v>
      </c>
      <c r="I26" s="227">
        <v>-1</v>
      </c>
      <c r="J26" s="227">
        <v>-1</v>
      </c>
      <c r="K26" s="227">
        <v>-1</v>
      </c>
      <c r="L26" s="202">
        <v>-1</v>
      </c>
      <c r="M26" s="228">
        <v>-5</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4">
        <v>382432</v>
      </c>
      <c r="Y26" s="354">
        <f>VLOOKUP(A26,'FuturesInfo (3)'!$A$2:$AI$80,35)*V26</f>
        <v>14804</v>
      </c>
      <c r="Z26" s="188">
        <f t="shared" si="26"/>
        <v>2084.5750426491518</v>
      </c>
      <c r="AA26" s="188">
        <f>IF(IF(sym!$Q15=H26,1,0)=1,ABS(X26*G26),-ABS(X26*G26))</f>
        <v>2084.5750426491518</v>
      </c>
      <c r="AB26" s="188">
        <f>IF(IF(sym!$P15=$H26,1,0)=1,ABS($X26*$G26),-ABS($X26*$G26))</f>
        <v>-2084.5750426491518</v>
      </c>
      <c r="AC26" s="188">
        <f t="shared" si="42"/>
        <v>2084.5750426491518</v>
      </c>
      <c r="AD26" s="188">
        <f t="shared" si="27"/>
        <v>-2084.5750426491518</v>
      </c>
      <c r="AE26" s="188">
        <f t="shared" si="28"/>
        <v>2084.5750426491518</v>
      </c>
      <c r="AF26" s="188">
        <f t="shared" si="37"/>
        <v>2084.5750426491518</v>
      </c>
      <c r="AG26" s="188">
        <f t="shared" si="38"/>
        <v>2084.5750426491518</v>
      </c>
      <c r="AH26" s="188">
        <f t="shared" si="39"/>
        <v>2084.5750426491518</v>
      </c>
      <c r="AI26" s="188">
        <f t="shared" si="40"/>
        <v>-2084.5750426491518</v>
      </c>
      <c r="AJ26" s="188">
        <f t="shared" si="41"/>
        <v>-2084.5750426491518</v>
      </c>
      <c r="AK26" s="188">
        <f t="shared" si="29"/>
        <v>2084.5750426491518</v>
      </c>
      <c r="AL26" s="188">
        <f t="shared" si="30"/>
        <v>-2084.5750426491518</v>
      </c>
      <c r="AM26" s="188">
        <f t="shared" si="31"/>
        <v>-2084.5750426491518</v>
      </c>
      <c r="AN26" s="188">
        <f t="shared" si="32"/>
        <v>-2084.5750426491518</v>
      </c>
      <c r="AO26" s="188">
        <f t="shared" si="33"/>
        <v>2084.5750426491518</v>
      </c>
      <c r="AP26" s="188">
        <f t="shared" si="34"/>
        <v>-2084.5750426491518</v>
      </c>
    </row>
    <row r="27" spans="1:42" ht="15.75" thickBot="1" x14ac:dyDescent="0.3">
      <c r="A27" s="1" t="s">
        <v>316</v>
      </c>
      <c r="B27" s="149" t="s">
        <v>562</v>
      </c>
      <c r="C27" s="192" t="s">
        <v>1122</v>
      </c>
      <c r="E27" s="201">
        <f>'0809'!H27</f>
        <v>1</v>
      </c>
      <c r="F27" s="186">
        <f t="shared" si="20"/>
        <v>1344.3238222626132</v>
      </c>
      <c r="G27" s="202">
        <v>2.3889154323899998E-3</v>
      </c>
      <c r="H27" s="202">
        <v>1</v>
      </c>
      <c r="I27" s="227">
        <v>1</v>
      </c>
      <c r="J27" s="227">
        <v>1</v>
      </c>
      <c r="K27" s="227">
        <v>1</v>
      </c>
      <c r="L27" s="202">
        <v>1</v>
      </c>
      <c r="M27" s="228">
        <v>5</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4">
        <v>562733.95199999993</v>
      </c>
      <c r="Y27" s="354">
        <f>VLOOKUP(A27,'FuturesInfo (3)'!$A$2:$AI$80,35)*V27</f>
        <v>12978.150000000001</v>
      </c>
      <c r="Z27" s="188">
        <f t="shared" si="26"/>
        <v>1344.3238222626132</v>
      </c>
      <c r="AA27" s="188">
        <f>IF(IF(sym!$Q16=H27,1,0)=1,ABS(X27*G27),-ABS(X27*G27))</f>
        <v>-1344.3238222626132</v>
      </c>
      <c r="AB27" s="188">
        <f>IF(IF(sym!$P16=$H27,1,0)=1,ABS($X27*$G27),-ABS($X27*$G27))</f>
        <v>1344.3238222626132</v>
      </c>
      <c r="AC27" s="188">
        <f t="shared" si="42"/>
        <v>1344.3238222626132</v>
      </c>
      <c r="AD27" s="188">
        <f t="shared" si="27"/>
        <v>-1344.3238222626132</v>
      </c>
      <c r="AE27" s="188">
        <f t="shared" si="28"/>
        <v>1344.3238222626132</v>
      </c>
      <c r="AF27" s="188">
        <f t="shared" si="37"/>
        <v>1344.3238222626132</v>
      </c>
      <c r="AG27" s="188">
        <f t="shared" si="38"/>
        <v>1344.3238222626132</v>
      </c>
      <c r="AH27" s="188">
        <f t="shared" si="39"/>
        <v>1344.3238222626132</v>
      </c>
      <c r="AI27" s="188">
        <f t="shared" si="40"/>
        <v>-1344.3238222626132</v>
      </c>
      <c r="AJ27" s="188">
        <f t="shared" si="41"/>
        <v>1344.3238222626132</v>
      </c>
      <c r="AK27" s="188">
        <f t="shared" si="29"/>
        <v>1344.3238222626132</v>
      </c>
      <c r="AL27" s="188">
        <f t="shared" si="30"/>
        <v>1344.3238222626132</v>
      </c>
      <c r="AM27" s="188">
        <f t="shared" si="31"/>
        <v>-1344.3238222626132</v>
      </c>
      <c r="AN27" s="188">
        <f t="shared" si="32"/>
        <v>1344.3238222626132</v>
      </c>
      <c r="AO27" s="188">
        <f t="shared" si="33"/>
        <v>-1344.3238222626132</v>
      </c>
      <c r="AP27" s="188">
        <f t="shared" si="34"/>
        <v>-1344.3238222626132</v>
      </c>
    </row>
    <row r="28" spans="1:42" ht="15.75" thickBot="1" x14ac:dyDescent="0.3">
      <c r="A28" s="1" t="s">
        <v>318</v>
      </c>
      <c r="B28" s="149" t="s">
        <v>560</v>
      </c>
      <c r="C28" s="192" t="s">
        <v>1122</v>
      </c>
      <c r="E28" s="201">
        <f>'0809'!H28</f>
        <v>1</v>
      </c>
      <c r="F28" s="186">
        <f t="shared" si="20"/>
        <v>1208.0918144270497</v>
      </c>
      <c r="G28" s="202">
        <v>8.9793475007500002E-4</v>
      </c>
      <c r="H28" s="202">
        <v>1</v>
      </c>
      <c r="I28" s="227">
        <v>1</v>
      </c>
      <c r="J28" s="227">
        <v>-1</v>
      </c>
      <c r="K28" s="227">
        <v>1</v>
      </c>
      <c r="L28" s="202">
        <v>1</v>
      </c>
      <c r="M28" s="228">
        <v>5</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4">
        <v>1345411.5839999998</v>
      </c>
      <c r="Y28" s="354">
        <f>VLOOKUP(A28,'FuturesInfo (3)'!$A$2:$AI$80,35)*V28</f>
        <v>13313.07</v>
      </c>
      <c r="Z28" s="188">
        <f t="shared" si="26"/>
        <v>1208.0918144270497</v>
      </c>
      <c r="AA28" s="188">
        <f>IF(IF(sym!$Q17=H28,1,0)=1,ABS(X28*G28),-ABS(X28*G28))</f>
        <v>-1208.0918144270497</v>
      </c>
      <c r="AB28" s="188">
        <f>IF(IF(sym!$P17=$H28,1,0)=1,ABS($X28*$G28),-ABS($X28*$G28))</f>
        <v>1208.0918144270497</v>
      </c>
      <c r="AC28" s="188">
        <f t="shared" si="42"/>
        <v>1208.0918144270497</v>
      </c>
      <c r="AD28" s="188">
        <f t="shared" si="27"/>
        <v>-1208.0918144270497</v>
      </c>
      <c r="AE28" s="188">
        <f t="shared" si="28"/>
        <v>-1208.0918144270497</v>
      </c>
      <c r="AF28" s="188">
        <f t="shared" si="37"/>
        <v>1208.0918144270497</v>
      </c>
      <c r="AG28" s="188">
        <f t="shared" si="38"/>
        <v>1208.0918144270497</v>
      </c>
      <c r="AH28" s="188">
        <f t="shared" si="39"/>
        <v>1208.0918144270497</v>
      </c>
      <c r="AI28" s="188">
        <f t="shared" si="40"/>
        <v>-1208.0918144270497</v>
      </c>
      <c r="AJ28" s="188">
        <f t="shared" si="41"/>
        <v>1208.0918144270497</v>
      </c>
      <c r="AK28" s="188">
        <f t="shared" si="29"/>
        <v>1208.0918144270497</v>
      </c>
      <c r="AL28" s="188">
        <f t="shared" si="30"/>
        <v>-1208.0918144270497</v>
      </c>
      <c r="AM28" s="188">
        <f t="shared" si="31"/>
        <v>-1208.0918144270497</v>
      </c>
      <c r="AN28" s="188">
        <f t="shared" si="32"/>
        <v>-1208.0918144270497</v>
      </c>
      <c r="AO28" s="188">
        <f t="shared" si="33"/>
        <v>-1208.0918144270497</v>
      </c>
      <c r="AP28" s="188">
        <f t="shared" si="34"/>
        <v>-1208.0918144270497</v>
      </c>
    </row>
    <row r="29" spans="1:42" ht="15.75" thickBot="1" x14ac:dyDescent="0.3">
      <c r="A29" s="328" t="s">
        <v>320</v>
      </c>
      <c r="B29" s="329" t="s">
        <v>564</v>
      </c>
      <c r="C29" s="330" t="s">
        <v>1285</v>
      </c>
      <c r="E29" s="201">
        <f>'0809'!H29</f>
        <v>1</v>
      </c>
      <c r="F29" s="186">
        <f t="shared" si="20"/>
        <v>0</v>
      </c>
      <c r="G29" s="202">
        <v>1.7854751595799999E-4</v>
      </c>
      <c r="H29" s="202">
        <v>1</v>
      </c>
      <c r="I29" s="227">
        <v>1</v>
      </c>
      <c r="J29" s="227">
        <v>-1</v>
      </c>
      <c r="K29" s="227">
        <v>1</v>
      </c>
      <c r="L29" s="202">
        <v>1</v>
      </c>
      <c r="M29" s="228">
        <v>5</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4">
        <v>0</v>
      </c>
      <c r="Y29" s="354">
        <f>VLOOKUP(A29,'FuturesInfo (3)'!$A$2:$AI$80,35)*V29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f>'0809'!H30</f>
        <v>-1</v>
      </c>
      <c r="F30" s="186">
        <f t="shared" si="20"/>
        <v>0</v>
      </c>
      <c r="G30" s="202">
        <v>4.0381606178399999E-4</v>
      </c>
      <c r="H30" s="202">
        <v>1</v>
      </c>
      <c r="I30" s="227">
        <v>-1</v>
      </c>
      <c r="J30" s="227">
        <v>1</v>
      </c>
      <c r="K30" s="227">
        <v>-1</v>
      </c>
      <c r="L30" s="202">
        <v>-1</v>
      </c>
      <c r="M30" s="228">
        <v>-7</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4">
        <v>0</v>
      </c>
      <c r="Y30" s="354">
        <f>VLOOKUP(A30,'FuturesInfo (3)'!$A$2:$AI$80,35)*V30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'0809'!H31</f>
        <v>-1</v>
      </c>
      <c r="F31" s="186">
        <f t="shared" si="20"/>
        <v>-1155.6874559325349</v>
      </c>
      <c r="G31" s="202">
        <v>-3.7177104031800002E-3</v>
      </c>
      <c r="H31" s="202">
        <v>-1</v>
      </c>
      <c r="I31" s="227">
        <v>-1</v>
      </c>
      <c r="J31" s="227">
        <v>1</v>
      </c>
      <c r="K31" s="227">
        <v>-1</v>
      </c>
      <c r="L31" s="202">
        <v>1</v>
      </c>
      <c r="M31" s="228">
        <v>-19</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4">
        <v>310860</v>
      </c>
      <c r="Y31" s="354">
        <f>VLOOKUP(A31,'FuturesInfo (3)'!$A$2:$AI$80,35)*V31</f>
        <v>14250</v>
      </c>
      <c r="Z31" s="188">
        <f t="shared" si="26"/>
        <v>1155.6874559325349</v>
      </c>
      <c r="AA31" s="188">
        <f>IF(IF(sym!$Q20=H31,1,0)=1,ABS(X31*G31),-ABS(X31*G31))</f>
        <v>-1155.6874559325349</v>
      </c>
      <c r="AB31" s="188">
        <f>IF(IF(sym!$P20=$H31,1,0)=1,ABS($X31*$G31),-ABS($X31*$G31))</f>
        <v>1155.6874559325349</v>
      </c>
      <c r="AC31" s="188">
        <f t="shared" si="42"/>
        <v>1155.6874559325349</v>
      </c>
      <c r="AD31" s="188">
        <f t="shared" si="27"/>
        <v>-1155.6874559325349</v>
      </c>
      <c r="AE31" s="188">
        <f t="shared" si="28"/>
        <v>-1155.6874559325349</v>
      </c>
      <c r="AF31" s="188">
        <f t="shared" si="37"/>
        <v>1155.6874559325349</v>
      </c>
      <c r="AG31" s="188">
        <f t="shared" si="38"/>
        <v>1155.6874559325349</v>
      </c>
      <c r="AH31" s="188">
        <f t="shared" si="39"/>
        <v>-1155.6874559325349</v>
      </c>
      <c r="AI31" s="188">
        <f t="shared" si="40"/>
        <v>1155.6874559325349</v>
      </c>
      <c r="AJ31" s="188">
        <f t="shared" si="41"/>
        <v>1155.6874559325349</v>
      </c>
      <c r="AK31" s="188">
        <f t="shared" si="29"/>
        <v>1155.6874559325349</v>
      </c>
      <c r="AL31" s="188">
        <f t="shared" si="30"/>
        <v>-1155.6874559325349</v>
      </c>
      <c r="AM31" s="188">
        <f t="shared" si="31"/>
        <v>1155.6874559325349</v>
      </c>
      <c r="AN31" s="188">
        <f t="shared" si="32"/>
        <v>1155.6874559325349</v>
      </c>
      <c r="AO31" s="188">
        <f t="shared" si="33"/>
        <v>-1155.6874559325349</v>
      </c>
      <c r="AP31" s="188">
        <f t="shared" si="34"/>
        <v>-1155.6874559325349</v>
      </c>
    </row>
    <row r="32" spans="1:42" ht="15.75" thickBot="1" x14ac:dyDescent="0.3">
      <c r="A32" s="1" t="s">
        <v>327</v>
      </c>
      <c r="B32" s="149" t="s">
        <v>552</v>
      </c>
      <c r="C32" s="192" t="s">
        <v>294</v>
      </c>
      <c r="E32" s="201">
        <f>'0809'!H32</f>
        <v>1</v>
      </c>
      <c r="F32" s="186">
        <f t="shared" si="20"/>
        <v>-710.9457520080847</v>
      </c>
      <c r="G32" s="202">
        <v>-2.1814006888599999E-3</v>
      </c>
      <c r="H32" s="202">
        <v>-1</v>
      </c>
      <c r="I32" s="227">
        <v>1</v>
      </c>
      <c r="J32" s="227">
        <v>-1</v>
      </c>
      <c r="K32" s="227">
        <v>1</v>
      </c>
      <c r="L32" s="202">
        <v>-1</v>
      </c>
      <c r="M32" s="228">
        <v>-17</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4">
        <v>325912.5</v>
      </c>
      <c r="Y32" s="354">
        <f>VLOOKUP(A32,'FuturesInfo (3)'!$A$2:$AI$80,35)*V32</f>
        <v>15750</v>
      </c>
      <c r="Z32" s="188">
        <f t="shared" si="26"/>
        <v>710.9457520080847</v>
      </c>
      <c r="AA32" s="188">
        <f>IF(IF(sym!$Q21=H32,1,0)=1,ABS(X32*G32),-ABS(X32*G32))</f>
        <v>-710.9457520080847</v>
      </c>
      <c r="AB32" s="188">
        <f>IF(IF(sym!$P21=$H32,1,0)=1,ABS($X32*$G32),-ABS($X32*$G32))</f>
        <v>710.9457520080847</v>
      </c>
      <c r="AC32" s="188">
        <f t="shared" si="42"/>
        <v>-710.9457520080847</v>
      </c>
      <c r="AD32" s="188">
        <f t="shared" si="27"/>
        <v>710.9457520080847</v>
      </c>
      <c r="AE32" s="188">
        <f t="shared" si="28"/>
        <v>710.9457520080847</v>
      </c>
      <c r="AF32" s="188">
        <f t="shared" si="37"/>
        <v>-710.9457520080847</v>
      </c>
      <c r="AG32" s="188">
        <f t="shared" si="38"/>
        <v>-710.9457520080847</v>
      </c>
      <c r="AH32" s="188">
        <f t="shared" si="39"/>
        <v>710.9457520080847</v>
      </c>
      <c r="AI32" s="188">
        <f t="shared" si="40"/>
        <v>-710.9457520080847</v>
      </c>
      <c r="AJ32" s="188">
        <f t="shared" si="41"/>
        <v>-710.9457520080847</v>
      </c>
      <c r="AK32" s="188">
        <f t="shared" si="29"/>
        <v>-710.9457520080847</v>
      </c>
      <c r="AL32" s="188">
        <f t="shared" si="30"/>
        <v>710.9457520080847</v>
      </c>
      <c r="AM32" s="188">
        <f t="shared" si="31"/>
        <v>-710.9457520080847</v>
      </c>
      <c r="AN32" s="188">
        <f t="shared" si="32"/>
        <v>-710.9457520080847</v>
      </c>
      <c r="AO32" s="188">
        <f t="shared" si="33"/>
        <v>710.9457520080847</v>
      </c>
      <c r="AP32" s="188">
        <f t="shared" si="34"/>
        <v>710.9457520080847</v>
      </c>
    </row>
    <row r="33" spans="1:42" ht="15.75" thickBot="1" x14ac:dyDescent="0.3">
      <c r="A33" s="1" t="s">
        <v>329</v>
      </c>
      <c r="B33" s="149" t="s">
        <v>589</v>
      </c>
      <c r="C33" s="192" t="s">
        <v>313</v>
      </c>
      <c r="E33" s="201">
        <f>'0809'!H33</f>
        <v>1</v>
      </c>
      <c r="F33" s="186">
        <f t="shared" si="20"/>
        <v>-349.17702384906005</v>
      </c>
      <c r="G33" s="202">
        <v>-2.3513604299600002E-3</v>
      </c>
      <c r="H33" s="234">
        <v>-1</v>
      </c>
      <c r="I33" s="230">
        <v>1</v>
      </c>
      <c r="J33" s="230">
        <v>-1</v>
      </c>
      <c r="K33" s="230">
        <v>1</v>
      </c>
      <c r="L33" s="202">
        <v>-1</v>
      </c>
      <c r="M33" s="228">
        <v>13</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4">
        <v>148500</v>
      </c>
      <c r="Y33" s="354">
        <f>VLOOKUP(A33,'FuturesInfo (3)'!$A$2:$AI$80,35)*V33</f>
        <v>8436</v>
      </c>
      <c r="Z33" s="188">
        <f t="shared" si="26"/>
        <v>349.17702384906005</v>
      </c>
      <c r="AA33" s="188">
        <f>IF(IF(sym!$Q22=H33,1,0)=1,ABS(X33*G33),-ABS(X33*G33))</f>
        <v>-349.17702384906005</v>
      </c>
      <c r="AB33" s="188">
        <f>IF(IF(sym!$P22=$H33,1,0)=1,ABS($X33*$G33),-ABS($X33*$G33))</f>
        <v>349.17702384906005</v>
      </c>
      <c r="AC33" s="188">
        <f t="shared" si="42"/>
        <v>-349.17702384906005</v>
      </c>
      <c r="AD33" s="188">
        <f t="shared" si="27"/>
        <v>349.17702384906005</v>
      </c>
      <c r="AE33" s="188">
        <f t="shared" si="28"/>
        <v>349.17702384906005</v>
      </c>
      <c r="AF33" s="188">
        <f t="shared" si="37"/>
        <v>-349.17702384906005</v>
      </c>
      <c r="AG33" s="188">
        <f t="shared" si="38"/>
        <v>-349.17702384906005</v>
      </c>
      <c r="AH33" s="188">
        <f t="shared" si="39"/>
        <v>349.17702384906005</v>
      </c>
      <c r="AI33" s="188">
        <f t="shared" si="40"/>
        <v>-349.17702384906005</v>
      </c>
      <c r="AJ33" s="188">
        <f t="shared" si="41"/>
        <v>349.17702384906005</v>
      </c>
      <c r="AK33" s="188">
        <f t="shared" si="29"/>
        <v>-349.17702384906005</v>
      </c>
      <c r="AL33" s="188">
        <f t="shared" si="30"/>
        <v>349.17702384906005</v>
      </c>
      <c r="AM33" s="188">
        <f t="shared" si="31"/>
        <v>-349.17702384906005</v>
      </c>
      <c r="AN33" s="188">
        <f t="shared" si="32"/>
        <v>-349.17702384906005</v>
      </c>
      <c r="AO33" s="188">
        <f t="shared" si="33"/>
        <v>-349.17702384906005</v>
      </c>
      <c r="AP33" s="188">
        <f t="shared" si="34"/>
        <v>349.17702384906005</v>
      </c>
    </row>
    <row r="34" spans="1:42" ht="15.75" thickBot="1" x14ac:dyDescent="0.3">
      <c r="A34" s="1" t="s">
        <v>331</v>
      </c>
      <c r="B34" s="149" t="s">
        <v>481</v>
      </c>
      <c r="C34" s="192" t="s">
        <v>294</v>
      </c>
      <c r="E34" s="201">
        <f>'0809'!H34</f>
        <v>1</v>
      </c>
      <c r="F34" s="186">
        <f t="shared" si="20"/>
        <v>-712.70291149169304</v>
      </c>
      <c r="G34" s="202">
        <v>-3.5806198948199999E-3</v>
      </c>
      <c r="H34" s="202">
        <v>-1</v>
      </c>
      <c r="I34" s="227">
        <v>1</v>
      </c>
      <c r="J34" s="227">
        <v>-1</v>
      </c>
      <c r="K34" s="227">
        <v>1</v>
      </c>
      <c r="L34" s="202">
        <v>-1</v>
      </c>
      <c r="M34" s="228">
        <v>-4</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4">
        <v>199044.55999999997</v>
      </c>
      <c r="Y34" s="354">
        <f>VLOOKUP(A34,'FuturesInfo (3)'!$A$2:$AI$80,35)*V34</f>
        <v>2447.1487999999999</v>
      </c>
      <c r="Z34" s="188">
        <f t="shared" si="26"/>
        <v>712.70291149169304</v>
      </c>
      <c r="AA34" s="188">
        <f>IF(IF(sym!$Q23=H34,1,0)=1,ABS(X34*G34),-ABS(X34*G34))</f>
        <v>-712.70291149169304</v>
      </c>
      <c r="AB34" s="188">
        <f>IF(IF(sym!$P23=$H34,1,0)=1,ABS($X34*$G34),-ABS($X34*$G34))</f>
        <v>712.70291149169304</v>
      </c>
      <c r="AC34" s="188">
        <f t="shared" si="42"/>
        <v>-712.70291149169304</v>
      </c>
      <c r="AD34" s="188">
        <f t="shared" si="27"/>
        <v>712.70291149169304</v>
      </c>
      <c r="AE34" s="188">
        <f t="shared" si="28"/>
        <v>712.70291149169304</v>
      </c>
      <c r="AF34" s="188">
        <f t="shared" si="37"/>
        <v>-712.70291149169304</v>
      </c>
      <c r="AG34" s="188">
        <f t="shared" si="38"/>
        <v>-712.70291149169304</v>
      </c>
      <c r="AH34" s="188">
        <f t="shared" si="39"/>
        <v>712.70291149169304</v>
      </c>
      <c r="AI34" s="188">
        <f t="shared" si="40"/>
        <v>-712.70291149169304</v>
      </c>
      <c r="AJ34" s="188">
        <f t="shared" si="41"/>
        <v>-712.70291149169304</v>
      </c>
      <c r="AK34" s="188">
        <f t="shared" si="29"/>
        <v>-712.70291149169304</v>
      </c>
      <c r="AL34" s="188">
        <f t="shared" si="30"/>
        <v>712.70291149169304</v>
      </c>
      <c r="AM34" s="188">
        <f t="shared" si="31"/>
        <v>-712.70291149169304</v>
      </c>
      <c r="AN34" s="188">
        <f t="shared" si="32"/>
        <v>-712.70291149169304</v>
      </c>
      <c r="AO34" s="188">
        <f t="shared" si="33"/>
        <v>712.70291149169304</v>
      </c>
      <c r="AP34" s="188">
        <f t="shared" si="34"/>
        <v>712.70291149169304</v>
      </c>
    </row>
    <row r="35" spans="1:42" ht="15.75" thickBot="1" x14ac:dyDescent="0.3">
      <c r="A35" s="1" t="s">
        <v>333</v>
      </c>
      <c r="B35" s="149" t="s">
        <v>663</v>
      </c>
      <c r="C35" s="192" t="s">
        <v>294</v>
      </c>
      <c r="E35" s="201">
        <f>'0809'!H35</f>
        <v>1</v>
      </c>
      <c r="F35" s="186">
        <f t="shared" si="20"/>
        <v>-717.95430569311441</v>
      </c>
      <c r="G35" s="202">
        <v>-4.0198186407399998E-3</v>
      </c>
      <c r="H35" s="202">
        <v>-1</v>
      </c>
      <c r="I35" s="227">
        <v>-1</v>
      </c>
      <c r="J35" s="227">
        <v>-1</v>
      </c>
      <c r="K35" s="227">
        <v>-1</v>
      </c>
      <c r="L35" s="202">
        <v>-1</v>
      </c>
      <c r="M35" s="228">
        <v>-18</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4">
        <v>178603.65599999999</v>
      </c>
      <c r="Y35" s="354">
        <f>VLOOKUP(A35,'FuturesInfo (3)'!$A$2:$AI$80,35)*V35</f>
        <v>17415.84</v>
      </c>
      <c r="Z35" s="188">
        <f t="shared" si="26"/>
        <v>717.95430569311441</v>
      </c>
      <c r="AA35" s="188">
        <f>IF(IF(sym!$Q24=H35,1,0)=1,ABS(X35*G35),-ABS(X35*G35))</f>
        <v>-717.95430569311441</v>
      </c>
      <c r="AB35" s="188">
        <f>IF(IF(sym!$P24=$H35,1,0)=1,ABS($X35*$G35),-ABS($X35*$G35))</f>
        <v>717.95430569311441</v>
      </c>
      <c r="AC35" s="188">
        <f t="shared" si="42"/>
        <v>-717.95430569311441</v>
      </c>
      <c r="AD35" s="188">
        <f t="shared" si="27"/>
        <v>717.95430569311441</v>
      </c>
      <c r="AE35" s="188">
        <f t="shared" si="28"/>
        <v>717.95430569311441</v>
      </c>
      <c r="AF35" s="188">
        <f t="shared" si="37"/>
        <v>717.95430569311441</v>
      </c>
      <c r="AG35" s="188">
        <f t="shared" si="38"/>
        <v>717.95430569311441</v>
      </c>
      <c r="AH35" s="188">
        <f t="shared" si="39"/>
        <v>717.95430569311441</v>
      </c>
      <c r="AI35" s="188">
        <f t="shared" si="40"/>
        <v>-717.95430569311441</v>
      </c>
      <c r="AJ35" s="188">
        <f t="shared" si="41"/>
        <v>-717.95430569311441</v>
      </c>
      <c r="AK35" s="188">
        <f t="shared" si="29"/>
        <v>-717.95430569311441</v>
      </c>
      <c r="AL35" s="188">
        <f t="shared" si="30"/>
        <v>717.95430569311441</v>
      </c>
      <c r="AM35" s="188">
        <f t="shared" si="31"/>
        <v>717.95430569311441</v>
      </c>
      <c r="AN35" s="188">
        <f t="shared" si="32"/>
        <v>717.95430569311441</v>
      </c>
      <c r="AO35" s="188">
        <f t="shared" si="33"/>
        <v>-717.95430569311441</v>
      </c>
      <c r="AP35" s="188">
        <f t="shared" si="34"/>
        <v>717.95430569311441</v>
      </c>
    </row>
    <row r="36" spans="1:42" ht="15.75" thickBot="1" x14ac:dyDescent="0.3">
      <c r="A36" s="328" t="s">
        <v>335</v>
      </c>
      <c r="B36" s="329" t="s">
        <v>568</v>
      </c>
      <c r="C36" s="330" t="s">
        <v>1285</v>
      </c>
      <c r="E36" s="201">
        <f>'0809'!H36</f>
        <v>-1</v>
      </c>
      <c r="F36" s="186">
        <f t="shared" si="20"/>
        <v>0</v>
      </c>
      <c r="G36" s="291">
        <v>9.9671085418199994E-5</v>
      </c>
      <c r="H36" s="202">
        <v>1</v>
      </c>
      <c r="I36" s="227">
        <v>-1</v>
      </c>
      <c r="J36" s="227">
        <v>-1</v>
      </c>
      <c r="K36" s="227">
        <v>-1</v>
      </c>
      <c r="L36" s="202">
        <v>1</v>
      </c>
      <c r="M36" s="228">
        <v>-13</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4">
        <v>0</v>
      </c>
      <c r="Y36" s="354">
        <f>VLOOKUP(A36,'FuturesInfo (3)'!$A$2:$AI$80,35)*V36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'0809'!H37</f>
        <v>1</v>
      </c>
      <c r="F37" s="186">
        <f t="shared" si="20"/>
        <v>332.24604552362035</v>
      </c>
      <c r="G37" s="202">
        <v>1.24926513815E-3</v>
      </c>
      <c r="H37" s="202">
        <v>1</v>
      </c>
      <c r="I37" s="227">
        <v>1</v>
      </c>
      <c r="J37" s="227">
        <v>-1</v>
      </c>
      <c r="K37" s="227">
        <v>1</v>
      </c>
      <c r="L37" s="202">
        <v>1</v>
      </c>
      <c r="M37" s="228">
        <v>-1</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4">
        <v>265953.1875</v>
      </c>
      <c r="Y37" s="354">
        <f>VLOOKUP(A37,'FuturesInfo (3)'!$A$2:$AI$80,35)*V37</f>
        <v>16499.054400000001</v>
      </c>
      <c r="Z37" s="188">
        <f t="shared" si="26"/>
        <v>332.24604552362035</v>
      </c>
      <c r="AA37" s="188">
        <f>IF(IF(sym!$Q26=H37,1,0)=1,ABS(X37*G37),-ABS(X37*G37))</f>
        <v>332.24604552362035</v>
      </c>
      <c r="AB37" s="188">
        <f>IF(IF(sym!$P26=$H37,1,0)=1,ABS($X37*$G37),-ABS($X37*$G37))</f>
        <v>-332.24604552362035</v>
      </c>
      <c r="AC37" s="188">
        <f t="shared" si="42"/>
        <v>332.24604552362035</v>
      </c>
      <c r="AD37" s="188">
        <f t="shared" si="27"/>
        <v>-332.24604552362035</v>
      </c>
      <c r="AE37" s="188">
        <f t="shared" si="28"/>
        <v>-332.24604552362035</v>
      </c>
      <c r="AF37" s="188">
        <f t="shared" si="37"/>
        <v>332.24604552362035</v>
      </c>
      <c r="AG37" s="188">
        <f t="shared" si="38"/>
        <v>332.24604552362035</v>
      </c>
      <c r="AH37" s="188">
        <f t="shared" si="39"/>
        <v>332.24604552362035</v>
      </c>
      <c r="AI37" s="188">
        <f t="shared" si="40"/>
        <v>-332.24604552362035</v>
      </c>
      <c r="AJ37" s="188">
        <f t="shared" si="41"/>
        <v>-332.24604552362035</v>
      </c>
      <c r="AK37" s="188">
        <f t="shared" si="29"/>
        <v>332.24604552362035</v>
      </c>
      <c r="AL37" s="188">
        <f t="shared" si="30"/>
        <v>-332.24604552362035</v>
      </c>
      <c r="AM37" s="188">
        <f t="shared" si="31"/>
        <v>-332.24604552362035</v>
      </c>
      <c r="AN37" s="188">
        <f t="shared" si="32"/>
        <v>-332.24604552362035</v>
      </c>
      <c r="AO37" s="188">
        <f t="shared" si="33"/>
        <v>332.24604552362035</v>
      </c>
      <c r="AP37" s="188">
        <f t="shared" si="34"/>
        <v>-332.24604552362035</v>
      </c>
    </row>
    <row r="38" spans="1:42" ht="15.75" thickBot="1" x14ac:dyDescent="0.3">
      <c r="A38" s="1" t="s">
        <v>339</v>
      </c>
      <c r="B38" s="149" t="s">
        <v>596</v>
      </c>
      <c r="C38" s="192" t="s">
        <v>1122</v>
      </c>
      <c r="E38" s="201">
        <f>'0809'!H38</f>
        <v>1</v>
      </c>
      <c r="F38" s="186">
        <f t="shared" si="20"/>
        <v>899.45808783985524</v>
      </c>
      <c r="G38" s="202">
        <v>1.73860458085E-3</v>
      </c>
      <c r="H38" s="202">
        <v>1</v>
      </c>
      <c r="I38" s="227">
        <v>1</v>
      </c>
      <c r="J38" s="227">
        <v>-1</v>
      </c>
      <c r="K38" s="227">
        <v>1</v>
      </c>
      <c r="L38" s="202">
        <v>1</v>
      </c>
      <c r="M38" s="228">
        <v>5</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4">
        <v>517344.82799999998</v>
      </c>
      <c r="Y38" s="354">
        <f>VLOOKUP(A38,'FuturesInfo (3)'!$A$2:$AI$80,35)*V38</f>
        <v>15240.9144</v>
      </c>
      <c r="Z38" s="188">
        <f t="shared" si="26"/>
        <v>899.45808783985524</v>
      </c>
      <c r="AA38" s="188">
        <f>IF(IF(sym!$Q27=H38,1,0)=1,ABS(X38*G38),-ABS(X38*G38))</f>
        <v>-899.45808783985524</v>
      </c>
      <c r="AB38" s="188">
        <f>IF(IF(sym!$P27=$H38,1,0)=1,ABS($X38*$G38),-ABS($X38*$G38))</f>
        <v>899.45808783985524</v>
      </c>
      <c r="AC38" s="188">
        <f t="shared" si="42"/>
        <v>899.45808783985524</v>
      </c>
      <c r="AD38" s="188">
        <f t="shared" si="27"/>
        <v>-899.45808783985524</v>
      </c>
      <c r="AE38" s="188">
        <f t="shared" si="28"/>
        <v>-899.45808783985524</v>
      </c>
      <c r="AF38" s="188">
        <f t="shared" si="37"/>
        <v>899.45808783985524</v>
      </c>
      <c r="AG38" s="188">
        <f t="shared" si="38"/>
        <v>899.45808783985524</v>
      </c>
      <c r="AH38" s="188">
        <f t="shared" si="39"/>
        <v>899.45808783985524</v>
      </c>
      <c r="AI38" s="188">
        <f t="shared" si="40"/>
        <v>-899.45808783985524</v>
      </c>
      <c r="AJ38" s="188">
        <f t="shared" si="41"/>
        <v>899.45808783985524</v>
      </c>
      <c r="AK38" s="188">
        <f t="shared" si="29"/>
        <v>899.45808783985524</v>
      </c>
      <c r="AL38" s="188">
        <f t="shared" si="30"/>
        <v>-899.45808783985524</v>
      </c>
      <c r="AM38" s="188">
        <f t="shared" si="31"/>
        <v>-899.45808783985524</v>
      </c>
      <c r="AN38" s="188">
        <f t="shared" si="32"/>
        <v>-899.45808783985524</v>
      </c>
      <c r="AO38" s="188">
        <f t="shared" si="33"/>
        <v>-899.45808783985524</v>
      </c>
      <c r="AP38" s="188">
        <f t="shared" si="34"/>
        <v>-899.45808783985524</v>
      </c>
    </row>
    <row r="39" spans="1:42" ht="15.75" thickBot="1" x14ac:dyDescent="0.3">
      <c r="A39" s="328" t="s">
        <v>341</v>
      </c>
      <c r="B39" s="329" t="s">
        <v>453</v>
      </c>
      <c r="C39" s="330" t="s">
        <v>1285</v>
      </c>
      <c r="E39" s="201">
        <f>'0809'!H39</f>
        <v>1</v>
      </c>
      <c r="F39" s="186">
        <f t="shared" si="20"/>
        <v>0</v>
      </c>
      <c r="G39" s="202">
        <v>0</v>
      </c>
      <c r="H39" s="202">
        <v>1</v>
      </c>
      <c r="I39" s="227">
        <v>1</v>
      </c>
      <c r="J39" s="227">
        <v>1</v>
      </c>
      <c r="K39" s="227">
        <v>1</v>
      </c>
      <c r="L39" s="202">
        <v>1</v>
      </c>
      <c r="M39" s="228">
        <v>4</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4">
        <v>0</v>
      </c>
      <c r="Y39" s="354">
        <f>VLOOKUP(A39,'FuturesInfo (3)'!$A$2:$AI$80,35)*V39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'0809'!H40</f>
        <v>1</v>
      </c>
      <c r="F40" s="186">
        <f t="shared" si="20"/>
        <v>1424.2493577426494</v>
      </c>
      <c r="G40" s="202">
        <v>1.6698779704600001E-3</v>
      </c>
      <c r="H40" s="202">
        <v>1</v>
      </c>
      <c r="I40" s="227">
        <v>1</v>
      </c>
      <c r="J40" s="227">
        <v>1</v>
      </c>
      <c r="K40" s="227">
        <v>1</v>
      </c>
      <c r="L40" s="202">
        <v>1</v>
      </c>
      <c r="M40" s="228">
        <v>-3</v>
      </c>
      <c r="N40" s="288">
        <v>42566</v>
      </c>
      <c r="O40">
        <f t="shared" si="21"/>
        <v>-1</v>
      </c>
      <c r="P40">
        <f t="shared" si="35"/>
        <v>1</v>
      </c>
      <c r="Q40">
        <f t="shared" si="22"/>
        <v>-1</v>
      </c>
      <c r="R40">
        <f t="shared" si="23"/>
        <v>-1</v>
      </c>
      <c r="S40">
        <f t="shared" si="24"/>
        <v>-1</v>
      </c>
      <c r="T40">
        <f t="shared" si="25"/>
        <v>1</v>
      </c>
      <c r="U40">
        <f t="shared" si="36"/>
        <v>-1</v>
      </c>
      <c r="V40">
        <f>VLOOKUP($A40,'FuturesInfo (3)'!$A$2:$V$80,22)</f>
        <v>7</v>
      </c>
      <c r="W40">
        <v>1</v>
      </c>
      <c r="X40" s="354">
        <v>852906.25</v>
      </c>
      <c r="Y40" s="354">
        <f>VLOOKUP(A40,'FuturesInfo (3)'!$A$2:$AI$80,35)*V40</f>
        <v>7000</v>
      </c>
      <c r="Z40" s="188">
        <f t="shared" si="26"/>
        <v>1424.2493577426494</v>
      </c>
      <c r="AA40" s="188">
        <f>IF(IF(sym!$Q29=H40,1,0)=1,ABS(X40*G40),-ABS(X40*G40))</f>
        <v>-1424.2493577426494</v>
      </c>
      <c r="AB40" s="188">
        <f>IF(IF(sym!$P29=$H40,1,0)=1,ABS($X40*$G40),-ABS($X40*$G40))</f>
        <v>1424.2493577426494</v>
      </c>
      <c r="AC40" s="188">
        <f t="shared" si="42"/>
        <v>1424.2493577426494</v>
      </c>
      <c r="AD40" s="188">
        <f t="shared" si="27"/>
        <v>-1424.2493577426494</v>
      </c>
      <c r="AE40" s="188">
        <f t="shared" si="28"/>
        <v>1424.2493577426494</v>
      </c>
      <c r="AF40" s="188">
        <f t="shared" si="37"/>
        <v>1424.2493577426494</v>
      </c>
      <c r="AG40" s="188">
        <f t="shared" si="38"/>
        <v>1424.2493577426494</v>
      </c>
      <c r="AH40" s="188">
        <f t="shared" si="39"/>
        <v>1424.2493577426494</v>
      </c>
      <c r="AI40" s="188">
        <f t="shared" si="40"/>
        <v>-1424.2493577426494</v>
      </c>
      <c r="AJ40" s="188">
        <f t="shared" si="41"/>
        <v>-1424.2493577426494</v>
      </c>
      <c r="AK40" s="188">
        <f t="shared" si="29"/>
        <v>1424.2493577426494</v>
      </c>
      <c r="AL40" s="188">
        <f t="shared" si="30"/>
        <v>-1424.2493577426494</v>
      </c>
      <c r="AM40" s="188">
        <f t="shared" si="31"/>
        <v>-1424.2493577426494</v>
      </c>
      <c r="AN40" s="188">
        <f t="shared" si="32"/>
        <v>-1424.2493577426494</v>
      </c>
      <c r="AO40" s="188">
        <f t="shared" si="33"/>
        <v>1424.2493577426494</v>
      </c>
      <c r="AP40" s="188">
        <f t="shared" si="34"/>
        <v>-1424.2493577426494</v>
      </c>
    </row>
    <row r="41" spans="1:42" ht="15.75" thickBot="1" x14ac:dyDescent="0.3">
      <c r="A41" s="1" t="s">
        <v>345</v>
      </c>
      <c r="B41" s="149" t="s">
        <v>602</v>
      </c>
      <c r="C41" s="192" t="s">
        <v>347</v>
      </c>
      <c r="E41" s="201">
        <f>'0809'!H41</f>
        <v>1</v>
      </c>
      <c r="F41" s="186">
        <f t="shared" si="20"/>
        <v>1044.0157421833019</v>
      </c>
      <c r="G41" s="202">
        <v>3.8612905621099999E-3</v>
      </c>
      <c r="H41" s="202">
        <v>1</v>
      </c>
      <c r="I41" s="227">
        <v>-1</v>
      </c>
      <c r="J41" s="227">
        <v>1</v>
      </c>
      <c r="K41" s="227">
        <v>-1</v>
      </c>
      <c r="L41" s="202">
        <v>1</v>
      </c>
      <c r="M41" s="228">
        <v>5</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4">
        <v>270380</v>
      </c>
      <c r="Y41" s="354">
        <f>VLOOKUP(A41,'FuturesInfo (3)'!$A$2:$AI$80,35)*V41</f>
        <v>11250</v>
      </c>
      <c r="Z41" s="188">
        <f t="shared" si="26"/>
        <v>1044.0157421833019</v>
      </c>
      <c r="AA41" s="188">
        <f>IF(IF(sym!$Q30=H41,1,0)=1,ABS(X41*G41),-ABS(X41*G41))</f>
        <v>-1044.0157421833019</v>
      </c>
      <c r="AB41" s="188">
        <f>IF(IF(sym!$P30=$H41,1,0)=1,ABS($X41*$G41),-ABS($X41*$G41))</f>
        <v>1044.0157421833019</v>
      </c>
      <c r="AC41" s="188">
        <f t="shared" si="42"/>
        <v>1044.0157421833019</v>
      </c>
      <c r="AD41" s="188">
        <f t="shared" si="27"/>
        <v>-1044.0157421833019</v>
      </c>
      <c r="AE41" s="188">
        <f t="shared" si="28"/>
        <v>1044.0157421833019</v>
      </c>
      <c r="AF41" s="188">
        <f t="shared" si="37"/>
        <v>-1044.0157421833019</v>
      </c>
      <c r="AG41" s="188">
        <f t="shared" si="38"/>
        <v>-1044.0157421833019</v>
      </c>
      <c r="AH41" s="188">
        <f t="shared" si="39"/>
        <v>1044.0157421833019</v>
      </c>
      <c r="AI41" s="188">
        <f t="shared" si="40"/>
        <v>-1044.0157421833019</v>
      </c>
      <c r="AJ41" s="188">
        <f t="shared" si="41"/>
        <v>1044.0157421833019</v>
      </c>
      <c r="AK41" s="188">
        <f t="shared" si="29"/>
        <v>-1044.0157421833019</v>
      </c>
      <c r="AL41" s="188">
        <f t="shared" si="30"/>
        <v>1044.0157421833019</v>
      </c>
      <c r="AM41" s="188">
        <f t="shared" si="31"/>
        <v>-1044.0157421833019</v>
      </c>
      <c r="AN41" s="188">
        <f t="shared" si="32"/>
        <v>-1044.0157421833019</v>
      </c>
      <c r="AO41" s="188">
        <f t="shared" si="33"/>
        <v>1044.0157421833019</v>
      </c>
      <c r="AP41" s="188">
        <f t="shared" si="34"/>
        <v>-1044.0157421833019</v>
      </c>
    </row>
    <row r="42" spans="1:42" ht="15.75" thickBot="1" x14ac:dyDescent="0.3">
      <c r="A42" s="1" t="s">
        <v>1023</v>
      </c>
      <c r="B42" s="149" t="s">
        <v>604</v>
      </c>
      <c r="C42" s="192" t="s">
        <v>294</v>
      </c>
      <c r="E42" s="201">
        <f>'0809'!H42</f>
        <v>1</v>
      </c>
      <c r="F42" s="186">
        <f t="shared" si="20"/>
        <v>174.13730270640335</v>
      </c>
      <c r="G42" s="202">
        <v>9.6701407542700002E-4</v>
      </c>
      <c r="H42" s="202">
        <v>1</v>
      </c>
      <c r="I42" s="227">
        <v>-1</v>
      </c>
      <c r="J42" s="227">
        <v>-1</v>
      </c>
      <c r="K42" s="227">
        <v>-1</v>
      </c>
      <c r="L42" s="202">
        <v>-1</v>
      </c>
      <c r="M42" s="228">
        <v>-5</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4">
        <v>180077.31958762888</v>
      </c>
      <c r="Y42" s="354">
        <f>VLOOKUP(A42,'FuturesInfo (3)'!$A$2:$AI$80,35)*V42</f>
        <v>15115.9793814433</v>
      </c>
      <c r="Z42" s="188">
        <f t="shared" si="26"/>
        <v>174.13730270640335</v>
      </c>
      <c r="AA42" s="188">
        <f>IF(IF(sym!$Q31=H42,1,0)=1,ABS(X42*G42),-ABS(X42*G42))</f>
        <v>174.13730270640335</v>
      </c>
      <c r="AB42" s="188">
        <f>IF(IF(sym!$P31=$H42,1,0)=1,ABS($X42*$G42),-ABS($X42*$G42))</f>
        <v>-174.13730270640335</v>
      </c>
      <c r="AC42" s="188">
        <f t="shared" si="42"/>
        <v>174.13730270640335</v>
      </c>
      <c r="AD42" s="188">
        <f t="shared" si="27"/>
        <v>-174.13730270640335</v>
      </c>
      <c r="AE42" s="188">
        <f t="shared" si="28"/>
        <v>-174.13730270640335</v>
      </c>
      <c r="AF42" s="188">
        <f t="shared" si="37"/>
        <v>-174.13730270640335</v>
      </c>
      <c r="AG42" s="188">
        <f t="shared" si="38"/>
        <v>-174.13730270640335</v>
      </c>
      <c r="AH42" s="188">
        <f t="shared" si="39"/>
        <v>-174.13730270640335</v>
      </c>
      <c r="AI42" s="188">
        <f t="shared" si="40"/>
        <v>174.13730270640335</v>
      </c>
      <c r="AJ42" s="188">
        <f t="shared" si="41"/>
        <v>174.13730270640335</v>
      </c>
      <c r="AK42" s="188">
        <f t="shared" si="29"/>
        <v>174.13730270640335</v>
      </c>
      <c r="AL42" s="188">
        <f t="shared" si="30"/>
        <v>-174.13730270640335</v>
      </c>
      <c r="AM42" s="188">
        <f t="shared" si="31"/>
        <v>-174.13730270640335</v>
      </c>
      <c r="AN42" s="188">
        <f t="shared" si="32"/>
        <v>-174.13730270640335</v>
      </c>
      <c r="AO42" s="188">
        <f t="shared" si="33"/>
        <v>174.13730270640335</v>
      </c>
      <c r="AP42" s="188">
        <f t="shared" si="34"/>
        <v>-174.13730270640335</v>
      </c>
    </row>
    <row r="43" spans="1:42" ht="15.75" thickBot="1" x14ac:dyDescent="0.3">
      <c r="A43" s="1" t="s">
        <v>349</v>
      </c>
      <c r="B43" s="149" t="s">
        <v>515</v>
      </c>
      <c r="C43" s="192" t="s">
        <v>347</v>
      </c>
      <c r="E43" s="201">
        <f>'0809'!H43</f>
        <v>-1</v>
      </c>
      <c r="F43" s="186">
        <f t="shared" si="20"/>
        <v>1060.2558139540185</v>
      </c>
      <c r="G43" s="202">
        <v>9.7674418604700008E-3</v>
      </c>
      <c r="H43" s="202">
        <v>1</v>
      </c>
      <c r="I43" s="227">
        <v>-1</v>
      </c>
      <c r="J43" s="227">
        <v>-1</v>
      </c>
      <c r="K43" s="227">
        <v>1</v>
      </c>
      <c r="L43" s="202">
        <v>-1</v>
      </c>
      <c r="M43" s="228">
        <v>7</v>
      </c>
      <c r="N43" s="288">
        <v>42580</v>
      </c>
      <c r="O43">
        <f t="shared" si="21"/>
        <v>-1</v>
      </c>
      <c r="P43">
        <f t="shared" si="35"/>
        <v>1</v>
      </c>
      <c r="Q43">
        <f t="shared" si="22"/>
        <v>-1</v>
      </c>
      <c r="R43">
        <f t="shared" si="23"/>
        <v>1</v>
      </c>
      <c r="S43">
        <f t="shared" si="24"/>
        <v>1</v>
      </c>
      <c r="T43">
        <f t="shared" si="25"/>
        <v>-1</v>
      </c>
      <c r="U43">
        <f t="shared" si="36"/>
        <v>1</v>
      </c>
      <c r="V43">
        <f>VLOOKUP($A43,'FuturesInfo (3)'!$A$2:$V$80,22)</f>
        <v>2</v>
      </c>
      <c r="W43">
        <v>1</v>
      </c>
      <c r="X43" s="354">
        <v>108550</v>
      </c>
      <c r="Y43" s="354">
        <f>VLOOKUP(A43,'FuturesInfo (3)'!$A$2:$AI$80,35)*V43</f>
        <v>5750</v>
      </c>
      <c r="Z43" s="188">
        <f t="shared" si="26"/>
        <v>1060.2558139540185</v>
      </c>
      <c r="AA43" s="188">
        <f>IF(IF(sym!$Q32=H43,1,0)=1,ABS(X43*G43),-ABS(X43*G43))</f>
        <v>1060.2558139540185</v>
      </c>
      <c r="AB43" s="188">
        <f>IF(IF(sym!$P32=$H43,1,0)=1,ABS($X43*$G43),-ABS($X43*$G43))</f>
        <v>-1060.2558139540185</v>
      </c>
      <c r="AC43" s="188">
        <f t="shared" si="42"/>
        <v>-1060.2558139540185</v>
      </c>
      <c r="AD43" s="188">
        <f t="shared" si="27"/>
        <v>1060.2558139540185</v>
      </c>
      <c r="AE43" s="188">
        <f t="shared" si="28"/>
        <v>-1060.2558139540185</v>
      </c>
      <c r="AF43" s="188">
        <f t="shared" si="37"/>
        <v>-1060.2558139540185</v>
      </c>
      <c r="AG43" s="188">
        <f t="shared" si="38"/>
        <v>1060.2558139540185</v>
      </c>
      <c r="AH43" s="188">
        <f t="shared" si="39"/>
        <v>-1060.2558139540185</v>
      </c>
      <c r="AI43" s="188">
        <f t="shared" si="40"/>
        <v>1060.2558139540185</v>
      </c>
      <c r="AJ43" s="188">
        <f t="shared" si="41"/>
        <v>-1060.2558139540185</v>
      </c>
      <c r="AK43" s="188">
        <f t="shared" si="29"/>
        <v>1060.2558139540185</v>
      </c>
      <c r="AL43" s="188">
        <f t="shared" si="30"/>
        <v>-1060.2558139540185</v>
      </c>
      <c r="AM43" s="188">
        <f t="shared" si="31"/>
        <v>1060.2558139540185</v>
      </c>
      <c r="AN43" s="188">
        <f t="shared" si="32"/>
        <v>1060.2558139540185</v>
      </c>
      <c r="AO43" s="188">
        <f t="shared" si="33"/>
        <v>-1060.2558139540185</v>
      </c>
      <c r="AP43" s="188">
        <f t="shared" si="34"/>
        <v>1060.2558139540185</v>
      </c>
    </row>
    <row r="44" spans="1:42" ht="15.75" thickBot="1" x14ac:dyDescent="0.3">
      <c r="A44" s="1" t="s">
        <v>1024</v>
      </c>
      <c r="B44" s="149" t="s">
        <v>353</v>
      </c>
      <c r="C44" s="192" t="s">
        <v>294</v>
      </c>
      <c r="E44" s="201">
        <f>'0809'!H44</f>
        <v>-1</v>
      </c>
      <c r="F44" s="186">
        <f t="shared" si="20"/>
        <v>-115.93284283556778</v>
      </c>
      <c r="G44" s="202">
        <v>-4.0126621784299999E-4</v>
      </c>
      <c r="H44" s="202">
        <v>-1</v>
      </c>
      <c r="I44" s="227">
        <v>-1</v>
      </c>
      <c r="J44" s="227">
        <v>-1</v>
      </c>
      <c r="K44" s="227">
        <v>1</v>
      </c>
      <c r="L44" s="202">
        <v>-1</v>
      </c>
      <c r="M44" s="228">
        <v>23</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4">
        <v>288917.5257731959</v>
      </c>
      <c r="Y44" s="354">
        <f>VLOOKUP(A44,'FuturesInfo (3)'!$A$2:$AI$80,35)*V44</f>
        <v>25265.463917525773</v>
      </c>
      <c r="Z44" s="188">
        <f t="shared" si="26"/>
        <v>115.93284283556778</v>
      </c>
      <c r="AA44" s="188">
        <f>IF(IF(sym!$Q33=H44,1,0)=1,ABS(X44*G44),-ABS(X44*G44))</f>
        <v>-115.93284283556778</v>
      </c>
      <c r="AB44" s="188">
        <f>IF(IF(sym!$P33=$H44,1,0)=1,ABS($X44*$G44),-ABS($X44*$G44))</f>
        <v>115.93284283556778</v>
      </c>
      <c r="AC44" s="188">
        <f t="shared" si="42"/>
        <v>115.93284283556778</v>
      </c>
      <c r="AD44" s="188">
        <f t="shared" si="27"/>
        <v>-115.93284283556778</v>
      </c>
      <c r="AE44" s="188">
        <f t="shared" si="28"/>
        <v>115.93284283556778</v>
      </c>
      <c r="AF44" s="188">
        <f t="shared" si="37"/>
        <v>115.93284283556778</v>
      </c>
      <c r="AG44" s="188">
        <f t="shared" si="38"/>
        <v>-115.93284283556778</v>
      </c>
      <c r="AH44" s="188">
        <f t="shared" si="39"/>
        <v>115.93284283556778</v>
      </c>
      <c r="AI44" s="188">
        <f t="shared" si="40"/>
        <v>-115.93284283556778</v>
      </c>
      <c r="AJ44" s="188">
        <f t="shared" si="41"/>
        <v>115.93284283556778</v>
      </c>
      <c r="AK44" s="188">
        <f t="shared" si="29"/>
        <v>-115.93284283556778</v>
      </c>
      <c r="AL44" s="188">
        <f t="shared" si="30"/>
        <v>115.93284283556778</v>
      </c>
      <c r="AM44" s="188">
        <f t="shared" si="31"/>
        <v>-115.93284283556778</v>
      </c>
      <c r="AN44" s="188">
        <f t="shared" si="32"/>
        <v>-115.93284283556778</v>
      </c>
      <c r="AO44" s="188">
        <f t="shared" si="33"/>
        <v>115.93284283556778</v>
      </c>
      <c r="AP44" s="188">
        <f t="shared" si="34"/>
        <v>-115.93284283556778</v>
      </c>
    </row>
    <row r="45" spans="1:42" ht="15.75" thickBot="1" x14ac:dyDescent="0.3">
      <c r="A45" s="1" t="s">
        <v>351</v>
      </c>
      <c r="B45" s="149" t="s">
        <v>617</v>
      </c>
      <c r="C45" s="192" t="s">
        <v>288</v>
      </c>
      <c r="E45" s="201">
        <f>'0809'!H45</f>
        <v>-1</v>
      </c>
      <c r="F45" s="186">
        <f t="shared" si="20"/>
        <v>-1023.6498684899129</v>
      </c>
      <c r="G45" s="202">
        <v>-9.2432554294700001E-3</v>
      </c>
      <c r="H45" s="202">
        <v>-1</v>
      </c>
      <c r="I45" s="227">
        <v>1</v>
      </c>
      <c r="J45" s="227">
        <v>1</v>
      </c>
      <c r="K45" s="227">
        <v>1</v>
      </c>
      <c r="L45" s="202">
        <v>1</v>
      </c>
      <c r="M45" s="228">
        <v>6</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4">
        <v>110745.60000000001</v>
      </c>
      <c r="Y45" s="354">
        <f>VLOOKUP(A45,'FuturesInfo (3)'!$A$2:$AI$80,35)*V45</f>
        <v>11970</v>
      </c>
      <c r="Z45" s="188">
        <f t="shared" si="26"/>
        <v>1023.6498684899129</v>
      </c>
      <c r="AA45" s="188">
        <f>IF(IF(sym!$Q34=H45,1,0)=1,ABS(X45*G45),-ABS(X45*G45))</f>
        <v>-1023.6498684899129</v>
      </c>
      <c r="AB45" s="188">
        <f>IF(IF(sym!$P34=$H45,1,0)=1,ABS($X45*$G45),-ABS($X45*$G45))</f>
        <v>1023.6498684899129</v>
      </c>
      <c r="AC45" s="188">
        <f t="shared" si="42"/>
        <v>1023.6498684899129</v>
      </c>
      <c r="AD45" s="188">
        <f t="shared" si="27"/>
        <v>-1023.6498684899129</v>
      </c>
      <c r="AE45" s="188">
        <f t="shared" si="28"/>
        <v>-1023.6498684899129</v>
      </c>
      <c r="AF45" s="188">
        <f t="shared" si="37"/>
        <v>-1023.6498684899129</v>
      </c>
      <c r="AG45" s="188">
        <f t="shared" si="38"/>
        <v>-1023.6498684899129</v>
      </c>
      <c r="AH45" s="188">
        <f t="shared" si="39"/>
        <v>-1023.6498684899129</v>
      </c>
      <c r="AI45" s="188">
        <f t="shared" si="40"/>
        <v>1023.6498684899129</v>
      </c>
      <c r="AJ45" s="188">
        <f t="shared" si="41"/>
        <v>-1023.6498684899129</v>
      </c>
      <c r="AK45" s="188">
        <f t="shared" si="29"/>
        <v>1023.6498684899129</v>
      </c>
      <c r="AL45" s="188">
        <f t="shared" si="30"/>
        <v>-1023.6498684899129</v>
      </c>
      <c r="AM45" s="188">
        <f t="shared" si="31"/>
        <v>-1023.6498684899129</v>
      </c>
      <c r="AN45" s="188">
        <f t="shared" si="32"/>
        <v>-1023.6498684899129</v>
      </c>
      <c r="AO45" s="188">
        <f t="shared" si="33"/>
        <v>1023.6498684899129</v>
      </c>
      <c r="AP45" s="188">
        <f t="shared" si="34"/>
        <v>-1023.6498684899129</v>
      </c>
    </row>
    <row r="46" spans="1:42" ht="15.75" thickBot="1" x14ac:dyDescent="0.3">
      <c r="A46" s="1" t="s">
        <v>355</v>
      </c>
      <c r="B46" s="149" t="s">
        <v>623</v>
      </c>
      <c r="C46" s="192" t="s">
        <v>1121</v>
      </c>
      <c r="E46" s="201">
        <f>'0809'!H46</f>
        <v>1</v>
      </c>
      <c r="F46" s="186">
        <f t="shared" si="20"/>
        <v>1382.6936771954984</v>
      </c>
      <c r="G46" s="202">
        <v>5.5954015972299997E-3</v>
      </c>
      <c r="H46" s="202">
        <v>1</v>
      </c>
      <c r="I46" s="227">
        <v>-1</v>
      </c>
      <c r="J46" s="227">
        <v>-1</v>
      </c>
      <c r="K46" s="227">
        <v>-1</v>
      </c>
      <c r="L46" s="202">
        <v>1</v>
      </c>
      <c r="M46" s="228">
        <v>-5</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4">
        <v>247112.5</v>
      </c>
      <c r="Y46" s="354">
        <f>VLOOKUP(A46,'FuturesInfo (3)'!$A$2:$AI$80,35)*V46</f>
        <v>7894</v>
      </c>
      <c r="Z46" s="188">
        <f t="shared" si="26"/>
        <v>1382.6936771954984</v>
      </c>
      <c r="AA46" s="188">
        <f>IF(IF(sym!$Q35=H46,1,0)=1,ABS(X46*G46),-ABS(X46*G46))</f>
        <v>-1382.6936771954984</v>
      </c>
      <c r="AB46" s="188">
        <f>IF(IF(sym!$P35=$H46,1,0)=1,ABS($X46*$G46),-ABS($X46*$G46))</f>
        <v>1382.6936771954984</v>
      </c>
      <c r="AC46" s="188">
        <f t="shared" si="42"/>
        <v>1382.6936771954984</v>
      </c>
      <c r="AD46" s="188">
        <f t="shared" si="27"/>
        <v>-1382.6936771954984</v>
      </c>
      <c r="AE46" s="188">
        <f t="shared" si="28"/>
        <v>-1382.6936771954984</v>
      </c>
      <c r="AF46" s="188">
        <f t="shared" si="37"/>
        <v>-1382.6936771954984</v>
      </c>
      <c r="AG46" s="188">
        <f t="shared" si="38"/>
        <v>-1382.6936771954984</v>
      </c>
      <c r="AH46" s="188">
        <f t="shared" si="39"/>
        <v>1382.6936771954984</v>
      </c>
      <c r="AI46" s="188">
        <f t="shared" si="40"/>
        <v>-1382.6936771954984</v>
      </c>
      <c r="AJ46" s="188">
        <f t="shared" si="41"/>
        <v>-1382.6936771954984</v>
      </c>
      <c r="AK46" s="188">
        <f t="shared" si="29"/>
        <v>-1382.6936771954984</v>
      </c>
      <c r="AL46" s="188">
        <f t="shared" si="30"/>
        <v>-1382.6936771954984</v>
      </c>
      <c r="AM46" s="188">
        <f t="shared" si="31"/>
        <v>-1382.6936771954984</v>
      </c>
      <c r="AN46" s="188">
        <f t="shared" si="32"/>
        <v>-1382.6936771954984</v>
      </c>
      <c r="AO46" s="188">
        <f t="shared" ref="AO46:AO77" si="43">IF(IF(T46=$H46,1,0)=1,ABS($X46*$G46),-ABS($X46*$G46))</f>
        <v>1382.6936771954984</v>
      </c>
      <c r="AP46" s="188">
        <f t="shared" ref="AP46:AP77" si="44">IF(IF(U46=$H46,1,0)=1,ABS($X46*$G46),-ABS($X46*$G46))</f>
        <v>-1382.6936771954984</v>
      </c>
    </row>
    <row r="47" spans="1:42" ht="15.75" thickBot="1" x14ac:dyDescent="0.3">
      <c r="A47" s="1" t="s">
        <v>357</v>
      </c>
      <c r="B47" s="149" t="s">
        <v>513</v>
      </c>
      <c r="C47" s="192" t="s">
        <v>304</v>
      </c>
      <c r="E47" s="201">
        <f>'0809'!H47</f>
        <v>1</v>
      </c>
      <c r="F47" s="186">
        <f t="shared" si="20"/>
        <v>-1770.1554404114099</v>
      </c>
      <c r="G47" s="202">
        <v>-1.65803108808E-2</v>
      </c>
      <c r="H47" s="202">
        <v>-1</v>
      </c>
      <c r="I47" s="227">
        <v>1</v>
      </c>
      <c r="J47" s="227">
        <v>1</v>
      </c>
      <c r="K47" s="227">
        <v>1</v>
      </c>
      <c r="L47" s="202">
        <v>1</v>
      </c>
      <c r="M47" s="228">
        <v>-7</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4">
        <v>106762.5</v>
      </c>
      <c r="Y47" s="354">
        <f>VLOOKUP(A47,'FuturesInfo (3)'!$A$2:$AI$80,35)*V47</f>
        <v>15000</v>
      </c>
      <c r="Z47" s="188">
        <f t="shared" si="26"/>
        <v>1770.1554404114099</v>
      </c>
      <c r="AA47" s="188">
        <f>IF(IF(sym!$Q36=H47,1,0)=1,ABS(X47*G47),-ABS(X47*G47))</f>
        <v>-1770.1554404114099</v>
      </c>
      <c r="AB47" s="188">
        <f>IF(IF(sym!$P36=$H47,1,0)=1,ABS($X47*$G47),-ABS($X47*$G47))</f>
        <v>1770.1554404114099</v>
      </c>
      <c r="AC47" s="188">
        <f t="shared" si="42"/>
        <v>-1770.1554404114099</v>
      </c>
      <c r="AD47" s="188">
        <f t="shared" si="27"/>
        <v>1770.1554404114099</v>
      </c>
      <c r="AE47" s="188">
        <f t="shared" si="28"/>
        <v>-1770.1554404114099</v>
      </c>
      <c r="AF47" s="188">
        <f t="shared" si="37"/>
        <v>-1770.1554404114099</v>
      </c>
      <c r="AG47" s="188">
        <f t="shared" si="38"/>
        <v>-1770.1554404114099</v>
      </c>
      <c r="AH47" s="188">
        <f t="shared" si="39"/>
        <v>-1770.1554404114099</v>
      </c>
      <c r="AI47" s="188">
        <f t="shared" si="40"/>
        <v>1770.1554404114099</v>
      </c>
      <c r="AJ47" s="188">
        <f t="shared" si="41"/>
        <v>1770.1554404114099</v>
      </c>
      <c r="AK47" s="188">
        <f t="shared" si="29"/>
        <v>-1770.1554404114099</v>
      </c>
      <c r="AL47" s="188">
        <f t="shared" si="30"/>
        <v>1770.1554404114099</v>
      </c>
      <c r="AM47" s="188">
        <f t="shared" si="31"/>
        <v>1770.1554404114099</v>
      </c>
      <c r="AN47" s="188">
        <f t="shared" si="32"/>
        <v>1770.1554404114099</v>
      </c>
      <c r="AO47" s="188">
        <f t="shared" si="43"/>
        <v>-1770.1554404114099</v>
      </c>
      <c r="AP47" s="188">
        <f t="shared" si="44"/>
        <v>1770.1554404114099</v>
      </c>
    </row>
    <row r="48" spans="1:42" ht="15.75" thickBot="1" x14ac:dyDescent="0.3">
      <c r="A48" s="1" t="s">
        <v>1051</v>
      </c>
      <c r="B48" s="149" t="s">
        <v>614</v>
      </c>
      <c r="C48" s="192" t="s">
        <v>297</v>
      </c>
      <c r="E48" s="201">
        <f>'0809'!H48</f>
        <v>1</v>
      </c>
      <c r="F48" s="186">
        <f t="shared" si="20"/>
        <v>351.49390243928548</v>
      </c>
      <c r="G48" s="202">
        <v>4.2682926829299998E-3</v>
      </c>
      <c r="H48" s="202">
        <v>1</v>
      </c>
      <c r="I48" s="227">
        <v>1</v>
      </c>
      <c r="J48" s="227">
        <v>1</v>
      </c>
      <c r="K48" s="227">
        <v>1</v>
      </c>
      <c r="L48" s="202">
        <v>1</v>
      </c>
      <c r="M48" s="228">
        <v>-7</v>
      </c>
      <c r="N48" s="288">
        <v>42580</v>
      </c>
      <c r="O48">
        <f t="shared" si="21"/>
        <v>-1</v>
      </c>
      <c r="P48">
        <f t="shared" si="35"/>
        <v>1</v>
      </c>
      <c r="Q48">
        <f t="shared" si="22"/>
        <v>-1</v>
      </c>
      <c r="R48">
        <f t="shared" si="23"/>
        <v>-1</v>
      </c>
      <c r="S48">
        <f t="shared" si="24"/>
        <v>-1</v>
      </c>
      <c r="T48">
        <f t="shared" si="25"/>
        <v>1</v>
      </c>
      <c r="U48">
        <f t="shared" si="36"/>
        <v>-1</v>
      </c>
      <c r="V48">
        <f>VLOOKUP($A48,'FuturesInfo (3)'!$A$2:$V$80,22)</f>
        <v>4</v>
      </c>
      <c r="W48">
        <v>1</v>
      </c>
      <c r="X48" s="354">
        <v>82350</v>
      </c>
      <c r="Y48" s="354">
        <f>VLOOKUP(A48,'FuturesInfo (3)'!$A$2:$AI$80,35)*V48</f>
        <v>7000</v>
      </c>
      <c r="Z48" s="188">
        <f t="shared" si="26"/>
        <v>351.49390243928548</v>
      </c>
      <c r="AA48" s="188">
        <f>IF(IF(sym!$Q37=H48,1,0)=1,ABS(X48*G48),-ABS(X48*G48))</f>
        <v>351.49390243928548</v>
      </c>
      <c r="AB48" s="188">
        <f>IF(IF(sym!$P37=$H48,1,0)=1,ABS($X48*$G48),-ABS($X48*$G48))</f>
        <v>-351.49390243928548</v>
      </c>
      <c r="AC48" s="188">
        <f t="shared" si="42"/>
        <v>351.49390243928548</v>
      </c>
      <c r="AD48" s="188">
        <f t="shared" si="27"/>
        <v>-351.49390243928548</v>
      </c>
      <c r="AE48" s="188">
        <f t="shared" si="28"/>
        <v>351.49390243928548</v>
      </c>
      <c r="AF48" s="188">
        <f t="shared" si="37"/>
        <v>351.49390243928548</v>
      </c>
      <c r="AG48" s="188">
        <f t="shared" si="38"/>
        <v>351.49390243928548</v>
      </c>
      <c r="AH48" s="188">
        <f t="shared" si="39"/>
        <v>351.49390243928548</v>
      </c>
      <c r="AI48" s="188">
        <f t="shared" si="40"/>
        <v>-351.49390243928548</v>
      </c>
      <c r="AJ48" s="188">
        <f t="shared" si="41"/>
        <v>-351.49390243928548</v>
      </c>
      <c r="AK48" s="188">
        <f t="shared" si="29"/>
        <v>351.49390243928548</v>
      </c>
      <c r="AL48" s="188">
        <f t="shared" si="30"/>
        <v>-351.49390243928548</v>
      </c>
      <c r="AM48" s="188">
        <f t="shared" si="31"/>
        <v>-351.49390243928548</v>
      </c>
      <c r="AN48" s="188">
        <f t="shared" si="32"/>
        <v>-351.49390243928548</v>
      </c>
      <c r="AO48" s="188">
        <f t="shared" si="43"/>
        <v>351.49390243928548</v>
      </c>
      <c r="AP48" s="188">
        <f t="shared" si="44"/>
        <v>-351.49390243928548</v>
      </c>
    </row>
    <row r="49" spans="1:42" ht="15.75" thickBot="1" x14ac:dyDescent="0.3">
      <c r="A49" s="4" t="s">
        <v>359</v>
      </c>
      <c r="B49" s="149" t="s">
        <v>708</v>
      </c>
      <c r="C49" s="330" t="s">
        <v>1285</v>
      </c>
      <c r="E49" s="201">
        <f>'0809'!H49</f>
        <v>1</v>
      </c>
      <c r="F49" s="186">
        <f t="shared" si="20"/>
        <v>-492.76490066209857</v>
      </c>
      <c r="G49" s="202">
        <v>-4.5153521974699998E-3</v>
      </c>
      <c r="H49" s="234">
        <v>-1</v>
      </c>
      <c r="I49" s="230">
        <v>1</v>
      </c>
      <c r="J49" s="230">
        <v>1</v>
      </c>
      <c r="K49" s="230">
        <v>1</v>
      </c>
      <c r="L49" s="202">
        <v>1</v>
      </c>
      <c r="M49" s="228">
        <v>6</v>
      </c>
      <c r="N49" s="288">
        <v>42583</v>
      </c>
      <c r="O49">
        <f t="shared" si="21"/>
        <v>1</v>
      </c>
      <c r="P49">
        <f t="shared" si="35"/>
        <v>1</v>
      </c>
      <c r="Q49">
        <f t="shared" si="22"/>
        <v>1</v>
      </c>
      <c r="R49">
        <f t="shared" si="23"/>
        <v>-1</v>
      </c>
      <c r="S49">
        <f t="shared" si="24"/>
        <v>1</v>
      </c>
      <c r="T49">
        <f t="shared" si="25"/>
        <v>-1</v>
      </c>
      <c r="U49">
        <f t="shared" si="36"/>
        <v>-1</v>
      </c>
      <c r="V49">
        <f>VLOOKUP($A49,'FuturesInfo (3)'!$A$2:$V$80,22)</f>
        <v>0</v>
      </c>
      <c r="W49">
        <v>1</v>
      </c>
      <c r="X49" s="354">
        <v>109131</v>
      </c>
      <c r="Y49" s="354">
        <f>VLOOKUP(A49,'FuturesInfo (3)'!$A$2:$AI$80,35)*V49</f>
        <v>0</v>
      </c>
      <c r="Z49" s="188">
        <f t="shared" si="26"/>
        <v>492.76490066209857</v>
      </c>
      <c r="AA49" s="188">
        <f>IF(IF(sym!$Q38=H49,1,0)=1,ABS(X49*G49),-ABS(X49*G49))</f>
        <v>-492.76490066209857</v>
      </c>
      <c r="AB49" s="188">
        <f>IF(IF(sym!$P38=$H49,1,0)=1,ABS($X49*$G49),-ABS($X49*$G49))</f>
        <v>492.76490066209857</v>
      </c>
      <c r="AC49" s="188">
        <f t="shared" si="42"/>
        <v>-492.76490066209857</v>
      </c>
      <c r="AD49" s="188">
        <f t="shared" si="27"/>
        <v>492.76490066209857</v>
      </c>
      <c r="AE49" s="188">
        <f t="shared" si="28"/>
        <v>-492.76490066209857</v>
      </c>
      <c r="AF49" s="188">
        <f t="shared" si="37"/>
        <v>-492.76490066209857</v>
      </c>
      <c r="AG49" s="188">
        <f t="shared" si="38"/>
        <v>-492.76490066209857</v>
      </c>
      <c r="AH49" s="188">
        <f t="shared" si="39"/>
        <v>-492.76490066209857</v>
      </c>
      <c r="AI49" s="188">
        <f t="shared" si="40"/>
        <v>492.76490066209857</v>
      </c>
      <c r="AJ49" s="188">
        <f t="shared" si="41"/>
        <v>-492.76490066209857</v>
      </c>
      <c r="AK49" s="188">
        <f t="shared" si="29"/>
        <v>-492.76490066209857</v>
      </c>
      <c r="AL49" s="188">
        <f t="shared" si="30"/>
        <v>-492.76490066209857</v>
      </c>
      <c r="AM49" s="188">
        <f t="shared" si="31"/>
        <v>492.76490066209857</v>
      </c>
      <c r="AN49" s="188">
        <f t="shared" si="32"/>
        <v>-492.76490066209857</v>
      </c>
      <c r="AO49" s="188">
        <f t="shared" si="43"/>
        <v>492.76490066209857</v>
      </c>
      <c r="AP49" s="188">
        <f t="shared" si="44"/>
        <v>492.76490066209857</v>
      </c>
    </row>
    <row r="50" spans="1:42" ht="15.75" thickBot="1" x14ac:dyDescent="0.3">
      <c r="A50" s="1" t="s">
        <v>361</v>
      </c>
      <c r="B50" s="149" t="s">
        <v>631</v>
      </c>
      <c r="C50" s="192" t="s">
        <v>313</v>
      </c>
      <c r="E50" s="201">
        <f>'0809'!H50</f>
        <v>1</v>
      </c>
      <c r="F50" s="186">
        <f t="shared" si="20"/>
        <v>-89.94130434789804</v>
      </c>
      <c r="G50" s="202">
        <v>-6.5217391304400003E-4</v>
      </c>
      <c r="H50" s="202">
        <v>-1</v>
      </c>
      <c r="I50" s="227">
        <v>1</v>
      </c>
      <c r="J50" s="227">
        <v>1</v>
      </c>
      <c r="K50" s="227">
        <v>1</v>
      </c>
      <c r="L50" s="202">
        <v>-1</v>
      </c>
      <c r="M50" s="228">
        <v>13</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4">
        <v>137910</v>
      </c>
      <c r="Y50" s="354">
        <f>VLOOKUP(A50,'FuturesInfo (3)'!$A$2:$AI$80,35)*V50</f>
        <v>6750</v>
      </c>
      <c r="Z50" s="188">
        <f t="shared" si="26"/>
        <v>89.94130434789804</v>
      </c>
      <c r="AA50" s="188">
        <f>IF(IF(sym!$Q39=H50,1,0)=1,ABS(X50*G50),-ABS(X50*G50))</f>
        <v>-89.94130434789804</v>
      </c>
      <c r="AB50" s="188">
        <f>IF(IF(sym!$P39=$H50,1,0)=1,ABS($X50*$G50),-ABS($X50*$G50))</f>
        <v>89.94130434789804</v>
      </c>
      <c r="AC50" s="188">
        <f t="shared" si="42"/>
        <v>-89.94130434789804</v>
      </c>
      <c r="AD50" s="188">
        <f t="shared" si="27"/>
        <v>89.94130434789804</v>
      </c>
      <c r="AE50" s="188">
        <f t="shared" si="28"/>
        <v>-89.94130434789804</v>
      </c>
      <c r="AF50" s="188">
        <f t="shared" si="37"/>
        <v>-89.94130434789804</v>
      </c>
      <c r="AG50" s="188">
        <f t="shared" si="38"/>
        <v>-89.94130434789804</v>
      </c>
      <c r="AH50" s="188">
        <f t="shared" si="39"/>
        <v>89.94130434789804</v>
      </c>
      <c r="AI50" s="188">
        <f t="shared" si="40"/>
        <v>-89.94130434789804</v>
      </c>
      <c r="AJ50" s="188">
        <f t="shared" si="41"/>
        <v>89.94130434789804</v>
      </c>
      <c r="AK50" s="188">
        <f t="shared" si="29"/>
        <v>-89.94130434789804</v>
      </c>
      <c r="AL50" s="188">
        <f t="shared" si="30"/>
        <v>89.94130434789804</v>
      </c>
      <c r="AM50" s="188">
        <f t="shared" si="31"/>
        <v>-89.94130434789804</v>
      </c>
      <c r="AN50" s="188">
        <f t="shared" si="32"/>
        <v>-89.94130434789804</v>
      </c>
      <c r="AO50" s="188">
        <f t="shared" si="43"/>
        <v>-89.94130434789804</v>
      </c>
      <c r="AP50" s="188">
        <f t="shared" si="44"/>
        <v>-89.94130434789804</v>
      </c>
    </row>
    <row r="51" spans="1:42" ht="15.75" thickBot="1" x14ac:dyDescent="0.3">
      <c r="A51" s="1" t="s">
        <v>363</v>
      </c>
      <c r="B51" s="149" t="s">
        <v>476</v>
      </c>
      <c r="C51" s="192" t="s">
        <v>288</v>
      </c>
      <c r="E51" s="201">
        <f>'0809'!H51</f>
        <v>-1</v>
      </c>
      <c r="F51" s="186">
        <f t="shared" si="20"/>
        <v>-1764.682799216838</v>
      </c>
      <c r="G51" s="202">
        <v>-1.9620667102699999E-2</v>
      </c>
      <c r="H51" s="202">
        <v>-1</v>
      </c>
      <c r="I51" s="227">
        <v>-1</v>
      </c>
      <c r="J51" s="227">
        <v>1</v>
      </c>
      <c r="K51" s="227">
        <v>-1</v>
      </c>
      <c r="L51" s="202">
        <v>-1</v>
      </c>
      <c r="M51" s="228">
        <v>-5</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4">
        <v>89940</v>
      </c>
      <c r="Y51" s="354">
        <f>VLOOKUP(A51,'FuturesInfo (3)'!$A$2:$AI$80,35)*V51</f>
        <v>10000</v>
      </c>
      <c r="Z51" s="188">
        <f t="shared" si="26"/>
        <v>1764.682799216838</v>
      </c>
      <c r="AA51" s="188">
        <f>IF(IF(sym!$Q40=H51,1,0)=1,ABS(X51*G51),-ABS(X51*G51))</f>
        <v>-1764.682799216838</v>
      </c>
      <c r="AB51" s="188">
        <f>IF(IF(sym!$P40=$H51,1,0)=1,ABS($X51*$G51),-ABS($X51*$G51))</f>
        <v>1764.682799216838</v>
      </c>
      <c r="AC51" s="188">
        <f t="shared" si="42"/>
        <v>1764.682799216838</v>
      </c>
      <c r="AD51" s="188">
        <f t="shared" si="27"/>
        <v>-1764.682799216838</v>
      </c>
      <c r="AE51" s="188">
        <f t="shared" si="28"/>
        <v>-1764.682799216838</v>
      </c>
      <c r="AF51" s="188">
        <f t="shared" si="37"/>
        <v>1764.682799216838</v>
      </c>
      <c r="AG51" s="188">
        <f t="shared" si="38"/>
        <v>1764.682799216838</v>
      </c>
      <c r="AH51" s="188">
        <f t="shared" si="39"/>
        <v>1764.682799216838</v>
      </c>
      <c r="AI51" s="188">
        <f t="shared" si="40"/>
        <v>-1764.682799216838</v>
      </c>
      <c r="AJ51" s="188">
        <f t="shared" si="41"/>
        <v>-1764.682799216838</v>
      </c>
      <c r="AK51" s="188">
        <f t="shared" si="29"/>
        <v>1764.682799216838</v>
      </c>
      <c r="AL51" s="188">
        <f t="shared" si="30"/>
        <v>-1764.682799216838</v>
      </c>
      <c r="AM51" s="188">
        <f t="shared" si="31"/>
        <v>-1764.682799216838</v>
      </c>
      <c r="AN51" s="188">
        <f t="shared" si="32"/>
        <v>-1764.682799216838</v>
      </c>
      <c r="AO51" s="188">
        <f t="shared" si="43"/>
        <v>1764.682799216838</v>
      </c>
      <c r="AP51" s="188">
        <f t="shared" si="44"/>
        <v>-1764.682799216838</v>
      </c>
    </row>
    <row r="52" spans="1:42" ht="15.75" thickBot="1" x14ac:dyDescent="0.3">
      <c r="A52" s="1" t="s">
        <v>365</v>
      </c>
      <c r="B52" s="149" t="s">
        <v>1097</v>
      </c>
      <c r="C52" s="192" t="s">
        <v>288</v>
      </c>
      <c r="E52" s="201">
        <f>'0809'!H52</f>
        <v>1</v>
      </c>
      <c r="F52" s="186">
        <f t="shared" si="20"/>
        <v>-1230.0955414027501</v>
      </c>
      <c r="G52" s="202">
        <v>-1.5923566879000001E-2</v>
      </c>
      <c r="H52" s="202">
        <v>-1</v>
      </c>
      <c r="I52" s="227">
        <v>1</v>
      </c>
      <c r="J52" s="227">
        <v>-1</v>
      </c>
      <c r="K52" s="227">
        <v>1</v>
      </c>
      <c r="L52" s="202">
        <v>-1</v>
      </c>
      <c r="M52" s="228">
        <v>6</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4">
        <v>77250</v>
      </c>
      <c r="Y52" s="354">
        <f>VLOOKUP(A52,'FuturesInfo (3)'!$A$2:$AI$80,35)*V52</f>
        <v>8800</v>
      </c>
      <c r="Z52" s="188">
        <f t="shared" si="26"/>
        <v>1230.0955414027501</v>
      </c>
      <c r="AA52" s="188">
        <f>IF(IF(sym!$Q41=H52,1,0)=1,ABS(X52*G52),-ABS(X52*G52))</f>
        <v>-1230.0955414027501</v>
      </c>
      <c r="AB52" s="188">
        <f>IF(IF(sym!$P41=$H52,1,0)=1,ABS($X52*$G52),-ABS($X52*$G52))</f>
        <v>1230.0955414027501</v>
      </c>
      <c r="AC52" s="188">
        <f t="shared" si="42"/>
        <v>-1230.0955414027501</v>
      </c>
      <c r="AD52" s="188">
        <f t="shared" si="27"/>
        <v>1230.0955414027501</v>
      </c>
      <c r="AE52" s="188">
        <f t="shared" si="28"/>
        <v>1230.0955414027501</v>
      </c>
      <c r="AF52" s="188">
        <f t="shared" si="37"/>
        <v>-1230.0955414027501</v>
      </c>
      <c r="AG52" s="188">
        <f t="shared" si="38"/>
        <v>-1230.0955414027501</v>
      </c>
      <c r="AH52" s="188">
        <f t="shared" si="39"/>
        <v>1230.0955414027501</v>
      </c>
      <c r="AI52" s="188">
        <f t="shared" si="40"/>
        <v>-1230.0955414027501</v>
      </c>
      <c r="AJ52" s="188">
        <f t="shared" si="41"/>
        <v>1230.0955414027501</v>
      </c>
      <c r="AK52" s="188">
        <f t="shared" si="29"/>
        <v>-1230.0955414027501</v>
      </c>
      <c r="AL52" s="188">
        <f t="shared" si="30"/>
        <v>1230.0955414027501</v>
      </c>
      <c r="AM52" s="188">
        <f t="shared" si="31"/>
        <v>-1230.0955414027501</v>
      </c>
      <c r="AN52" s="188">
        <f t="shared" si="32"/>
        <v>-1230.0955414027501</v>
      </c>
      <c r="AO52" s="188">
        <f t="shared" si="43"/>
        <v>-1230.0955414027501</v>
      </c>
      <c r="AP52" s="188">
        <f t="shared" si="44"/>
        <v>1230.0955414027501</v>
      </c>
    </row>
    <row r="53" spans="1:42" ht="15.75" thickBot="1" x14ac:dyDescent="0.3">
      <c r="A53" s="1" t="s">
        <v>367</v>
      </c>
      <c r="B53" s="149" t="s">
        <v>625</v>
      </c>
      <c r="C53" s="192" t="s">
        <v>313</v>
      </c>
      <c r="E53" s="201">
        <f>'0809'!H53</f>
        <v>-1</v>
      </c>
      <c r="F53" s="186">
        <f t="shared" si="20"/>
        <v>1256.512027486772</v>
      </c>
      <c r="G53" s="202">
        <v>1.3316151202699999E-2</v>
      </c>
      <c r="H53" s="202">
        <v>1</v>
      </c>
      <c r="I53" s="227">
        <v>-1</v>
      </c>
      <c r="J53" s="227">
        <v>1</v>
      </c>
      <c r="K53" s="227">
        <v>-1</v>
      </c>
      <c r="L53" s="202">
        <v>1</v>
      </c>
      <c r="M53" s="228">
        <v>7</v>
      </c>
      <c r="N53" s="288">
        <v>42583</v>
      </c>
      <c r="O53">
        <f t="shared" si="21"/>
        <v>1</v>
      </c>
      <c r="P53">
        <f t="shared" si="35"/>
        <v>-1</v>
      </c>
      <c r="Q53">
        <f t="shared" si="22"/>
        <v>1</v>
      </c>
      <c r="R53">
        <f t="shared" si="23"/>
        <v>-1</v>
      </c>
      <c r="S53">
        <f t="shared" si="24"/>
        <v>-1</v>
      </c>
      <c r="T53">
        <f t="shared" si="25"/>
        <v>-1</v>
      </c>
      <c r="U53">
        <f t="shared" si="36"/>
        <v>1</v>
      </c>
      <c r="V53">
        <f>VLOOKUP($A53,'FuturesInfo (3)'!$A$2:$V$80,22)</f>
        <v>3</v>
      </c>
      <c r="W53">
        <v>1</v>
      </c>
      <c r="X53" s="354">
        <v>94360</v>
      </c>
      <c r="Y53" s="354">
        <f>VLOOKUP(A53,'FuturesInfo (3)'!$A$2:$AI$80,35)*V53</f>
        <v>4500</v>
      </c>
      <c r="Z53" s="188">
        <f t="shared" si="26"/>
        <v>1256.512027486772</v>
      </c>
      <c r="AA53" s="188">
        <f>IF(IF(sym!$Q42=H53,1,0)=1,ABS(X53*G53),-ABS(X53*G53))</f>
        <v>1256.512027486772</v>
      </c>
      <c r="AB53" s="188">
        <f>IF(IF(sym!$P42=$H53,1,0)=1,ABS($X53*$G53),-ABS($X53*$G53))</f>
        <v>-1256.512027486772</v>
      </c>
      <c r="AC53" s="188">
        <f t="shared" si="42"/>
        <v>-1256.512027486772</v>
      </c>
      <c r="AD53" s="188">
        <f t="shared" si="27"/>
        <v>1256.512027486772</v>
      </c>
      <c r="AE53" s="188">
        <f t="shared" si="28"/>
        <v>1256.512027486772</v>
      </c>
      <c r="AF53" s="188">
        <f t="shared" si="37"/>
        <v>-1256.512027486772</v>
      </c>
      <c r="AG53" s="188">
        <f t="shared" si="38"/>
        <v>-1256.512027486772</v>
      </c>
      <c r="AH53" s="188">
        <f t="shared" si="39"/>
        <v>1256.512027486772</v>
      </c>
      <c r="AI53" s="188">
        <f t="shared" si="40"/>
        <v>-1256.512027486772</v>
      </c>
      <c r="AJ53" s="188">
        <f t="shared" si="41"/>
        <v>1256.512027486772</v>
      </c>
      <c r="AK53" s="188">
        <f t="shared" si="29"/>
        <v>-1256.512027486772</v>
      </c>
      <c r="AL53" s="188">
        <f t="shared" si="30"/>
        <v>1256.512027486772</v>
      </c>
      <c r="AM53" s="188">
        <f t="shared" si="31"/>
        <v>-1256.512027486772</v>
      </c>
      <c r="AN53" s="188">
        <f t="shared" si="32"/>
        <v>-1256.512027486772</v>
      </c>
      <c r="AO53" s="188">
        <f t="shared" si="43"/>
        <v>-1256.512027486772</v>
      </c>
      <c r="AP53" s="188">
        <f t="shared" si="44"/>
        <v>1256.512027486772</v>
      </c>
    </row>
    <row r="54" spans="1:42" ht="15.75" thickBot="1" x14ac:dyDescent="0.3">
      <c r="A54" s="1" t="s">
        <v>511</v>
      </c>
      <c r="B54" s="149" t="s">
        <v>511</v>
      </c>
      <c r="C54" s="192" t="s">
        <v>304</v>
      </c>
      <c r="E54" s="201">
        <f>'0809'!H54</f>
        <v>-1</v>
      </c>
      <c r="F54" s="186">
        <f t="shared" si="20"/>
        <v>-79.956019791107991</v>
      </c>
      <c r="G54" s="202">
        <v>-5.4975261132499998E-4</v>
      </c>
      <c r="H54" s="202">
        <v>-1</v>
      </c>
      <c r="I54" s="227">
        <v>1</v>
      </c>
      <c r="J54" s="227">
        <v>1</v>
      </c>
      <c r="K54" s="227">
        <v>1</v>
      </c>
      <c r="L54" s="202">
        <v>1</v>
      </c>
      <c r="M54" s="228">
        <v>18</v>
      </c>
      <c r="N54" s="288">
        <v>42576</v>
      </c>
      <c r="O54">
        <f t="shared" si="21"/>
        <v>1</v>
      </c>
      <c r="P54">
        <f t="shared" si="35"/>
        <v>-1</v>
      </c>
      <c r="Q54">
        <f t="shared" si="22"/>
        <v>1</v>
      </c>
      <c r="R54">
        <f t="shared" si="23"/>
        <v>1</v>
      </c>
      <c r="S54">
        <f t="shared" si="24"/>
        <v>1</v>
      </c>
      <c r="T54">
        <f t="shared" si="25"/>
        <v>-1</v>
      </c>
      <c r="U54">
        <f t="shared" si="36"/>
        <v>1</v>
      </c>
      <c r="V54">
        <f>VLOOKUP($A54,'FuturesInfo (3)'!$A$2:$V$80,22)</f>
        <v>10</v>
      </c>
      <c r="W54">
        <v>1</v>
      </c>
      <c r="X54" s="354">
        <v>145440</v>
      </c>
      <c r="Y54" s="354">
        <f>VLOOKUP(A54,'FuturesInfo (3)'!$A$2:$AI$80,35)*V54</f>
        <v>19550</v>
      </c>
      <c r="Z54" s="188">
        <f t="shared" si="26"/>
        <v>79.956019791107991</v>
      </c>
      <c r="AA54" s="188">
        <f>IF(IF(sym!$Q43=H54,1,0)=1,ABS(X54*G54),-ABS(X54*G54))</f>
        <v>-79.956019791107991</v>
      </c>
      <c r="AB54" s="188">
        <f>IF(IF(sym!$P43=$H54,1,0)=1,ABS($X54*$G54),-ABS($X54*$G54))</f>
        <v>79.956019791107991</v>
      </c>
      <c r="AC54" s="188">
        <f t="shared" si="42"/>
        <v>79.956019791107991</v>
      </c>
      <c r="AD54" s="188">
        <f t="shared" si="27"/>
        <v>-79.956019791107991</v>
      </c>
      <c r="AE54" s="188">
        <f t="shared" si="28"/>
        <v>-79.956019791107991</v>
      </c>
      <c r="AF54" s="188">
        <f t="shared" si="37"/>
        <v>-79.956019791107991</v>
      </c>
      <c r="AG54" s="188">
        <f t="shared" si="38"/>
        <v>-79.956019791107991</v>
      </c>
      <c r="AH54" s="188">
        <f t="shared" si="39"/>
        <v>-79.956019791107991</v>
      </c>
      <c r="AI54" s="188">
        <f t="shared" si="40"/>
        <v>79.956019791107991</v>
      </c>
      <c r="AJ54" s="188">
        <f t="shared" si="41"/>
        <v>-79.956019791107991</v>
      </c>
      <c r="AK54" s="188">
        <f t="shared" si="29"/>
        <v>79.956019791107991</v>
      </c>
      <c r="AL54" s="188">
        <f t="shared" si="30"/>
        <v>-79.956019791107991</v>
      </c>
      <c r="AM54" s="188">
        <f t="shared" si="31"/>
        <v>-79.956019791107991</v>
      </c>
      <c r="AN54" s="188">
        <f t="shared" si="32"/>
        <v>-79.956019791107991</v>
      </c>
      <c r="AO54" s="188">
        <f t="shared" si="43"/>
        <v>79.956019791107991</v>
      </c>
      <c r="AP54" s="188">
        <f t="shared" si="44"/>
        <v>-79.956019791107991</v>
      </c>
    </row>
    <row r="55" spans="1:42" ht="15.75" thickBot="1" x14ac:dyDescent="0.3">
      <c r="A55" s="1" t="s">
        <v>988</v>
      </c>
      <c r="B55" s="149" t="s">
        <v>629</v>
      </c>
      <c r="C55" s="192" t="s">
        <v>304</v>
      </c>
      <c r="E55" s="201">
        <f>'0809'!H55</f>
        <v>-1</v>
      </c>
      <c r="F55" s="186">
        <f t="shared" si="20"/>
        <v>-3649.9635966539199</v>
      </c>
      <c r="G55" s="202">
        <v>-3.4401164907200001E-2</v>
      </c>
      <c r="H55" s="202">
        <v>-1</v>
      </c>
      <c r="I55" s="227">
        <v>-1</v>
      </c>
      <c r="J55" s="227">
        <v>-1</v>
      </c>
      <c r="K55" s="227">
        <v>-1</v>
      </c>
      <c r="L55" s="202">
        <v>-1</v>
      </c>
      <c r="M55" s="228">
        <v>-8</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4">
        <v>106100</v>
      </c>
      <c r="Y55" s="354">
        <f>VLOOKUP(A55,'FuturesInfo (3)'!$A$2:$AI$80,35)*V55</f>
        <v>8312</v>
      </c>
      <c r="Z55" s="188">
        <f t="shared" si="26"/>
        <v>3649.9635966539199</v>
      </c>
      <c r="AA55" s="188">
        <f>IF(IF(sym!$Q44=H55,1,0)=1,ABS(X55*G55),-ABS(X55*G55))</f>
        <v>-3649.9635966539199</v>
      </c>
      <c r="AB55" s="188">
        <f>IF(IF(sym!$P44=$H55,1,0)=1,ABS($X55*$G55),-ABS($X55*$G55))</f>
        <v>3649.9635966539199</v>
      </c>
      <c r="AC55" s="188">
        <f t="shared" si="42"/>
        <v>3649.9635966539199</v>
      </c>
      <c r="AD55" s="188">
        <f t="shared" si="27"/>
        <v>-3649.9635966539199</v>
      </c>
      <c r="AE55" s="188">
        <f t="shared" si="28"/>
        <v>3649.9635966539199</v>
      </c>
      <c r="AF55" s="188">
        <f t="shared" si="37"/>
        <v>3649.9635966539199</v>
      </c>
      <c r="AG55" s="188">
        <f t="shared" si="38"/>
        <v>3649.9635966539199</v>
      </c>
      <c r="AH55" s="188">
        <f t="shared" si="39"/>
        <v>3649.9635966539199</v>
      </c>
      <c r="AI55" s="188">
        <f t="shared" si="40"/>
        <v>-3649.9635966539199</v>
      </c>
      <c r="AJ55" s="188">
        <f t="shared" si="41"/>
        <v>-3649.9635966539199</v>
      </c>
      <c r="AK55" s="188">
        <f t="shared" si="29"/>
        <v>3649.9635966539199</v>
      </c>
      <c r="AL55" s="188">
        <f t="shared" si="30"/>
        <v>-3649.9635966539199</v>
      </c>
      <c r="AM55" s="188">
        <f t="shared" si="31"/>
        <v>-3649.9635966539199</v>
      </c>
      <c r="AN55" s="188">
        <f t="shared" si="32"/>
        <v>-3649.9635966539199</v>
      </c>
      <c r="AO55" s="188">
        <f t="shared" si="43"/>
        <v>3649.9635966539199</v>
      </c>
      <c r="AP55" s="188">
        <f t="shared" si="44"/>
        <v>-3649.9635966539199</v>
      </c>
    </row>
    <row r="56" spans="1:42" ht="15.75" thickBot="1" x14ac:dyDescent="0.3">
      <c r="A56" s="1" t="s">
        <v>989</v>
      </c>
      <c r="B56" s="149" t="s">
        <v>655</v>
      </c>
      <c r="C56" s="192" t="s">
        <v>294</v>
      </c>
      <c r="E56" s="201">
        <f>'0809'!H56</f>
        <v>1</v>
      </c>
      <c r="F56" s="186">
        <f t="shared" si="20"/>
        <v>40.008856415362899</v>
      </c>
      <c r="G56" s="202">
        <v>2.21410384147E-4</v>
      </c>
      <c r="H56" s="202">
        <v>1</v>
      </c>
      <c r="I56" s="227">
        <v>-1</v>
      </c>
      <c r="J56" s="227">
        <v>-1</v>
      </c>
      <c r="K56" s="227">
        <v>-1</v>
      </c>
      <c r="L56" s="202">
        <v>-1</v>
      </c>
      <c r="M56" s="228">
        <v>-16</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4">
        <v>180700</v>
      </c>
      <c r="Y56" s="354">
        <f>VLOOKUP(A56,'FuturesInfo (3)'!$A$2:$AI$80,35)*V56</f>
        <v>9572</v>
      </c>
      <c r="Z56" s="188">
        <f t="shared" si="26"/>
        <v>40.008856415362899</v>
      </c>
      <c r="AA56" s="188">
        <f>IF(IF(sym!$Q45=H56,1,0)=1,ABS(X56*G56),-ABS(X56*G56))</f>
        <v>40.008856415362899</v>
      </c>
      <c r="AB56" s="188">
        <f>IF(IF(sym!$P45=$H56,1,0)=1,ABS($X56*$G56),-ABS($X56*$G56))</f>
        <v>-40.008856415362899</v>
      </c>
      <c r="AC56" s="188">
        <f t="shared" si="42"/>
        <v>40.008856415362899</v>
      </c>
      <c r="AD56" s="188">
        <f t="shared" si="27"/>
        <v>-40.008856415362899</v>
      </c>
      <c r="AE56" s="188">
        <f t="shared" si="28"/>
        <v>-40.008856415362899</v>
      </c>
      <c r="AF56" s="188">
        <f t="shared" si="37"/>
        <v>-40.008856415362899</v>
      </c>
      <c r="AG56" s="188">
        <f t="shared" si="38"/>
        <v>-40.008856415362899</v>
      </c>
      <c r="AH56" s="188">
        <f t="shared" si="39"/>
        <v>-40.008856415362899</v>
      </c>
      <c r="AI56" s="188">
        <f t="shared" si="40"/>
        <v>40.008856415362899</v>
      </c>
      <c r="AJ56" s="188">
        <f t="shared" si="41"/>
        <v>40.008856415362899</v>
      </c>
      <c r="AK56" s="188">
        <f t="shared" si="29"/>
        <v>40.008856415362899</v>
      </c>
      <c r="AL56" s="188">
        <f t="shared" si="30"/>
        <v>-40.008856415362899</v>
      </c>
      <c r="AM56" s="188">
        <f t="shared" si="31"/>
        <v>-40.008856415362899</v>
      </c>
      <c r="AN56" s="188">
        <f t="shared" si="32"/>
        <v>-40.008856415362899</v>
      </c>
      <c r="AO56" s="188">
        <f t="shared" si="43"/>
        <v>40.008856415362899</v>
      </c>
      <c r="AP56" s="188">
        <f t="shared" si="44"/>
        <v>-40.008856415362899</v>
      </c>
    </row>
    <row r="57" spans="1:42" ht="15.75" thickBot="1" x14ac:dyDescent="0.3">
      <c r="A57" s="1" t="s">
        <v>369</v>
      </c>
      <c r="B57" s="149" t="s">
        <v>620</v>
      </c>
      <c r="C57" s="192" t="s">
        <v>294</v>
      </c>
      <c r="E57" s="201">
        <f>'0809'!H57</f>
        <v>1</v>
      </c>
      <c r="F57" s="186">
        <f t="shared" si="20"/>
        <v>-62.56538128124302</v>
      </c>
      <c r="G57" s="202">
        <v>-3.2305704264400001E-4</v>
      </c>
      <c r="H57" s="202">
        <v>-1</v>
      </c>
      <c r="I57" s="227">
        <v>1</v>
      </c>
      <c r="J57" s="227">
        <v>-1</v>
      </c>
      <c r="K57" s="227">
        <v>1</v>
      </c>
      <c r="L57" s="202">
        <v>1</v>
      </c>
      <c r="M57" s="228">
        <v>7</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4">
        <v>193666.66879999998</v>
      </c>
      <c r="Y57" s="354">
        <f>VLOOKUP(A57,'FuturesInfo (3)'!$A$2:$AI$80,35)*V57</f>
        <v>25119</v>
      </c>
      <c r="Z57" s="188">
        <f t="shared" si="26"/>
        <v>62.56538128124302</v>
      </c>
      <c r="AA57" s="188">
        <f>IF(IF(sym!$Q46=H57,1,0)=1,ABS(X57*G57),-ABS(X57*G57))</f>
        <v>-62.56538128124302</v>
      </c>
      <c r="AB57" s="188">
        <f>IF(IF(sym!$P46=$H57,1,0)=1,ABS($X57*$G57),-ABS($X57*$G57))</f>
        <v>62.56538128124302</v>
      </c>
      <c r="AC57" s="188">
        <f t="shared" si="42"/>
        <v>-62.56538128124302</v>
      </c>
      <c r="AD57" s="188">
        <f t="shared" si="27"/>
        <v>62.56538128124302</v>
      </c>
      <c r="AE57" s="188">
        <f t="shared" si="28"/>
        <v>62.56538128124302</v>
      </c>
      <c r="AF57" s="188">
        <f t="shared" si="37"/>
        <v>-62.56538128124302</v>
      </c>
      <c r="AG57" s="188">
        <f t="shared" si="38"/>
        <v>-62.56538128124302</v>
      </c>
      <c r="AH57" s="188">
        <f t="shared" si="39"/>
        <v>-62.56538128124302</v>
      </c>
      <c r="AI57" s="188">
        <f t="shared" si="40"/>
        <v>62.56538128124302</v>
      </c>
      <c r="AJ57" s="188">
        <f t="shared" si="41"/>
        <v>-62.56538128124302</v>
      </c>
      <c r="AK57" s="188">
        <f t="shared" si="29"/>
        <v>-62.56538128124302</v>
      </c>
      <c r="AL57" s="188">
        <f t="shared" si="30"/>
        <v>62.56538128124302</v>
      </c>
      <c r="AM57" s="188">
        <f t="shared" si="31"/>
        <v>62.56538128124302</v>
      </c>
      <c r="AN57" s="188">
        <f t="shared" si="32"/>
        <v>62.56538128124302</v>
      </c>
      <c r="AO57" s="188">
        <f t="shared" si="43"/>
        <v>62.56538128124302</v>
      </c>
      <c r="AP57" s="188">
        <f t="shared" si="44"/>
        <v>62.56538128124302</v>
      </c>
    </row>
    <row r="58" spans="1:42" ht="15.75" thickBot="1" x14ac:dyDescent="0.3">
      <c r="A58" s="1" t="s">
        <v>371</v>
      </c>
      <c r="B58" s="149" t="s">
        <v>635</v>
      </c>
      <c r="C58" s="192" t="s">
        <v>1121</v>
      </c>
      <c r="E58" s="201">
        <f>'0809'!H58</f>
        <v>1</v>
      </c>
      <c r="F58" s="186">
        <f t="shared" si="20"/>
        <v>722.3973362933184</v>
      </c>
      <c r="G58" s="202">
        <v>3.3296337402900001E-3</v>
      </c>
      <c r="H58" s="202">
        <v>1</v>
      </c>
      <c r="I58" s="227">
        <v>1</v>
      </c>
      <c r="J58" s="227">
        <v>-1</v>
      </c>
      <c r="K58" s="227">
        <v>1</v>
      </c>
      <c r="L58" s="202">
        <v>-1</v>
      </c>
      <c r="M58" s="228">
        <v>-5</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4">
        <v>216960</v>
      </c>
      <c r="Y58" s="354">
        <f>VLOOKUP(A58,'FuturesInfo (3)'!$A$2:$AI$80,35)*V58</f>
        <v>18496</v>
      </c>
      <c r="Z58" s="188">
        <f t="shared" si="26"/>
        <v>722.3973362933184</v>
      </c>
      <c r="AA58" s="188">
        <f>IF(IF(sym!$Q47=H58,1,0)=1,ABS(X58*G58),-ABS(X58*G58))</f>
        <v>722.3973362933184</v>
      </c>
      <c r="AB58" s="188">
        <f>IF(IF(sym!$P47=$H58,1,0)=1,ABS($X58*$G58),-ABS($X58*$G58))</f>
        <v>-722.3973362933184</v>
      </c>
      <c r="AC58" s="188">
        <f t="shared" si="42"/>
        <v>722.3973362933184</v>
      </c>
      <c r="AD58" s="188">
        <f t="shared" si="27"/>
        <v>-722.3973362933184</v>
      </c>
      <c r="AE58" s="188">
        <f t="shared" si="28"/>
        <v>-722.3973362933184</v>
      </c>
      <c r="AF58" s="188">
        <f t="shared" si="37"/>
        <v>722.3973362933184</v>
      </c>
      <c r="AG58" s="188">
        <f t="shared" si="38"/>
        <v>722.3973362933184</v>
      </c>
      <c r="AH58" s="188">
        <f t="shared" si="39"/>
        <v>-722.3973362933184</v>
      </c>
      <c r="AI58" s="188">
        <f t="shared" si="40"/>
        <v>722.3973362933184</v>
      </c>
      <c r="AJ58" s="188">
        <f t="shared" si="41"/>
        <v>722.3973362933184</v>
      </c>
      <c r="AK58" s="188">
        <f t="shared" si="29"/>
        <v>722.3973362933184</v>
      </c>
      <c r="AL58" s="188">
        <f t="shared" si="30"/>
        <v>-722.3973362933184</v>
      </c>
      <c r="AM58" s="188">
        <f t="shared" si="31"/>
        <v>722.3973362933184</v>
      </c>
      <c r="AN58" s="188">
        <f t="shared" si="32"/>
        <v>722.3973362933184</v>
      </c>
      <c r="AO58" s="188">
        <f t="shared" si="43"/>
        <v>-722.3973362933184</v>
      </c>
      <c r="AP58" s="188">
        <f t="shared" si="44"/>
        <v>-722.3973362933184</v>
      </c>
    </row>
    <row r="59" spans="1:42" ht="15.75" thickBot="1" x14ac:dyDescent="0.3">
      <c r="A59" s="1" t="s">
        <v>1052</v>
      </c>
      <c r="B59" s="149" t="s">
        <v>611</v>
      </c>
      <c r="C59" s="192" t="s">
        <v>297</v>
      </c>
      <c r="E59" s="201">
        <f>'0809'!H59</f>
        <v>-1</v>
      </c>
      <c r="F59" s="186">
        <f t="shared" si="20"/>
        <v>754.51580531817194</v>
      </c>
      <c r="G59" s="202">
        <v>6.0210737581500003E-3</v>
      </c>
      <c r="H59" s="202">
        <v>1</v>
      </c>
      <c r="I59" s="227">
        <v>1</v>
      </c>
      <c r="J59" s="227">
        <v>1</v>
      </c>
      <c r="K59" s="227">
        <v>1</v>
      </c>
      <c r="L59" s="202">
        <v>1</v>
      </c>
      <c r="M59" s="228">
        <v>-6</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4">
        <v>125312.5</v>
      </c>
      <c r="Y59" s="354">
        <f>VLOOKUP(A59,'FuturesInfo (3)'!$A$2:$AI$80,35)*V59</f>
        <v>17875</v>
      </c>
      <c r="Z59" s="188">
        <f t="shared" si="26"/>
        <v>754.51580531817194</v>
      </c>
      <c r="AA59" s="188">
        <f>IF(IF(sym!$Q48=H59,1,0)=1,ABS(X59*G59),-ABS(X59*G59))</f>
        <v>754.51580531817194</v>
      </c>
      <c r="AB59" s="188">
        <f>IF(IF(sym!$P48=$H59,1,0)=1,ABS($X59*$G59),-ABS($X59*$G59))</f>
        <v>-754.51580531817194</v>
      </c>
      <c r="AC59" s="188">
        <f t="shared" si="42"/>
        <v>-754.51580531817194</v>
      </c>
      <c r="AD59" s="188">
        <f t="shared" si="27"/>
        <v>754.51580531817194</v>
      </c>
      <c r="AE59" s="188">
        <f t="shared" si="28"/>
        <v>754.51580531817194</v>
      </c>
      <c r="AF59" s="188">
        <f t="shared" si="37"/>
        <v>754.51580531817194</v>
      </c>
      <c r="AG59" s="188">
        <f t="shared" si="38"/>
        <v>754.51580531817194</v>
      </c>
      <c r="AH59" s="188">
        <f t="shared" si="39"/>
        <v>754.51580531817194</v>
      </c>
      <c r="AI59" s="188">
        <f t="shared" si="40"/>
        <v>-754.51580531817194</v>
      </c>
      <c r="AJ59" s="188">
        <f t="shared" si="41"/>
        <v>-754.51580531817194</v>
      </c>
      <c r="AK59" s="188">
        <f t="shared" si="29"/>
        <v>-754.51580531817194</v>
      </c>
      <c r="AL59" s="188">
        <f t="shared" si="30"/>
        <v>754.51580531817194</v>
      </c>
      <c r="AM59" s="188">
        <f t="shared" si="31"/>
        <v>754.51580531817194</v>
      </c>
      <c r="AN59" s="188">
        <f t="shared" si="32"/>
        <v>754.51580531817194</v>
      </c>
      <c r="AO59" s="188">
        <f t="shared" si="43"/>
        <v>-754.51580531817194</v>
      </c>
      <c r="AP59" s="188">
        <f t="shared" si="44"/>
        <v>754.51580531817194</v>
      </c>
    </row>
    <row r="60" spans="1:42" ht="15.75" thickBot="1" x14ac:dyDescent="0.3">
      <c r="A60" s="1" t="s">
        <v>373</v>
      </c>
      <c r="B60" s="149" t="s">
        <v>692</v>
      </c>
      <c r="C60" s="192" t="s">
        <v>1121</v>
      </c>
      <c r="E60" s="201">
        <f>'0809'!H60</f>
        <v>1</v>
      </c>
      <c r="F60" s="186">
        <f t="shared" si="20"/>
        <v>1754.1403951242646</v>
      </c>
      <c r="G60" s="202">
        <v>8.1266638643700002E-3</v>
      </c>
      <c r="H60" s="202">
        <v>1</v>
      </c>
      <c r="I60" s="227">
        <v>1</v>
      </c>
      <c r="J60" s="227">
        <v>1</v>
      </c>
      <c r="K60" s="227">
        <v>1</v>
      </c>
      <c r="L60" s="202">
        <v>-1</v>
      </c>
      <c r="M60" s="228">
        <v>-13</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4">
        <v>215850</v>
      </c>
      <c r="Y60" s="354">
        <f>VLOOKUP(A60,'FuturesInfo (3)'!$A$2:$AI$80,35)*V60</f>
        <v>9054</v>
      </c>
      <c r="Z60" s="188">
        <f t="shared" si="26"/>
        <v>1754.1403951242646</v>
      </c>
      <c r="AA60" s="188">
        <f>IF(IF(sym!$Q49=H60,1,0)=1,ABS(X60*G60),-ABS(X60*G60))</f>
        <v>1754.1403951242646</v>
      </c>
      <c r="AB60" s="188">
        <f>IF(IF(sym!$P49=$H60,1,0)=1,ABS($X60*$G60),-ABS($X60*$G60))</f>
        <v>-1754.1403951242646</v>
      </c>
      <c r="AC60" s="188">
        <f t="shared" si="42"/>
        <v>1754.1403951242646</v>
      </c>
      <c r="AD60" s="188">
        <f t="shared" si="27"/>
        <v>-1754.1403951242646</v>
      </c>
      <c r="AE60" s="188">
        <f t="shared" si="28"/>
        <v>1754.1403951242646</v>
      </c>
      <c r="AF60" s="188">
        <f t="shared" si="37"/>
        <v>1754.1403951242646</v>
      </c>
      <c r="AG60" s="188">
        <f t="shared" si="38"/>
        <v>1754.1403951242646</v>
      </c>
      <c r="AH60" s="188">
        <f t="shared" si="39"/>
        <v>-1754.1403951242646</v>
      </c>
      <c r="AI60" s="188">
        <f t="shared" si="40"/>
        <v>1754.1403951242646</v>
      </c>
      <c r="AJ60" s="188">
        <f t="shared" si="41"/>
        <v>1754.1403951242646</v>
      </c>
      <c r="AK60" s="188">
        <f t="shared" si="29"/>
        <v>1754.1403951242646</v>
      </c>
      <c r="AL60" s="188">
        <f t="shared" si="30"/>
        <v>1754.1403951242646</v>
      </c>
      <c r="AM60" s="188">
        <f t="shared" si="31"/>
        <v>1754.1403951242646</v>
      </c>
      <c r="AN60" s="188">
        <f t="shared" si="32"/>
        <v>1754.1403951242646</v>
      </c>
      <c r="AO60" s="188">
        <f t="shared" si="43"/>
        <v>-1754.1403951242646</v>
      </c>
      <c r="AP60" s="188">
        <f t="shared" si="44"/>
        <v>1754.1403951242646</v>
      </c>
    </row>
    <row r="61" spans="1:42" ht="15.75" thickBot="1" x14ac:dyDescent="0.3">
      <c r="A61" s="1" t="s">
        <v>375</v>
      </c>
      <c r="B61" s="149" t="s">
        <v>690</v>
      </c>
      <c r="C61" s="192" t="s">
        <v>288</v>
      </c>
      <c r="E61" s="201">
        <f>'0809'!H61</f>
        <v>-1</v>
      </c>
      <c r="F61" s="186">
        <f t="shared" si="20"/>
        <v>-1586.5468451247089</v>
      </c>
      <c r="G61" s="202">
        <v>-2.0650095602299998E-2</v>
      </c>
      <c r="H61" s="202">
        <v>-1</v>
      </c>
      <c r="I61" s="227">
        <v>-1</v>
      </c>
      <c r="J61" s="227">
        <v>-1</v>
      </c>
      <c r="K61" s="227">
        <v>-1</v>
      </c>
      <c r="L61" s="202">
        <v>-1</v>
      </c>
      <c r="M61" s="228">
        <v>7</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4">
        <v>76830</v>
      </c>
      <c r="Y61" s="354">
        <f>VLOOKUP(A61,'FuturesInfo (3)'!$A$2:$AI$80,35)*V61</f>
        <v>6495</v>
      </c>
      <c r="Z61" s="188">
        <f t="shared" si="26"/>
        <v>1586.5468451247089</v>
      </c>
      <c r="AA61" s="188">
        <f>IF(IF(sym!$Q50=H61,1,0)=1,ABS(X61*G61),-ABS(X61*G61))</f>
        <v>-1586.5468451247089</v>
      </c>
      <c r="AB61" s="188">
        <f>IF(IF(sym!$P50=$H61,1,0)=1,ABS($X61*$G61),-ABS($X61*$G61))</f>
        <v>1586.5468451247089</v>
      </c>
      <c r="AC61" s="188">
        <f t="shared" si="42"/>
        <v>1586.5468451247089</v>
      </c>
      <c r="AD61" s="188">
        <f t="shared" si="27"/>
        <v>-1586.5468451247089</v>
      </c>
      <c r="AE61" s="188">
        <f t="shared" si="28"/>
        <v>1586.5468451247089</v>
      </c>
      <c r="AF61" s="188">
        <f t="shared" si="37"/>
        <v>1586.5468451247089</v>
      </c>
      <c r="AG61" s="188">
        <f t="shared" si="38"/>
        <v>1586.5468451247089</v>
      </c>
      <c r="AH61" s="188">
        <f t="shared" si="39"/>
        <v>1586.5468451247089</v>
      </c>
      <c r="AI61" s="188">
        <f t="shared" si="40"/>
        <v>-1586.5468451247089</v>
      </c>
      <c r="AJ61" s="188">
        <f t="shared" si="41"/>
        <v>1586.5468451247089</v>
      </c>
      <c r="AK61" s="188">
        <f t="shared" si="29"/>
        <v>1586.5468451247089</v>
      </c>
      <c r="AL61" s="188">
        <f t="shared" si="30"/>
        <v>1586.5468451247089</v>
      </c>
      <c r="AM61" s="188">
        <f t="shared" si="31"/>
        <v>-1586.5468451247089</v>
      </c>
      <c r="AN61" s="188">
        <f t="shared" si="32"/>
        <v>1586.5468451247089</v>
      </c>
      <c r="AO61" s="188">
        <f t="shared" si="43"/>
        <v>-1586.5468451247089</v>
      </c>
      <c r="AP61" s="188">
        <f t="shared" si="44"/>
        <v>-1586.5468451247089</v>
      </c>
    </row>
    <row r="62" spans="1:42" ht="15.75" thickBot="1" x14ac:dyDescent="0.3">
      <c r="A62" s="1" t="s">
        <v>377</v>
      </c>
      <c r="B62" s="149" t="s">
        <v>694</v>
      </c>
      <c r="C62" s="192" t="s">
        <v>294</v>
      </c>
      <c r="E62" s="201">
        <f>'0809'!H62</f>
        <v>1</v>
      </c>
      <c r="F62" s="186">
        <f t="shared" si="20"/>
        <v>0</v>
      </c>
      <c r="G62" s="202">
        <v>0</v>
      </c>
      <c r="H62" s="202">
        <v>1</v>
      </c>
      <c r="I62" s="227">
        <v>1</v>
      </c>
      <c r="J62" s="227">
        <v>-1</v>
      </c>
      <c r="K62" s="227">
        <v>1</v>
      </c>
      <c r="L62" s="202">
        <v>-1</v>
      </c>
      <c r="M62" s="228">
        <v>-4</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4">
        <v>164724.47165712027</v>
      </c>
      <c r="Y62" s="354">
        <f>VLOOKUP(A62,'FuturesInfo (3)'!$A$2:$AI$80,35)*V62</f>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'0809'!H63</f>
        <v>1</v>
      </c>
      <c r="F63" s="186">
        <f t="shared" si="20"/>
        <v>-613.6844576612724</v>
      </c>
      <c r="G63" s="202">
        <v>-2.1390932331599999E-3</v>
      </c>
      <c r="H63" s="202">
        <v>-1</v>
      </c>
      <c r="I63" s="227">
        <v>1</v>
      </c>
      <c r="J63" s="227">
        <v>-1</v>
      </c>
      <c r="K63" s="227">
        <v>1</v>
      </c>
      <c r="L63" s="202">
        <v>1</v>
      </c>
      <c r="M63" s="228">
        <v>-15</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4">
        <v>286890</v>
      </c>
      <c r="Y63" s="354">
        <f>VLOOKUP(A63,'FuturesInfo (3)'!$A$2:$AI$80,35)*V63</f>
        <v>15000</v>
      </c>
      <c r="Z63" s="188">
        <f t="shared" si="26"/>
        <v>613.6844576612724</v>
      </c>
      <c r="AA63" s="188">
        <f>IF(IF(sym!$Q52=H63,1,0)=1,ABS(X63*G63),-ABS(X63*G63))</f>
        <v>-613.6844576612724</v>
      </c>
      <c r="AB63" s="188">
        <f>IF(IF(sym!$P52=$H63,1,0)=1,ABS($X63*$G63),-ABS($X63*$G63))</f>
        <v>613.6844576612724</v>
      </c>
      <c r="AC63" s="188">
        <f t="shared" si="42"/>
        <v>-613.6844576612724</v>
      </c>
      <c r="AD63" s="188">
        <f t="shared" si="27"/>
        <v>613.6844576612724</v>
      </c>
      <c r="AE63" s="188">
        <f t="shared" si="28"/>
        <v>613.6844576612724</v>
      </c>
      <c r="AF63" s="188">
        <f t="shared" si="37"/>
        <v>-613.6844576612724</v>
      </c>
      <c r="AG63" s="188">
        <f t="shared" si="38"/>
        <v>-613.6844576612724</v>
      </c>
      <c r="AH63" s="188">
        <f t="shared" si="39"/>
        <v>-613.6844576612724</v>
      </c>
      <c r="AI63" s="188">
        <f t="shared" si="40"/>
        <v>613.6844576612724</v>
      </c>
      <c r="AJ63" s="188">
        <f t="shared" si="41"/>
        <v>613.6844576612724</v>
      </c>
      <c r="AK63" s="188">
        <f t="shared" si="29"/>
        <v>-613.6844576612724</v>
      </c>
      <c r="AL63" s="188">
        <f t="shared" si="30"/>
        <v>613.6844576612724</v>
      </c>
      <c r="AM63" s="188">
        <f t="shared" si="31"/>
        <v>613.6844576612724</v>
      </c>
      <c r="AN63" s="188">
        <f t="shared" si="32"/>
        <v>613.6844576612724</v>
      </c>
      <c r="AO63" s="188">
        <f t="shared" si="43"/>
        <v>-613.6844576612724</v>
      </c>
      <c r="AP63" s="188">
        <f t="shared" si="44"/>
        <v>613.6844576612724</v>
      </c>
    </row>
    <row r="64" spans="1:42" ht="15.75" thickBot="1" x14ac:dyDescent="0.3">
      <c r="A64" s="4" t="s">
        <v>1050</v>
      </c>
      <c r="B64" s="149" t="s">
        <v>700</v>
      </c>
      <c r="C64" s="192" t="s">
        <v>297</v>
      </c>
      <c r="E64" s="201">
        <f>'0809'!H64</f>
        <v>-1</v>
      </c>
      <c r="F64" s="186">
        <f t="shared" si="20"/>
        <v>-224.38858695670126</v>
      </c>
      <c r="G64" s="202">
        <v>-2.7173913043500001E-3</v>
      </c>
      <c r="H64" s="202">
        <v>-1</v>
      </c>
      <c r="I64" s="227">
        <v>-1</v>
      </c>
      <c r="J64" s="227">
        <v>-1</v>
      </c>
      <c r="K64" s="227">
        <v>-1</v>
      </c>
      <c r="L64" s="202">
        <v>1</v>
      </c>
      <c r="M64" s="228">
        <v>5</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4">
        <v>82575</v>
      </c>
      <c r="Y64" s="354">
        <f>VLOOKUP(A64,'FuturesInfo (3)'!$A$2:$AI$80,35)*V64</f>
        <v>6750</v>
      </c>
      <c r="Z64" s="188">
        <f t="shared" si="26"/>
        <v>224.38858695670126</v>
      </c>
      <c r="AA64" s="188">
        <f>IF(IF(sym!$Q53=H64,1,0)=1,ABS(X64*G64),-ABS(X64*G64))</f>
        <v>-224.38858695670126</v>
      </c>
      <c r="AB64" s="188">
        <f>IF(IF(sym!$P53=$H64,1,0)=1,ABS($X64*$G64),-ABS($X64*$G64))</f>
        <v>224.38858695670126</v>
      </c>
      <c r="AC64" s="188">
        <f t="shared" si="42"/>
        <v>224.38858695670126</v>
      </c>
      <c r="AD64" s="188">
        <f t="shared" si="27"/>
        <v>-224.38858695670126</v>
      </c>
      <c r="AE64" s="188">
        <f t="shared" si="28"/>
        <v>224.38858695670126</v>
      </c>
      <c r="AF64" s="188">
        <f t="shared" si="37"/>
        <v>224.38858695670126</v>
      </c>
      <c r="AG64" s="188">
        <f t="shared" si="38"/>
        <v>224.38858695670126</v>
      </c>
      <c r="AH64" s="188">
        <f t="shared" si="39"/>
        <v>-224.38858695670126</v>
      </c>
      <c r="AI64" s="188">
        <f t="shared" si="40"/>
        <v>224.38858695670126</v>
      </c>
      <c r="AJ64" s="188">
        <f t="shared" si="41"/>
        <v>-224.38858695670126</v>
      </c>
      <c r="AK64" s="188">
        <f t="shared" si="29"/>
        <v>224.38858695670126</v>
      </c>
      <c r="AL64" s="188">
        <f t="shared" si="30"/>
        <v>-224.38858695670126</v>
      </c>
      <c r="AM64" s="188">
        <f t="shared" si="31"/>
        <v>224.38858695670126</v>
      </c>
      <c r="AN64" s="188">
        <f t="shared" si="32"/>
        <v>224.38858695670126</v>
      </c>
      <c r="AO64" s="188">
        <f t="shared" si="43"/>
        <v>224.38858695670126</v>
      </c>
      <c r="AP64" s="188">
        <f t="shared" si="44"/>
        <v>224.38858695670126</v>
      </c>
    </row>
    <row r="65" spans="1:42" ht="15.75" thickBot="1" x14ac:dyDescent="0.3">
      <c r="A65" s="1" t="s">
        <v>0</v>
      </c>
      <c r="B65" s="149" t="s">
        <v>702</v>
      </c>
      <c r="C65" s="192" t="s">
        <v>304</v>
      </c>
      <c r="E65" s="201">
        <f>'0809'!H65</f>
        <v>1</v>
      </c>
      <c r="F65" s="186">
        <f t="shared" si="20"/>
        <v>-739.78758169908599</v>
      </c>
      <c r="G65" s="202">
        <v>-1.3616557734200001E-2</v>
      </c>
      <c r="H65" s="233">
        <v>-1</v>
      </c>
      <c r="I65" s="229">
        <v>1</v>
      </c>
      <c r="J65" s="229">
        <v>1</v>
      </c>
      <c r="K65" s="229">
        <v>1</v>
      </c>
      <c r="L65" s="202">
        <v>1</v>
      </c>
      <c r="M65" s="228">
        <v>-1</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4">
        <v>54330</v>
      </c>
      <c r="Y65" s="354">
        <f>VLOOKUP(A65,'FuturesInfo (3)'!$A$2:$AI$80,35)*V65</f>
        <v>4376</v>
      </c>
      <c r="Z65" s="188">
        <f t="shared" si="26"/>
        <v>739.78758169908599</v>
      </c>
      <c r="AA65" s="188">
        <f>IF(IF(sym!$Q54=H65,1,0)=1,ABS(X65*G65),-ABS(X65*G65))</f>
        <v>-739.78758169908599</v>
      </c>
      <c r="AB65" s="188">
        <f>IF(IF(sym!$P54=$H65,1,0)=1,ABS($X65*$G65),-ABS($X65*$G65))</f>
        <v>739.78758169908599</v>
      </c>
      <c r="AC65" s="188">
        <f t="shared" si="42"/>
        <v>-739.78758169908599</v>
      </c>
      <c r="AD65" s="188">
        <f t="shared" si="27"/>
        <v>739.78758169908599</v>
      </c>
      <c r="AE65" s="188">
        <f t="shared" si="28"/>
        <v>-739.78758169908599</v>
      </c>
      <c r="AF65" s="188">
        <f t="shared" si="37"/>
        <v>-739.78758169908599</v>
      </c>
      <c r="AG65" s="188">
        <f t="shared" si="38"/>
        <v>-739.78758169908599</v>
      </c>
      <c r="AH65" s="188">
        <f t="shared" si="39"/>
        <v>-739.78758169908599</v>
      </c>
      <c r="AI65" s="188">
        <f t="shared" si="40"/>
        <v>739.78758169908599</v>
      </c>
      <c r="AJ65" s="188">
        <f t="shared" si="41"/>
        <v>739.78758169908599</v>
      </c>
      <c r="AK65" s="188">
        <f t="shared" si="29"/>
        <v>-739.78758169908599</v>
      </c>
      <c r="AL65" s="188">
        <f t="shared" si="30"/>
        <v>739.78758169908599</v>
      </c>
      <c r="AM65" s="188">
        <f t="shared" si="31"/>
        <v>739.78758169908599</v>
      </c>
      <c r="AN65" s="188">
        <f t="shared" si="32"/>
        <v>739.78758169908599</v>
      </c>
      <c r="AO65" s="188">
        <f t="shared" si="43"/>
        <v>-739.78758169908599</v>
      </c>
      <c r="AP65" s="188">
        <f t="shared" si="44"/>
        <v>739.78758169908599</v>
      </c>
    </row>
    <row r="66" spans="1:42" ht="15.75" thickBot="1" x14ac:dyDescent="0.3">
      <c r="A66" s="1" t="s">
        <v>384</v>
      </c>
      <c r="B66" s="149" t="s">
        <v>704</v>
      </c>
      <c r="C66" s="192" t="s">
        <v>347</v>
      </c>
      <c r="E66" s="201">
        <f>'0809'!H66</f>
        <v>1</v>
      </c>
      <c r="F66" s="186">
        <f t="shared" si="20"/>
        <v>6705.8745589336959</v>
      </c>
      <c r="G66" s="202">
        <v>4.6158277525700002E-2</v>
      </c>
      <c r="H66" s="202">
        <v>1</v>
      </c>
      <c r="I66" s="227">
        <v>1</v>
      </c>
      <c r="J66" s="227">
        <v>1</v>
      </c>
      <c r="K66" s="227">
        <v>-1</v>
      </c>
      <c r="L66" s="202">
        <v>-1</v>
      </c>
      <c r="M66" s="228">
        <v>5</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4">
        <v>145280</v>
      </c>
      <c r="Y66" s="354">
        <f>VLOOKUP(A66,'FuturesInfo (3)'!$A$2:$AI$80,35)*V66</f>
        <v>10500</v>
      </c>
      <c r="Z66" s="188">
        <f t="shared" si="26"/>
        <v>6705.8745589336959</v>
      </c>
      <c r="AA66" s="188">
        <f>IF(IF(sym!$Q55=H66,1,0)=1,ABS(X66*G66),-ABS(X66*G66))</f>
        <v>6705.8745589336959</v>
      </c>
      <c r="AB66" s="188">
        <f>IF(IF(sym!$P55=$H66,1,0)=1,ABS($X66*$G66),-ABS($X66*$G66))</f>
        <v>-6705.8745589336959</v>
      </c>
      <c r="AC66" s="188">
        <f t="shared" si="42"/>
        <v>6705.8745589336959</v>
      </c>
      <c r="AD66" s="188">
        <f t="shared" si="27"/>
        <v>-6705.8745589336959</v>
      </c>
      <c r="AE66" s="188">
        <f t="shared" si="28"/>
        <v>6705.8745589336959</v>
      </c>
      <c r="AF66" s="188">
        <f t="shared" si="37"/>
        <v>6705.8745589336959</v>
      </c>
      <c r="AG66" s="188">
        <f t="shared" si="38"/>
        <v>-6705.8745589336959</v>
      </c>
      <c r="AH66" s="188">
        <f t="shared" si="39"/>
        <v>-6705.8745589336959</v>
      </c>
      <c r="AI66" s="188">
        <f t="shared" si="40"/>
        <v>6705.8745589336959</v>
      </c>
      <c r="AJ66" s="188">
        <f t="shared" si="41"/>
        <v>-6705.8745589336959</v>
      </c>
      <c r="AK66" s="188">
        <f t="shared" si="29"/>
        <v>6705.8745589336959</v>
      </c>
      <c r="AL66" s="188">
        <f t="shared" si="30"/>
        <v>-6705.8745589336959</v>
      </c>
      <c r="AM66" s="188">
        <f t="shared" si="31"/>
        <v>6705.8745589336959</v>
      </c>
      <c r="AN66" s="188">
        <f t="shared" si="32"/>
        <v>6705.8745589336959</v>
      </c>
      <c r="AO66" s="188">
        <f t="shared" si="43"/>
        <v>6705.8745589336959</v>
      </c>
      <c r="AP66" s="188">
        <f t="shared" si="44"/>
        <v>6705.8745589336959</v>
      </c>
    </row>
    <row r="67" spans="1:42" ht="15.75" thickBot="1" x14ac:dyDescent="0.3">
      <c r="A67" s="1" t="s">
        <v>386</v>
      </c>
      <c r="B67" s="149" t="s">
        <v>706</v>
      </c>
      <c r="C67" s="192" t="s">
        <v>347</v>
      </c>
      <c r="E67" s="201">
        <f>'0809'!H67</f>
        <v>1</v>
      </c>
      <c r="F67" s="186">
        <f t="shared" si="20"/>
        <v>2366.4040003476457</v>
      </c>
      <c r="G67" s="202">
        <v>2.0001724286599999E-2</v>
      </c>
      <c r="H67" s="202">
        <v>1</v>
      </c>
      <c r="I67" s="227">
        <v>1</v>
      </c>
      <c r="J67" s="227">
        <v>1</v>
      </c>
      <c r="K67" s="227">
        <v>1</v>
      </c>
      <c r="L67" s="202">
        <v>-1</v>
      </c>
      <c r="M67" s="228">
        <v>-18</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4">
        <v>118309.99999999999</v>
      </c>
      <c r="Y67" s="354">
        <f>VLOOKUP(A67,'FuturesInfo (3)'!$A$2:$AI$80,35)*V67</f>
        <v>6192</v>
      </c>
      <c r="Z67" s="188">
        <f t="shared" si="26"/>
        <v>2366.4040003476457</v>
      </c>
      <c r="AA67" s="188">
        <f>IF(IF(sym!$Q56=H67,1,0)=1,ABS(X67*G67),-ABS(X67*G67))</f>
        <v>-2366.4040003476457</v>
      </c>
      <c r="AB67" s="188">
        <f>IF(IF(sym!$P56=$H67,1,0)=1,ABS($X67*$G67),-ABS($X67*$G67))</f>
        <v>2366.4040003476457</v>
      </c>
      <c r="AC67" s="188">
        <f t="shared" si="42"/>
        <v>2366.4040003476457</v>
      </c>
      <c r="AD67" s="188">
        <f t="shared" si="27"/>
        <v>-2366.4040003476457</v>
      </c>
      <c r="AE67" s="188">
        <f t="shared" si="28"/>
        <v>2366.4040003476457</v>
      </c>
      <c r="AF67" s="188">
        <f t="shared" si="37"/>
        <v>2366.4040003476457</v>
      </c>
      <c r="AG67" s="188">
        <f t="shared" si="38"/>
        <v>2366.4040003476457</v>
      </c>
      <c r="AH67" s="188">
        <f t="shared" si="39"/>
        <v>-2366.4040003476457</v>
      </c>
      <c r="AI67" s="188">
        <f t="shared" si="40"/>
        <v>2366.4040003476457</v>
      </c>
      <c r="AJ67" s="188">
        <f t="shared" si="41"/>
        <v>2366.4040003476457</v>
      </c>
      <c r="AK67" s="188">
        <f t="shared" si="29"/>
        <v>2366.4040003476457</v>
      </c>
      <c r="AL67" s="188">
        <f t="shared" si="30"/>
        <v>2366.4040003476457</v>
      </c>
      <c r="AM67" s="188">
        <f t="shared" si="31"/>
        <v>2366.4040003476457</v>
      </c>
      <c r="AN67" s="188">
        <f t="shared" si="32"/>
        <v>2366.4040003476457</v>
      </c>
      <c r="AO67" s="188">
        <f t="shared" si="43"/>
        <v>-2366.4040003476457</v>
      </c>
      <c r="AP67" s="188">
        <f t="shared" si="44"/>
        <v>2366.4040003476457</v>
      </c>
    </row>
    <row r="68" spans="1:42" ht="15.75" thickBot="1" x14ac:dyDescent="0.3">
      <c r="A68" s="1" t="s">
        <v>388</v>
      </c>
      <c r="B68" s="149" t="s">
        <v>710</v>
      </c>
      <c r="C68" s="192" t="s">
        <v>288</v>
      </c>
      <c r="E68" s="201">
        <f>'0809'!H68</f>
        <v>-1</v>
      </c>
      <c r="F68" s="186">
        <f t="shared" si="20"/>
        <v>-3637.9649977662343</v>
      </c>
      <c r="G68" s="202">
        <v>-3.3278859010499998E-2</v>
      </c>
      <c r="H68" s="233">
        <v>-1</v>
      </c>
      <c r="I68" s="229">
        <v>1</v>
      </c>
      <c r="J68" s="229">
        <v>1</v>
      </c>
      <c r="K68" s="229">
        <v>1</v>
      </c>
      <c r="L68" s="202">
        <v>-1</v>
      </c>
      <c r="M68" s="228">
        <v>8</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4">
        <v>109317.59999999999</v>
      </c>
      <c r="Y68" s="354">
        <f>VLOOKUP(A68,'FuturesInfo (3)'!$A$2:$AI$80,35)*V68</f>
        <v>12236</v>
      </c>
      <c r="Z68" s="188">
        <f t="shared" si="26"/>
        <v>3637.9649977662343</v>
      </c>
      <c r="AA68" s="188">
        <f>IF(IF(sym!$Q57=H68,1,0)=1,ABS(X68*G68),-ABS(X68*G68))</f>
        <v>-3637.9649977662343</v>
      </c>
      <c r="AB68" s="188">
        <f>IF(IF(sym!$P57=$H68,1,0)=1,ABS($X68*$G68),-ABS($X68*$G68))</f>
        <v>3637.9649977662343</v>
      </c>
      <c r="AC68" s="188">
        <f t="shared" si="42"/>
        <v>3637.9649977662343</v>
      </c>
      <c r="AD68" s="188">
        <f t="shared" si="27"/>
        <v>-3637.9649977662343</v>
      </c>
      <c r="AE68" s="188">
        <f t="shared" si="28"/>
        <v>-3637.9649977662343</v>
      </c>
      <c r="AF68" s="188">
        <f t="shared" si="37"/>
        <v>-3637.9649977662343</v>
      </c>
      <c r="AG68" s="188">
        <f t="shared" si="38"/>
        <v>-3637.9649977662343</v>
      </c>
      <c r="AH68" s="188">
        <f t="shared" si="39"/>
        <v>3637.9649977662343</v>
      </c>
      <c r="AI68" s="188">
        <f t="shared" si="40"/>
        <v>-3637.9649977662343</v>
      </c>
      <c r="AJ68" s="188">
        <f t="shared" si="41"/>
        <v>3637.9649977662343</v>
      </c>
      <c r="AK68" s="188">
        <f t="shared" si="29"/>
        <v>-3637.9649977662343</v>
      </c>
      <c r="AL68" s="188">
        <f t="shared" si="30"/>
        <v>-3637.9649977662343</v>
      </c>
      <c r="AM68" s="188">
        <f t="shared" si="31"/>
        <v>-3637.9649977662343</v>
      </c>
      <c r="AN68" s="188">
        <f t="shared" si="32"/>
        <v>-3637.9649977662343</v>
      </c>
      <c r="AO68" s="188">
        <f t="shared" si="43"/>
        <v>3637.9649977662343</v>
      </c>
      <c r="AP68" s="188">
        <f t="shared" si="44"/>
        <v>-3637.9649977662343</v>
      </c>
    </row>
    <row r="69" spans="1:42" s="2" customFormat="1" ht="15.75" thickBot="1" x14ac:dyDescent="0.3">
      <c r="A69" s="1" t="s">
        <v>389</v>
      </c>
      <c r="B69" s="149" t="s">
        <v>712</v>
      </c>
      <c r="C69" s="192" t="s">
        <v>297</v>
      </c>
      <c r="D69"/>
      <c r="E69" s="201">
        <f>'0809'!H69</f>
        <v>1</v>
      </c>
      <c r="F69" s="186">
        <f t="shared" si="20"/>
        <v>-1766.5979381416801</v>
      </c>
      <c r="G69" s="202">
        <v>-1.85567010309E-2</v>
      </c>
      <c r="H69" s="202">
        <v>-1</v>
      </c>
      <c r="I69" s="227">
        <v>1</v>
      </c>
      <c r="J69" s="227">
        <v>-1</v>
      </c>
      <c r="K69" s="227">
        <v>1</v>
      </c>
      <c r="L69" s="202">
        <v>1</v>
      </c>
      <c r="M69" s="228">
        <v>-2</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4">
        <v>95200</v>
      </c>
      <c r="Y69" s="354">
        <f>VLOOKUP(A69,'FuturesInfo (3)'!$A$2:$AI$80,35)*V69</f>
        <v>6850</v>
      </c>
      <c r="Z69" s="188">
        <f t="shared" si="26"/>
        <v>1766.5979381416801</v>
      </c>
      <c r="AA69" s="188">
        <f>IF(IF(sym!$Q58=H69,1,0)=1,ABS(X69*G69),-ABS(X69*G69))</f>
        <v>-1766.5979381416801</v>
      </c>
      <c r="AB69" s="188">
        <f>IF(IF(sym!$P58=$H69,1,0)=1,ABS($X69*$G69),-ABS($X69*$G69))</f>
        <v>1766.5979381416801</v>
      </c>
      <c r="AC69" s="188">
        <f t="shared" si="42"/>
        <v>-1766.5979381416801</v>
      </c>
      <c r="AD69" s="188">
        <f t="shared" si="27"/>
        <v>1766.5979381416801</v>
      </c>
      <c r="AE69" s="188">
        <f t="shared" si="28"/>
        <v>1766.5979381416801</v>
      </c>
      <c r="AF69" s="188">
        <f t="shared" si="37"/>
        <v>-1766.5979381416801</v>
      </c>
      <c r="AG69" s="188">
        <f t="shared" si="38"/>
        <v>-1766.5979381416801</v>
      </c>
      <c r="AH69" s="188">
        <f t="shared" si="39"/>
        <v>-1766.5979381416801</v>
      </c>
      <c r="AI69" s="188">
        <f t="shared" si="40"/>
        <v>1766.5979381416801</v>
      </c>
      <c r="AJ69" s="188">
        <f t="shared" si="41"/>
        <v>1766.5979381416801</v>
      </c>
      <c r="AK69" s="188">
        <f t="shared" si="29"/>
        <v>-1766.5979381416801</v>
      </c>
      <c r="AL69" s="188">
        <f t="shared" si="30"/>
        <v>1766.5979381416801</v>
      </c>
      <c r="AM69" s="188">
        <f t="shared" si="31"/>
        <v>1766.5979381416801</v>
      </c>
      <c r="AN69" s="188">
        <f t="shared" si="32"/>
        <v>1766.5979381416801</v>
      </c>
      <c r="AO69" s="188">
        <f t="shared" si="43"/>
        <v>-1766.5979381416801</v>
      </c>
      <c r="AP69" s="188">
        <f t="shared" si="44"/>
        <v>1766.5979381416801</v>
      </c>
    </row>
    <row r="70" spans="1:42" s="2" customFormat="1" ht="15.75" thickBot="1" x14ac:dyDescent="0.3">
      <c r="A70" s="1" t="s">
        <v>391</v>
      </c>
      <c r="B70" s="149" t="s">
        <v>490</v>
      </c>
      <c r="C70" s="192" t="s">
        <v>297</v>
      </c>
      <c r="D70"/>
      <c r="E70" s="201">
        <f>'0809'!H70</f>
        <v>1</v>
      </c>
      <c r="F70" s="186">
        <f t="shared" si="20"/>
        <v>294.77252344016273</v>
      </c>
      <c r="G70" s="202">
        <v>2.6103980857100002E-3</v>
      </c>
      <c r="H70" s="202">
        <v>1</v>
      </c>
      <c r="I70" s="227">
        <v>1</v>
      </c>
      <c r="J70" s="227">
        <v>1</v>
      </c>
      <c r="K70" s="227">
        <v>1</v>
      </c>
      <c r="L70" s="202">
        <v>1</v>
      </c>
      <c r="M70" s="228">
        <v>4</v>
      </c>
      <c r="N70" s="288">
        <v>42585</v>
      </c>
      <c r="O70">
        <f t="shared" si="21"/>
        <v>1</v>
      </c>
      <c r="P70">
        <f t="shared" si="35"/>
        <v>1</v>
      </c>
      <c r="Q70">
        <f t="shared" si="22"/>
        <v>1</v>
      </c>
      <c r="R70">
        <f t="shared" si="23"/>
        <v>-1</v>
      </c>
      <c r="S70">
        <f t="shared" si="24"/>
        <v>1</v>
      </c>
      <c r="T70">
        <f t="shared" si="25"/>
        <v>-1</v>
      </c>
      <c r="U70">
        <f t="shared" si="36"/>
        <v>-1</v>
      </c>
      <c r="V70">
        <f>VLOOKUP($A70,'FuturesInfo (3)'!$A$2:$V$80,22)</f>
        <v>17</v>
      </c>
      <c r="W70">
        <v>1</v>
      </c>
      <c r="X70" s="354">
        <v>112922.44085445219</v>
      </c>
      <c r="Y70" s="354">
        <f>VLOOKUP(A70,'FuturesInfo (3)'!$A$2:$AI$80,35)*V70</f>
        <v>4603.8114343029083</v>
      </c>
      <c r="Z70" s="188">
        <f t="shared" si="26"/>
        <v>294.77252344016273</v>
      </c>
      <c r="AA70" s="188">
        <f>IF(IF(sym!$Q59=H70,1,0)=1,ABS(X70*G70),-ABS(X70*G70))</f>
        <v>294.77252344016273</v>
      </c>
      <c r="AB70" s="188">
        <f>IF(IF(sym!$P59=$H70,1,0)=1,ABS($X70*$G70),-ABS($X70*$G70))</f>
        <v>-294.77252344016273</v>
      </c>
      <c r="AC70" s="188">
        <f t="shared" si="42"/>
        <v>294.77252344016273</v>
      </c>
      <c r="AD70" s="188">
        <f t="shared" si="27"/>
        <v>-294.77252344016273</v>
      </c>
      <c r="AE70" s="188">
        <f t="shared" si="28"/>
        <v>294.77252344016273</v>
      </c>
      <c r="AF70" s="188">
        <f t="shared" si="37"/>
        <v>294.77252344016273</v>
      </c>
      <c r="AG70" s="188">
        <f t="shared" si="38"/>
        <v>294.77252344016273</v>
      </c>
      <c r="AH70" s="188">
        <f t="shared" si="39"/>
        <v>294.77252344016273</v>
      </c>
      <c r="AI70" s="188">
        <f t="shared" si="40"/>
        <v>-294.77252344016273</v>
      </c>
      <c r="AJ70" s="188">
        <f t="shared" si="41"/>
        <v>294.77252344016273</v>
      </c>
      <c r="AK70" s="188">
        <f t="shared" si="29"/>
        <v>294.77252344016273</v>
      </c>
      <c r="AL70" s="188">
        <f t="shared" si="30"/>
        <v>294.77252344016273</v>
      </c>
      <c r="AM70" s="188">
        <f t="shared" si="31"/>
        <v>-294.77252344016273</v>
      </c>
      <c r="AN70" s="188">
        <f t="shared" si="32"/>
        <v>294.77252344016273</v>
      </c>
      <c r="AO70" s="188">
        <f t="shared" si="43"/>
        <v>-294.77252344016273</v>
      </c>
      <c r="AP70" s="188">
        <f t="shared" si="44"/>
        <v>-294.77252344016273</v>
      </c>
    </row>
    <row r="71" spans="1:42" ht="15.75" thickBot="1" x14ac:dyDescent="0.3">
      <c r="A71" s="1" t="s">
        <v>29</v>
      </c>
      <c r="B71" s="149" t="s">
        <v>730</v>
      </c>
      <c r="C71" s="192" t="s">
        <v>297</v>
      </c>
      <c r="D71" s="2"/>
      <c r="E71" s="201">
        <f>'0809'!H71</f>
        <v>1</v>
      </c>
      <c r="F71" s="186">
        <f t="shared" si="20"/>
        <v>-571.65359311739303</v>
      </c>
      <c r="G71" s="202">
        <v>-5.81983805668E-3</v>
      </c>
      <c r="H71" s="202">
        <v>-1</v>
      </c>
      <c r="I71" s="227">
        <v>1</v>
      </c>
      <c r="J71" s="227">
        <v>-1</v>
      </c>
      <c r="K71" s="227">
        <v>1</v>
      </c>
      <c r="L71" s="202">
        <v>1</v>
      </c>
      <c r="M71" s="228">
        <v>-5</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4">
        <v>98225</v>
      </c>
      <c r="Y71" s="354">
        <f>VLOOKUP(A71,'FuturesInfo (3)'!$A$2:$AI$80,35)*V71</f>
        <v>15250</v>
      </c>
      <c r="Z71" s="188">
        <f t="shared" si="26"/>
        <v>571.65359311739303</v>
      </c>
      <c r="AA71" s="188">
        <f>IF(IF(sym!$Q60=H71,1,0)=1,ABS(X71*G71),-ABS(X71*G71))</f>
        <v>-571.65359311739303</v>
      </c>
      <c r="AB71" s="188">
        <f>IF(IF(sym!$P60=$H71,1,0)=1,ABS($X71*$G71),-ABS($X71*$G71))</f>
        <v>571.65359311739303</v>
      </c>
      <c r="AC71" s="188">
        <f t="shared" si="42"/>
        <v>-571.65359311739303</v>
      </c>
      <c r="AD71" s="188">
        <f t="shared" si="27"/>
        <v>571.65359311739303</v>
      </c>
      <c r="AE71" s="188">
        <f t="shared" si="28"/>
        <v>571.65359311739303</v>
      </c>
      <c r="AF71" s="188">
        <f t="shared" si="37"/>
        <v>-571.65359311739303</v>
      </c>
      <c r="AG71" s="188">
        <f t="shared" si="38"/>
        <v>-571.65359311739303</v>
      </c>
      <c r="AH71" s="188">
        <f t="shared" si="39"/>
        <v>-571.65359311739303</v>
      </c>
      <c r="AI71" s="188">
        <f t="shared" si="40"/>
        <v>571.65359311739303</v>
      </c>
      <c r="AJ71" s="188">
        <f t="shared" si="41"/>
        <v>571.65359311739303</v>
      </c>
      <c r="AK71" s="188">
        <f t="shared" si="29"/>
        <v>-571.65359311739303</v>
      </c>
      <c r="AL71" s="188">
        <f t="shared" si="30"/>
        <v>571.65359311739303</v>
      </c>
      <c r="AM71" s="188">
        <f t="shared" si="31"/>
        <v>571.65359311739303</v>
      </c>
      <c r="AN71" s="188">
        <f t="shared" si="32"/>
        <v>571.65359311739303</v>
      </c>
      <c r="AO71" s="188">
        <f t="shared" si="43"/>
        <v>-571.65359311739303</v>
      </c>
      <c r="AP71" s="188">
        <f t="shared" si="44"/>
        <v>571.65359311739303</v>
      </c>
    </row>
    <row r="72" spans="1:42" ht="15.75" thickBot="1" x14ac:dyDescent="0.3">
      <c r="A72" s="1" t="s">
        <v>394</v>
      </c>
      <c r="B72" s="149" t="s">
        <v>742</v>
      </c>
      <c r="C72" s="192" t="s">
        <v>304</v>
      </c>
      <c r="E72" s="201">
        <f>'0809'!H72</f>
        <v>-1</v>
      </c>
      <c r="F72" s="186">
        <f t="shared" si="20"/>
        <v>-3236.4100049038643</v>
      </c>
      <c r="G72" s="202">
        <v>-3.67827366356E-2</v>
      </c>
      <c r="H72" s="202">
        <v>-1</v>
      </c>
      <c r="I72" s="227">
        <v>1</v>
      </c>
      <c r="J72" s="227">
        <v>-1</v>
      </c>
      <c r="K72" s="227">
        <v>1</v>
      </c>
      <c r="L72" s="202">
        <v>-1</v>
      </c>
      <c r="M72" s="228">
        <v>-8</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4">
        <v>87987.199999999997</v>
      </c>
      <c r="Y72" s="354">
        <f>VLOOKUP(A72,'FuturesInfo (3)'!$A$2:$AI$80,35)*V72</f>
        <v>12000</v>
      </c>
      <c r="Z72" s="188">
        <f t="shared" si="26"/>
        <v>3236.4100049038643</v>
      </c>
      <c r="AA72" s="188">
        <f>IF(IF(sym!$Q61=H72,1,0)=1,ABS(X72*G72),-ABS(X72*G72))</f>
        <v>-3236.4100049038643</v>
      </c>
      <c r="AB72" s="188">
        <f>IF(IF(sym!$P61=$H72,1,0)=1,ABS($X72*$G72),-ABS($X72*$G72))</f>
        <v>3236.4100049038643</v>
      </c>
      <c r="AC72" s="188">
        <f t="shared" si="42"/>
        <v>3236.4100049038643</v>
      </c>
      <c r="AD72" s="188">
        <f t="shared" si="27"/>
        <v>-3236.4100049038643</v>
      </c>
      <c r="AE72" s="188">
        <f t="shared" si="28"/>
        <v>3236.4100049038643</v>
      </c>
      <c r="AF72" s="188">
        <f t="shared" si="37"/>
        <v>-3236.4100049038643</v>
      </c>
      <c r="AG72" s="188">
        <f t="shared" si="38"/>
        <v>-3236.4100049038643</v>
      </c>
      <c r="AH72" s="188">
        <f t="shared" si="39"/>
        <v>3236.4100049038643</v>
      </c>
      <c r="AI72" s="188">
        <f t="shared" si="40"/>
        <v>-3236.4100049038643</v>
      </c>
      <c r="AJ72" s="188">
        <f t="shared" si="41"/>
        <v>-3236.4100049038643</v>
      </c>
      <c r="AK72" s="188">
        <f t="shared" si="29"/>
        <v>-3236.4100049038643</v>
      </c>
      <c r="AL72" s="188">
        <f t="shared" si="30"/>
        <v>-3236.4100049038643</v>
      </c>
      <c r="AM72" s="188">
        <f t="shared" si="31"/>
        <v>-3236.4100049038643</v>
      </c>
      <c r="AN72" s="188">
        <f t="shared" si="32"/>
        <v>-3236.4100049038643</v>
      </c>
      <c r="AO72" s="188">
        <f t="shared" si="43"/>
        <v>3236.4100049038643</v>
      </c>
      <c r="AP72" s="188">
        <f t="shared" si="44"/>
        <v>-3236.4100049038643</v>
      </c>
    </row>
    <row r="73" spans="1:42" ht="15.75" thickBot="1" x14ac:dyDescent="0.3">
      <c r="A73" s="1" t="s">
        <v>396</v>
      </c>
      <c r="B73" s="149" t="s">
        <v>744</v>
      </c>
      <c r="C73" s="192" t="s">
        <v>1121</v>
      </c>
      <c r="E73" s="201">
        <f>'0809'!H73</f>
        <v>1</v>
      </c>
      <c r="F73" s="186">
        <f t="shared" si="20"/>
        <v>2719.0569552005363</v>
      </c>
      <c r="G73" s="202">
        <v>7.0581315557299998E-3</v>
      </c>
      <c r="H73" s="202">
        <v>1</v>
      </c>
      <c r="I73" s="227">
        <v>-1</v>
      </c>
      <c r="J73" s="227">
        <v>1</v>
      </c>
      <c r="K73" s="227">
        <v>-1</v>
      </c>
      <c r="L73" s="202">
        <v>1</v>
      </c>
      <c r="M73" s="228">
        <v>10</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4">
        <v>385237.50000000006</v>
      </c>
      <c r="Y73" s="354">
        <f>VLOOKUP(A73,'FuturesInfo (3)'!$A$2:$AI$80,35)*V73</f>
        <v>33606</v>
      </c>
      <c r="Z73" s="188">
        <f t="shared" si="26"/>
        <v>2719.0569552005363</v>
      </c>
      <c r="AA73" s="188">
        <f>IF(IF(sym!$Q62=H73,1,0)=1,ABS(X73*G73),-ABS(X73*G73))</f>
        <v>2719.0569552005363</v>
      </c>
      <c r="AB73" s="188">
        <f>IF(IF(sym!$P62=$H73,1,0)=1,ABS($X73*$G73),-ABS($X73*$G73))</f>
        <v>-2719.0569552005363</v>
      </c>
      <c r="AC73" s="188">
        <f t="shared" si="42"/>
        <v>2719.0569552005363</v>
      </c>
      <c r="AD73" s="188">
        <f t="shared" si="27"/>
        <v>-2719.0569552005363</v>
      </c>
      <c r="AE73" s="188">
        <f t="shared" si="28"/>
        <v>2719.0569552005363</v>
      </c>
      <c r="AF73" s="188">
        <f t="shared" si="37"/>
        <v>-2719.0569552005363</v>
      </c>
      <c r="AG73" s="188">
        <f t="shared" si="38"/>
        <v>-2719.0569552005363</v>
      </c>
      <c r="AH73" s="188">
        <f t="shared" si="39"/>
        <v>2719.0569552005363</v>
      </c>
      <c r="AI73" s="188">
        <f t="shared" si="40"/>
        <v>-2719.0569552005363</v>
      </c>
      <c r="AJ73" s="188">
        <f t="shared" si="41"/>
        <v>2719.0569552005363</v>
      </c>
      <c r="AK73" s="188">
        <f t="shared" si="29"/>
        <v>-2719.0569552005363</v>
      </c>
      <c r="AL73" s="188">
        <f t="shared" si="30"/>
        <v>2719.0569552005363</v>
      </c>
      <c r="AM73" s="188">
        <f t="shared" si="31"/>
        <v>-2719.0569552005363</v>
      </c>
      <c r="AN73" s="188">
        <f t="shared" si="32"/>
        <v>-2719.0569552005363</v>
      </c>
      <c r="AO73" s="188">
        <f t="shared" si="43"/>
        <v>2719.0569552005363</v>
      </c>
      <c r="AP73" s="188">
        <f t="shared" si="44"/>
        <v>-2719.0569552005363</v>
      </c>
    </row>
    <row r="74" spans="1:42" ht="15.75" thickBot="1" x14ac:dyDescent="0.3">
      <c r="A74" s="1" t="s">
        <v>398</v>
      </c>
      <c r="B74" s="149" t="s">
        <v>722</v>
      </c>
      <c r="C74" s="192" t="s">
        <v>347</v>
      </c>
      <c r="E74" s="201">
        <f>'0809'!H74</f>
        <v>1</v>
      </c>
      <c r="F74" s="186">
        <f t="shared" si="20"/>
        <v>1625.7934508808501</v>
      </c>
      <c r="G74" s="202">
        <v>1.6120906801E-2</v>
      </c>
      <c r="H74" s="202">
        <v>1</v>
      </c>
      <c r="I74" s="227">
        <v>-1</v>
      </c>
      <c r="J74" s="227">
        <v>1</v>
      </c>
      <c r="K74" s="227">
        <v>-1</v>
      </c>
      <c r="L74" s="202">
        <v>-1</v>
      </c>
      <c r="M74" s="228">
        <v>14</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4">
        <v>100850</v>
      </c>
      <c r="Y74" s="354">
        <f>VLOOKUP(A74,'FuturesInfo (3)'!$A$2:$AI$80,35)*V74</f>
        <v>1296</v>
      </c>
      <c r="Z74" s="188">
        <f t="shared" si="26"/>
        <v>1625.7934508808501</v>
      </c>
      <c r="AA74" s="188">
        <f>IF(IF(sym!$Q63=H74,1,0)=1,ABS(X74*G74),-ABS(X74*G74))</f>
        <v>-1625.7934508808501</v>
      </c>
      <c r="AB74" s="188">
        <f>IF(IF(sym!$P63=$H74,1,0)=1,ABS($X74*$G74),-ABS($X74*$G74))</f>
        <v>1625.7934508808501</v>
      </c>
      <c r="AC74" s="188">
        <f t="shared" si="42"/>
        <v>1625.7934508808501</v>
      </c>
      <c r="AD74" s="188">
        <f t="shared" si="27"/>
        <v>-1625.7934508808501</v>
      </c>
      <c r="AE74" s="188">
        <f t="shared" si="28"/>
        <v>1625.7934508808501</v>
      </c>
      <c r="AF74" s="188">
        <f t="shared" si="37"/>
        <v>-1625.7934508808501</v>
      </c>
      <c r="AG74" s="188">
        <f t="shared" si="38"/>
        <v>-1625.7934508808501</v>
      </c>
      <c r="AH74" s="188">
        <f t="shared" si="39"/>
        <v>-1625.7934508808501</v>
      </c>
      <c r="AI74" s="188">
        <f t="shared" si="40"/>
        <v>1625.7934508808501</v>
      </c>
      <c r="AJ74" s="188">
        <f t="shared" si="41"/>
        <v>-1625.7934508808501</v>
      </c>
      <c r="AK74" s="188">
        <f t="shared" si="29"/>
        <v>1625.7934508808501</v>
      </c>
      <c r="AL74" s="188">
        <f t="shared" si="30"/>
        <v>-1625.7934508808501</v>
      </c>
      <c r="AM74" s="188">
        <f t="shared" si="31"/>
        <v>-1625.7934508808501</v>
      </c>
      <c r="AN74" s="188">
        <f t="shared" si="32"/>
        <v>-1625.7934508808501</v>
      </c>
      <c r="AO74" s="188">
        <f t="shared" si="43"/>
        <v>1625.7934508808501</v>
      </c>
      <c r="AP74" s="188">
        <f t="shared" si="44"/>
        <v>1625.7934508808501</v>
      </c>
    </row>
    <row r="75" spans="1:42" ht="15.75" thickBot="1" x14ac:dyDescent="0.3">
      <c r="A75" s="1" t="s">
        <v>400</v>
      </c>
      <c r="B75" s="149" t="s">
        <v>732</v>
      </c>
      <c r="C75" s="192" t="s">
        <v>294</v>
      </c>
      <c r="E75" s="201">
        <f>'0809'!H75</f>
        <v>-1</v>
      </c>
      <c r="F75" s="186">
        <f t="shared" si="20"/>
        <v>-2758.589410810428</v>
      </c>
      <c r="G75" s="291">
        <v>-1.3380039049E-2</v>
      </c>
      <c r="H75" s="202">
        <v>-1</v>
      </c>
      <c r="I75" s="227">
        <v>1</v>
      </c>
      <c r="J75" s="227">
        <v>-1</v>
      </c>
      <c r="K75" s="227">
        <v>1</v>
      </c>
      <c r="L75" s="202">
        <v>1</v>
      </c>
      <c r="M75" s="228">
        <v>-13</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4">
        <v>206172</v>
      </c>
      <c r="Y75" s="354">
        <f>VLOOKUP(A75,'FuturesInfo (3)'!$A$2:$AI$80,35)*V75</f>
        <v>6756</v>
      </c>
      <c r="Z75" s="188">
        <f t="shared" si="26"/>
        <v>2758.589410810428</v>
      </c>
      <c r="AA75" s="188">
        <f>IF(IF(sym!$Q64=H75,1,0)=1,ABS(X75*G75),-ABS(X75*G75))</f>
        <v>-2758.589410810428</v>
      </c>
      <c r="AB75" s="188">
        <f>IF(IF(sym!$P64=$H75,1,0)=1,ABS($X75*$G75),-ABS($X75*$G75))</f>
        <v>2758.589410810428</v>
      </c>
      <c r="AC75" s="188">
        <f t="shared" si="42"/>
        <v>2758.589410810428</v>
      </c>
      <c r="AD75" s="188">
        <f t="shared" si="27"/>
        <v>-2758.589410810428</v>
      </c>
      <c r="AE75" s="188">
        <f t="shared" si="28"/>
        <v>2758.589410810428</v>
      </c>
      <c r="AF75" s="188">
        <f t="shared" si="37"/>
        <v>-2758.589410810428</v>
      </c>
      <c r="AG75" s="188">
        <f t="shared" si="38"/>
        <v>-2758.589410810428</v>
      </c>
      <c r="AH75" s="188">
        <f t="shared" si="39"/>
        <v>-2758.589410810428</v>
      </c>
      <c r="AI75" s="188">
        <f t="shared" si="40"/>
        <v>2758.589410810428</v>
      </c>
      <c r="AJ75" s="188">
        <f t="shared" si="41"/>
        <v>2758.589410810428</v>
      </c>
      <c r="AK75" s="188">
        <f t="shared" si="29"/>
        <v>2758.589410810428</v>
      </c>
      <c r="AL75" s="188">
        <f t="shared" si="30"/>
        <v>2758.589410810428</v>
      </c>
      <c r="AM75" s="188">
        <f t="shared" si="31"/>
        <v>-2758.589410810428</v>
      </c>
      <c r="AN75" s="188">
        <f t="shared" si="32"/>
        <v>2758.589410810428</v>
      </c>
      <c r="AO75" s="188">
        <f t="shared" si="43"/>
        <v>2758.589410810428</v>
      </c>
      <c r="AP75" s="188">
        <f t="shared" si="44"/>
        <v>2758.589410810428</v>
      </c>
    </row>
    <row r="76" spans="1:42" ht="15.75" thickBot="1" x14ac:dyDescent="0.3">
      <c r="A76" s="1" t="s">
        <v>992</v>
      </c>
      <c r="B76" s="149" t="s">
        <v>443</v>
      </c>
      <c r="C76" s="192" t="s">
        <v>1122</v>
      </c>
      <c r="E76" s="201">
        <f>'0809'!H76</f>
        <v>1</v>
      </c>
      <c r="F76" s="186">
        <f t="shared" si="20"/>
        <v>316.18496825843926</v>
      </c>
      <c r="G76" s="202">
        <v>5.2780893316600004E-4</v>
      </c>
      <c r="H76" s="202">
        <v>1</v>
      </c>
      <c r="I76" s="227">
        <v>-1</v>
      </c>
      <c r="J76" s="227">
        <v>1</v>
      </c>
      <c r="K76" s="227">
        <v>-1</v>
      </c>
      <c r="L76" s="202">
        <v>1</v>
      </c>
      <c r="M76" s="228">
        <v>1</v>
      </c>
      <c r="N76" s="288">
        <v>42578</v>
      </c>
      <c r="O76">
        <f t="shared" si="21"/>
        <v>1</v>
      </c>
      <c r="P76">
        <f t="shared" si="35"/>
        <v>-1</v>
      </c>
      <c r="Q76">
        <f t="shared" si="22"/>
        <v>1</v>
      </c>
      <c r="R76">
        <f t="shared" si="23"/>
        <v>-1</v>
      </c>
      <c r="S76">
        <f t="shared" si="24"/>
        <v>-1</v>
      </c>
      <c r="T76">
        <f t="shared" si="25"/>
        <v>1</v>
      </c>
      <c r="U76">
        <f t="shared" si="36"/>
        <v>-1</v>
      </c>
      <c r="V76">
        <f>VLOOKUP($A76,'FuturesInfo (3)'!$A$2:$V$80,22)</f>
        <v>5</v>
      </c>
      <c r="W76">
        <v>1</v>
      </c>
      <c r="X76" s="354">
        <v>599051.94548686547</v>
      </c>
      <c r="Y76" s="354">
        <f>VLOOKUP(A76,'FuturesInfo (3)'!$A$2:$AI$80,35)*V76</f>
        <v>2469.6236293588854</v>
      </c>
      <c r="Z76" s="188">
        <f t="shared" si="26"/>
        <v>316.18496825843926</v>
      </c>
      <c r="AA76" s="188">
        <f>IF(IF(sym!$Q65=H76,1,0)=1,ABS(X76*G76),-ABS(X76*G76))</f>
        <v>-316.18496825843926</v>
      </c>
      <c r="AB76" s="188">
        <f>IF(IF(sym!$P65=$H76,1,0)=1,ABS($X76*$G76),-ABS($X76*$G76))</f>
        <v>316.18496825843926</v>
      </c>
      <c r="AC76" s="188">
        <f t="shared" si="42"/>
        <v>316.18496825843926</v>
      </c>
      <c r="AD76" s="188">
        <f t="shared" si="27"/>
        <v>-316.18496825843926</v>
      </c>
      <c r="AE76" s="188">
        <f t="shared" si="28"/>
        <v>316.18496825843926</v>
      </c>
      <c r="AF76" s="188">
        <f t="shared" si="37"/>
        <v>-316.18496825843926</v>
      </c>
      <c r="AG76" s="188">
        <f t="shared" si="38"/>
        <v>-316.18496825843926</v>
      </c>
      <c r="AH76" s="188">
        <f t="shared" si="39"/>
        <v>316.18496825843926</v>
      </c>
      <c r="AI76" s="188">
        <f t="shared" si="40"/>
        <v>-316.18496825843926</v>
      </c>
      <c r="AJ76" s="188">
        <f t="shared" si="41"/>
        <v>316.18496825843926</v>
      </c>
      <c r="AK76" s="188">
        <f t="shared" si="29"/>
        <v>-316.18496825843926</v>
      </c>
      <c r="AL76" s="188">
        <f t="shared" si="30"/>
        <v>316.18496825843926</v>
      </c>
      <c r="AM76" s="188">
        <f t="shared" si="31"/>
        <v>-316.18496825843926</v>
      </c>
      <c r="AN76" s="188">
        <f t="shared" si="32"/>
        <v>-316.18496825843926</v>
      </c>
      <c r="AO76" s="188">
        <f t="shared" si="43"/>
        <v>316.18496825843926</v>
      </c>
      <c r="AP76" s="188">
        <f t="shared" si="44"/>
        <v>-316.18496825843926</v>
      </c>
    </row>
    <row r="77" spans="1:42" ht="15.75" thickBot="1" x14ac:dyDescent="0.3">
      <c r="A77" s="1" t="s">
        <v>401</v>
      </c>
      <c r="B77" s="149" t="s">
        <v>726</v>
      </c>
      <c r="C77" s="192" t="s">
        <v>297</v>
      </c>
      <c r="E77" s="201">
        <f>'0809'!H77</f>
        <v>1</v>
      </c>
      <c r="F77" s="186">
        <f t="shared" si="20"/>
        <v>-633.85538553858021</v>
      </c>
      <c r="G77" s="202">
        <v>-9.6009600960100007E-3</v>
      </c>
      <c r="H77" s="202">
        <v>-1</v>
      </c>
      <c r="I77" s="227">
        <v>-1</v>
      </c>
      <c r="J77" s="227">
        <v>-1</v>
      </c>
      <c r="K77" s="227">
        <v>-1</v>
      </c>
      <c r="L77" s="202">
        <v>1</v>
      </c>
      <c r="M77" s="228">
        <v>-3</v>
      </c>
      <c r="N77" s="288">
        <v>42580</v>
      </c>
      <c r="O77">
        <f t="shared" si="21"/>
        <v>-1</v>
      </c>
      <c r="P77">
        <f t="shared" si="35"/>
        <v>-1</v>
      </c>
      <c r="Q77">
        <f t="shared" si="22"/>
        <v>-1</v>
      </c>
      <c r="R77">
        <f t="shared" si="23"/>
        <v>-1</v>
      </c>
      <c r="S77">
        <f t="shared" si="24"/>
        <v>-1</v>
      </c>
      <c r="T77">
        <f t="shared" si="25"/>
        <v>1</v>
      </c>
      <c r="U77">
        <f t="shared" si="36"/>
        <v>-1</v>
      </c>
      <c r="V77">
        <f>VLOOKUP($A77,'FuturesInfo (3)'!$A$2:$V$80,22)</f>
        <v>3</v>
      </c>
      <c r="W77">
        <v>1</v>
      </c>
      <c r="X77" s="354">
        <v>66020</v>
      </c>
      <c r="Y77" s="354">
        <f>VLOOKUP(A77,'FuturesInfo (3)'!$A$2:$AI$80,35)*V77</f>
        <v>18000</v>
      </c>
      <c r="Z77" s="188">
        <f t="shared" si="26"/>
        <v>633.85538553858021</v>
      </c>
      <c r="AA77" s="188">
        <f>IF(IF(sym!$Q66=H77,1,0)=1,ABS(X77*G77),-ABS(X77*G77))</f>
        <v>-633.85538553858021</v>
      </c>
      <c r="AB77" s="188">
        <f>IF(IF(sym!$P66=$H77,1,0)=1,ABS($X77*$G77),-ABS($X77*$G77))</f>
        <v>633.85538553858021</v>
      </c>
      <c r="AC77" s="188">
        <f t="shared" si="42"/>
        <v>-633.85538553858021</v>
      </c>
      <c r="AD77" s="188">
        <f t="shared" si="27"/>
        <v>633.85538553858021</v>
      </c>
      <c r="AE77" s="188">
        <f t="shared" si="28"/>
        <v>633.85538553858021</v>
      </c>
      <c r="AF77" s="188">
        <f t="shared" si="37"/>
        <v>633.85538553858021</v>
      </c>
      <c r="AG77" s="188">
        <f t="shared" si="38"/>
        <v>633.85538553858021</v>
      </c>
      <c r="AH77" s="188">
        <f t="shared" si="39"/>
        <v>-633.85538553858021</v>
      </c>
      <c r="AI77" s="188">
        <f t="shared" si="40"/>
        <v>633.85538553858021</v>
      </c>
      <c r="AJ77" s="188">
        <f t="shared" si="41"/>
        <v>633.85538553858021</v>
      </c>
      <c r="AK77" s="188">
        <f t="shared" si="29"/>
        <v>633.85538553858021</v>
      </c>
      <c r="AL77" s="188">
        <f t="shared" si="30"/>
        <v>633.85538553858021</v>
      </c>
      <c r="AM77" s="188">
        <f t="shared" si="31"/>
        <v>633.85538553858021</v>
      </c>
      <c r="AN77" s="188">
        <f t="shared" si="32"/>
        <v>633.85538553858021</v>
      </c>
      <c r="AO77" s="188">
        <f t="shared" si="43"/>
        <v>-633.85538553858021</v>
      </c>
      <c r="AP77" s="188">
        <f t="shared" si="44"/>
        <v>633.85538553858021</v>
      </c>
    </row>
    <row r="78" spans="1:42" ht="15.75" thickBot="1" x14ac:dyDescent="0.3">
      <c r="A78" s="1" t="s">
        <v>868</v>
      </c>
      <c r="B78" s="149" t="s">
        <v>746</v>
      </c>
      <c r="C78" s="192" t="s">
        <v>294</v>
      </c>
      <c r="E78" s="201">
        <f>'0809'!H78</f>
        <v>1</v>
      </c>
      <c r="F78" s="186">
        <f t="shared" ref="F78:F92" si="45">G78*X78</f>
        <v>-1041.61618047349</v>
      </c>
      <c r="G78" s="202">
        <v>-4.1332360807200003E-3</v>
      </c>
      <c r="H78" s="202">
        <v>-1</v>
      </c>
      <c r="I78" s="227">
        <v>-1</v>
      </c>
      <c r="J78" s="227">
        <v>-1</v>
      </c>
      <c r="K78" s="227">
        <v>-1</v>
      </c>
      <c r="L78" s="202">
        <v>1</v>
      </c>
      <c r="M78" s="228">
        <v>-9</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4">
        <v>252009.84413453651</v>
      </c>
      <c r="Y78" s="354">
        <f>VLOOKUP(A78,'FuturesInfo (3)'!$A$2:$AI$80,35)*V78</f>
        <v>26352.349681920787</v>
      </c>
      <c r="Z78" s="188">
        <f t="shared" ref="Z78:Z92" si="51">ABS(X78*G78)</f>
        <v>1041.61618047349</v>
      </c>
      <c r="AA78" s="188">
        <f>IF(IF(sym!$Q67=H78,1,0)=1,ABS(X78*G78),-ABS(X78*G78))</f>
        <v>-1041.61618047349</v>
      </c>
      <c r="AB78" s="188">
        <f>IF(IF(sym!$P67=$H78,1,0)=1,ABS($X78*$G78),-ABS($X78*$G78))</f>
        <v>1041.61618047349</v>
      </c>
      <c r="AC78" s="188">
        <f t="shared" si="42"/>
        <v>-1041.61618047349</v>
      </c>
      <c r="AD78" s="188">
        <f t="shared" ref="AD78:AD92" si="52">IF(IF(-E78=H78,1,0)=1,ABS(X78*G78),-ABS(X78*G78))</f>
        <v>1041.61618047349</v>
      </c>
      <c r="AE78" s="188">
        <f t="shared" ref="AE78:AE92" si="53">IF(IF(J78=H78,1,0)=1,ABS(X78*G78),-ABS(X78*G78))</f>
        <v>1041.61618047349</v>
      </c>
      <c r="AF78" s="188">
        <f t="shared" si="37"/>
        <v>1041.61618047349</v>
      </c>
      <c r="AG78" s="188">
        <f t="shared" si="38"/>
        <v>1041.61618047349</v>
      </c>
      <c r="AH78" s="188">
        <f t="shared" si="39"/>
        <v>-1041.61618047349</v>
      </c>
      <c r="AI78" s="188">
        <f t="shared" si="40"/>
        <v>1041.61618047349</v>
      </c>
      <c r="AJ78" s="188">
        <f t="shared" si="41"/>
        <v>1041.61618047349</v>
      </c>
      <c r="AK78" s="188">
        <f t="shared" ref="AK78:AK92" si="54">IF(IF(P78=H78,1,0)=1,ABS(X78*G78),-ABS(X78*G78))</f>
        <v>1041.61618047349</v>
      </c>
      <c r="AL78" s="188">
        <f t="shared" ref="AL78:AL92" si="55">IF(IF(H78=Q78,1,0)=1,ABS(X78*G78),-ABS(X78*G78))</f>
        <v>1041.61618047349</v>
      </c>
      <c r="AM78" s="188">
        <f t="shared" ref="AM78:AM92" si="56">IF(IF(R78=H78,1,0)=1,ABS(X78*G78),-ABS(X78*G78))</f>
        <v>1041.61618047349</v>
      </c>
      <c r="AN78" s="188">
        <f t="shared" ref="AN78:AN92" si="57">IF(IF(S78=H78,1,0)=1,ABS(X78*G78),-ABS(X78*G78))</f>
        <v>1041.61618047349</v>
      </c>
      <c r="AO78" s="188">
        <f t="shared" ref="AO78:AO92" si="58">IF(IF(T78=$H78,1,0)=1,ABS($X78*$G78),-ABS($X78*$G78))</f>
        <v>-1041.61618047349</v>
      </c>
      <c r="AP78" s="188">
        <f t="shared" ref="AP78:AP92" si="59">IF(IF(U78=$H78,1,0)=1,ABS($X78*$G78),-ABS($X78*$G78))</f>
        <v>1041.61618047349</v>
      </c>
    </row>
    <row r="79" spans="1:42" ht="15.75" thickBot="1" x14ac:dyDescent="0.3">
      <c r="A79" s="1" t="s">
        <v>403</v>
      </c>
      <c r="B79" s="149" t="s">
        <v>681</v>
      </c>
      <c r="C79" s="192" t="s">
        <v>294</v>
      </c>
      <c r="E79" s="201">
        <f>'0809'!H79</f>
        <v>1</v>
      </c>
      <c r="F79" s="186">
        <f t="shared" si="45"/>
        <v>-298.03491644286242</v>
      </c>
      <c r="G79" s="202">
        <v>-1.5830299192700001E-3</v>
      </c>
      <c r="H79" s="202">
        <v>-1</v>
      </c>
      <c r="I79" s="227">
        <v>-1</v>
      </c>
      <c r="J79" s="227">
        <v>-1</v>
      </c>
      <c r="K79" s="227">
        <v>1</v>
      </c>
      <c r="L79" s="202">
        <v>-1</v>
      </c>
      <c r="M79" s="228">
        <v>-3</v>
      </c>
      <c r="N79" s="288">
        <v>42572</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4">
        <v>188268.65671641793</v>
      </c>
      <c r="Y79" s="354">
        <f>VLOOKUP(A79,'FuturesInfo (3)'!$A$2:$AI$80,35)*V79</f>
        <v>6193.9199999999992</v>
      </c>
      <c r="Z79" s="188">
        <f t="shared" si="51"/>
        <v>298.03491644286242</v>
      </c>
      <c r="AA79" s="188">
        <f>IF(IF(sym!$Q68=H79,1,0)=1,ABS(X79*G79),-ABS(X79*G79))</f>
        <v>-298.03491644286242</v>
      </c>
      <c r="AB79" s="188">
        <f>IF(IF(sym!$P68=$H79,1,0)=1,ABS($X79*$G79),-ABS($X79*$G79))</f>
        <v>298.03491644286242</v>
      </c>
      <c r="AC79" s="188">
        <f t="shared" si="42"/>
        <v>-298.03491644286242</v>
      </c>
      <c r="AD79" s="188">
        <f t="shared" si="52"/>
        <v>298.03491644286242</v>
      </c>
      <c r="AE79" s="188">
        <f t="shared" si="53"/>
        <v>298.03491644286242</v>
      </c>
      <c r="AF79" s="188">
        <f t="shared" ref="AF79:AF92" si="62">IF(IF(I79=H79,1,0)=1,ABS(X79*G79),-ABS(X79*G79))</f>
        <v>298.03491644286242</v>
      </c>
      <c r="AG79" s="188">
        <f t="shared" ref="AG79:AG92" si="63">IF(IF(K79=H79,1,0)=1,ABS(X79*G79),-ABS(X79*G79))</f>
        <v>-298.03491644286242</v>
      </c>
      <c r="AH79" s="188">
        <f t="shared" ref="AH79:AH92" si="64">IF(IF(L79=H79,1,0)=1,ABS(X79*G79),-ABS(X79*G79))</f>
        <v>298.03491644286242</v>
      </c>
      <c r="AI79" s="188">
        <f t="shared" ref="AI79:AI92" si="65">IF(IF(-L79=H79,1,0)=1,ABS(X79*G79),-ABS(X79*G79))</f>
        <v>-298.03491644286242</v>
      </c>
      <c r="AJ79" s="188">
        <f t="shared" ref="AJ79:AJ92" si="66">IF(IF(O79=H79,1,0)=1,ABS(X79*G79),-ABS(X79*G79))</f>
        <v>-298.03491644286242</v>
      </c>
      <c r="AK79" s="188">
        <f t="shared" si="54"/>
        <v>-298.03491644286242</v>
      </c>
      <c r="AL79" s="188">
        <f t="shared" si="55"/>
        <v>298.03491644286242</v>
      </c>
      <c r="AM79" s="188">
        <f t="shared" si="56"/>
        <v>298.03491644286242</v>
      </c>
      <c r="AN79" s="188">
        <f t="shared" si="57"/>
        <v>298.03491644286242</v>
      </c>
      <c r="AO79" s="188">
        <f t="shared" si="58"/>
        <v>298.03491644286242</v>
      </c>
      <c r="AP79" s="188">
        <f t="shared" si="59"/>
        <v>298.03491644286242</v>
      </c>
    </row>
    <row r="80" spans="1:42" ht="15.75" thickBot="1" x14ac:dyDescent="0.3">
      <c r="A80" s="1" t="s">
        <v>405</v>
      </c>
      <c r="B80" s="149" t="s">
        <v>686</v>
      </c>
      <c r="C80" s="192" t="s">
        <v>294</v>
      </c>
      <c r="E80" s="201">
        <f>'0809'!H80</f>
        <v>1</v>
      </c>
      <c r="F80" s="186">
        <f t="shared" si="45"/>
        <v>300.4400117334888</v>
      </c>
      <c r="G80" s="202">
        <v>1.46670577882E-3</v>
      </c>
      <c r="H80" s="202">
        <v>1</v>
      </c>
      <c r="I80" s="227">
        <v>1</v>
      </c>
      <c r="J80" s="227">
        <v>-1</v>
      </c>
      <c r="K80" s="227">
        <v>1</v>
      </c>
      <c r="L80" s="202">
        <v>1</v>
      </c>
      <c r="M80" s="228">
        <v>-18</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4">
        <v>204840</v>
      </c>
      <c r="Y80" s="354">
        <f>VLOOKUP(A80,'FuturesInfo (3)'!$A$2:$AI$80,35)*V80</f>
        <v>11250</v>
      </c>
      <c r="Z80" s="188">
        <f t="shared" si="51"/>
        <v>300.4400117334888</v>
      </c>
      <c r="AA80" s="188">
        <f>IF(IF(sym!$Q69=H80,1,0)=1,ABS(X80*G80),-ABS(X80*G80))</f>
        <v>300.4400117334888</v>
      </c>
      <c r="AB80" s="188">
        <f>IF(IF(sym!$P69=$H80,1,0)=1,ABS($X80*$G80),-ABS($X80*$G80))</f>
        <v>-300.4400117334888</v>
      </c>
      <c r="AC80" s="188">
        <f t="shared" ref="AC80:AC92" si="67">IF(IF(E80=H80,1,0)=1,ABS(X80*G80),-ABS(X80*G80))</f>
        <v>300.4400117334888</v>
      </c>
      <c r="AD80" s="188">
        <f t="shared" si="52"/>
        <v>-300.4400117334888</v>
      </c>
      <c r="AE80" s="188">
        <f t="shared" si="53"/>
        <v>-300.4400117334888</v>
      </c>
      <c r="AF80" s="188">
        <f t="shared" si="62"/>
        <v>300.4400117334888</v>
      </c>
      <c r="AG80" s="188">
        <f t="shared" si="63"/>
        <v>300.4400117334888</v>
      </c>
      <c r="AH80" s="188">
        <f t="shared" si="64"/>
        <v>300.4400117334888</v>
      </c>
      <c r="AI80" s="188">
        <f t="shared" si="65"/>
        <v>-300.4400117334888</v>
      </c>
      <c r="AJ80" s="188">
        <f t="shared" si="66"/>
        <v>-300.4400117334888</v>
      </c>
      <c r="AK80" s="188">
        <f t="shared" si="54"/>
        <v>300.4400117334888</v>
      </c>
      <c r="AL80" s="188">
        <f t="shared" si="55"/>
        <v>-300.4400117334888</v>
      </c>
      <c r="AM80" s="188">
        <f t="shared" si="56"/>
        <v>-300.4400117334888</v>
      </c>
      <c r="AN80" s="188">
        <f t="shared" si="57"/>
        <v>-300.4400117334888</v>
      </c>
      <c r="AO80" s="188">
        <f t="shared" si="58"/>
        <v>300.4400117334888</v>
      </c>
      <c r="AP80" s="188">
        <f t="shared" si="59"/>
        <v>-300.4400117334888</v>
      </c>
    </row>
    <row r="81" spans="1:42" ht="15.75" thickBot="1" x14ac:dyDescent="0.3">
      <c r="A81" s="1" t="s">
        <v>408</v>
      </c>
      <c r="B81" s="149" t="s">
        <v>527</v>
      </c>
      <c r="C81" s="192" t="s">
        <v>294</v>
      </c>
      <c r="D81" s="2"/>
      <c r="E81" s="201">
        <f>'0809'!H81</f>
        <v>1</v>
      </c>
      <c r="F81" s="186">
        <f t="shared" si="45"/>
        <v>-556.95455746371908</v>
      </c>
      <c r="G81" s="202">
        <v>-3.3025099075299998E-3</v>
      </c>
      <c r="H81" s="202">
        <v>-1</v>
      </c>
      <c r="I81" s="227">
        <v>1</v>
      </c>
      <c r="J81" s="227">
        <v>-1</v>
      </c>
      <c r="K81" s="227">
        <v>1</v>
      </c>
      <c r="L81" s="202">
        <v>-1</v>
      </c>
      <c r="M81" s="228">
        <v>-5</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4">
        <v>168645.84</v>
      </c>
      <c r="Y81" s="354">
        <f>VLOOKUP(A81,'FuturesInfo (3)'!$A$2:$AI$80,35)*V81</f>
        <v>16187.8</v>
      </c>
      <c r="Z81" s="188">
        <f t="shared" si="51"/>
        <v>556.95455746371908</v>
      </c>
      <c r="AA81" s="188">
        <f>IF(IF(sym!$Q70=H81,1,0)=1,ABS(X81*G81),-ABS(X81*G81))</f>
        <v>-556.95455746371908</v>
      </c>
      <c r="AB81" s="188">
        <f>IF(IF(sym!$P70=$H81,1,0)=1,ABS($X81*$G81),-ABS($X81*$G81))</f>
        <v>556.95455746371908</v>
      </c>
      <c r="AC81" s="188">
        <f t="shared" si="67"/>
        <v>-556.95455746371908</v>
      </c>
      <c r="AD81" s="188">
        <f t="shared" si="52"/>
        <v>556.95455746371908</v>
      </c>
      <c r="AE81" s="188">
        <f t="shared" si="53"/>
        <v>556.95455746371908</v>
      </c>
      <c r="AF81" s="188">
        <f t="shared" si="62"/>
        <v>-556.95455746371908</v>
      </c>
      <c r="AG81" s="188">
        <f t="shared" si="63"/>
        <v>-556.95455746371908</v>
      </c>
      <c r="AH81" s="188">
        <f t="shared" si="64"/>
        <v>556.95455746371908</v>
      </c>
      <c r="AI81" s="188">
        <f t="shared" si="65"/>
        <v>-556.95455746371908</v>
      </c>
      <c r="AJ81" s="188">
        <f t="shared" si="66"/>
        <v>-556.95455746371908</v>
      </c>
      <c r="AK81" s="188">
        <f t="shared" si="54"/>
        <v>-556.95455746371908</v>
      </c>
      <c r="AL81" s="188">
        <f t="shared" si="55"/>
        <v>556.95455746371908</v>
      </c>
      <c r="AM81" s="188">
        <f t="shared" si="56"/>
        <v>-556.95455746371908</v>
      </c>
      <c r="AN81" s="188">
        <f t="shared" si="57"/>
        <v>-556.95455746371908</v>
      </c>
      <c r="AO81" s="188">
        <f t="shared" si="58"/>
        <v>556.95455746371908</v>
      </c>
      <c r="AP81" s="188">
        <f t="shared" si="59"/>
        <v>556.95455746371908</v>
      </c>
    </row>
    <row r="82" spans="1:42" ht="15.75" thickBot="1" x14ac:dyDescent="0.3">
      <c r="A82" s="1" t="s">
        <v>410</v>
      </c>
      <c r="B82" s="149" t="s">
        <v>556</v>
      </c>
      <c r="C82" s="192" t="s">
        <v>294</v>
      </c>
      <c r="E82" s="201">
        <f>'0809'!H82</f>
        <v>1</v>
      </c>
      <c r="F82" s="186">
        <f t="shared" si="45"/>
        <v>-1707.9730059362239</v>
      </c>
      <c r="G82" s="202">
        <v>-6.9924384096300002E-3</v>
      </c>
      <c r="H82" s="202">
        <v>-1</v>
      </c>
      <c r="I82" s="227">
        <v>1</v>
      </c>
      <c r="J82" s="227">
        <v>1</v>
      </c>
      <c r="K82" s="227">
        <v>1</v>
      </c>
      <c r="L82" s="202">
        <v>1</v>
      </c>
      <c r="M82" s="228">
        <v>-24</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4">
        <v>244260</v>
      </c>
      <c r="Y82" s="354">
        <f>VLOOKUP(A82,'FuturesInfo (3)'!$A$2:$AI$80,35)*V82</f>
        <v>13500</v>
      </c>
      <c r="Z82" s="188">
        <f t="shared" si="51"/>
        <v>1707.9730059362239</v>
      </c>
      <c r="AA82" s="188">
        <f>IF(IF(sym!$Q71=H82,1,0)=1,ABS(X82*G82),-ABS(X82*G82))</f>
        <v>-1707.9730059362239</v>
      </c>
      <c r="AB82" s="188">
        <f>IF(IF(sym!$P71=$H82,1,0)=1,ABS($X82*$G82),-ABS($X82*$G82))</f>
        <v>1707.9730059362239</v>
      </c>
      <c r="AC82" s="188">
        <f t="shared" si="67"/>
        <v>-1707.9730059362239</v>
      </c>
      <c r="AD82" s="188">
        <f t="shared" si="52"/>
        <v>1707.9730059362239</v>
      </c>
      <c r="AE82" s="188">
        <f t="shared" si="53"/>
        <v>-1707.9730059362239</v>
      </c>
      <c r="AF82" s="188">
        <f t="shared" si="62"/>
        <v>-1707.9730059362239</v>
      </c>
      <c r="AG82" s="188">
        <f t="shared" si="63"/>
        <v>-1707.9730059362239</v>
      </c>
      <c r="AH82" s="188">
        <f t="shared" si="64"/>
        <v>-1707.9730059362239</v>
      </c>
      <c r="AI82" s="188">
        <f t="shared" si="65"/>
        <v>1707.9730059362239</v>
      </c>
      <c r="AJ82" s="188">
        <f t="shared" si="66"/>
        <v>1707.9730059362239</v>
      </c>
      <c r="AK82" s="188">
        <f t="shared" si="54"/>
        <v>-1707.9730059362239</v>
      </c>
      <c r="AL82" s="188">
        <f t="shared" si="55"/>
        <v>1707.9730059362239</v>
      </c>
      <c r="AM82" s="188">
        <f t="shared" si="56"/>
        <v>1707.9730059362239</v>
      </c>
      <c r="AN82" s="188">
        <f t="shared" si="57"/>
        <v>1707.9730059362239</v>
      </c>
      <c r="AO82" s="188">
        <f t="shared" si="58"/>
        <v>-1707.9730059362239</v>
      </c>
      <c r="AP82" s="188">
        <f t="shared" si="59"/>
        <v>1707.9730059362239</v>
      </c>
    </row>
    <row r="83" spans="1:42" ht="15.75" thickBot="1" x14ac:dyDescent="0.3">
      <c r="A83" s="1" t="s">
        <v>412</v>
      </c>
      <c r="B83" s="149" t="s">
        <v>763</v>
      </c>
      <c r="C83" s="192" t="s">
        <v>1122</v>
      </c>
      <c r="E83" s="201">
        <f>'0809'!H83</f>
        <v>1</v>
      </c>
      <c r="F83" s="186">
        <f t="shared" si="45"/>
        <v>1500.8570204265675</v>
      </c>
      <c r="G83" s="202">
        <v>5.71346950436E-4</v>
      </c>
      <c r="H83" s="202">
        <v>1</v>
      </c>
      <c r="I83" s="227">
        <v>1</v>
      </c>
      <c r="J83" s="227">
        <v>1</v>
      </c>
      <c r="K83" s="227">
        <v>1</v>
      </c>
      <c r="L83" s="202">
        <v>1</v>
      </c>
      <c r="M83" s="228">
        <v>-3</v>
      </c>
      <c r="N83" s="288">
        <v>42576</v>
      </c>
      <c r="O83">
        <f t="shared" si="46"/>
        <v>-1</v>
      </c>
      <c r="P83">
        <f t="shared" si="60"/>
        <v>1</v>
      </c>
      <c r="Q83">
        <f t="shared" si="47"/>
        <v>-1</v>
      </c>
      <c r="R83">
        <f t="shared" si="48"/>
        <v>-1</v>
      </c>
      <c r="S83">
        <f t="shared" si="49"/>
        <v>-1</v>
      </c>
      <c r="T83">
        <f t="shared" si="50"/>
        <v>1</v>
      </c>
      <c r="U83">
        <f t="shared" si="61"/>
        <v>-1</v>
      </c>
      <c r="V83">
        <f>VLOOKUP($A83,'FuturesInfo (3)'!$A$2:$V$80,22)</f>
        <v>11</v>
      </c>
      <c r="W83">
        <v>1</v>
      </c>
      <c r="X83" s="354">
        <v>2626875</v>
      </c>
      <c r="Y83" s="354">
        <f>VLOOKUP(A83,'FuturesInfo (3)'!$A$2:$AI$80,35)*V83</f>
        <v>7557</v>
      </c>
      <c r="Z83" s="188">
        <f t="shared" si="51"/>
        <v>1500.8570204265675</v>
      </c>
      <c r="AA83" s="188">
        <f>IF(IF(sym!$Q72=H83,1,0)=1,ABS(X83*G83),-ABS(X83*G83))</f>
        <v>-1500.8570204265675</v>
      </c>
      <c r="AB83" s="188">
        <f>IF(IF(sym!$P72=$H83,1,0)=1,ABS($X83*$G83),-ABS($X83*$G83))</f>
        <v>1500.8570204265675</v>
      </c>
      <c r="AC83" s="188">
        <f t="shared" si="67"/>
        <v>1500.8570204265675</v>
      </c>
      <c r="AD83" s="188">
        <f t="shared" si="52"/>
        <v>-1500.8570204265675</v>
      </c>
      <c r="AE83" s="188">
        <f t="shared" si="53"/>
        <v>1500.8570204265675</v>
      </c>
      <c r="AF83" s="188">
        <f t="shared" si="62"/>
        <v>1500.8570204265675</v>
      </c>
      <c r="AG83" s="188">
        <f t="shared" si="63"/>
        <v>1500.8570204265675</v>
      </c>
      <c r="AH83" s="188">
        <f t="shared" si="64"/>
        <v>1500.8570204265675</v>
      </c>
      <c r="AI83" s="188">
        <f t="shared" si="65"/>
        <v>-1500.8570204265675</v>
      </c>
      <c r="AJ83" s="188">
        <f t="shared" si="66"/>
        <v>-1500.8570204265675</v>
      </c>
      <c r="AK83" s="188">
        <f t="shared" si="54"/>
        <v>1500.8570204265675</v>
      </c>
      <c r="AL83" s="188">
        <f t="shared" si="55"/>
        <v>-1500.8570204265675</v>
      </c>
      <c r="AM83" s="188">
        <f t="shared" si="56"/>
        <v>-1500.8570204265675</v>
      </c>
      <c r="AN83" s="188">
        <f t="shared" si="57"/>
        <v>-1500.8570204265675</v>
      </c>
      <c r="AO83" s="188">
        <f t="shared" si="58"/>
        <v>1500.8570204265675</v>
      </c>
      <c r="AP83" s="188">
        <f t="shared" si="59"/>
        <v>-1500.8570204265675</v>
      </c>
    </row>
    <row r="84" spans="1:42" ht="15.75" thickBot="1" x14ac:dyDescent="0.3">
      <c r="A84" s="1" t="s">
        <v>413</v>
      </c>
      <c r="B84" s="149" t="s">
        <v>761</v>
      </c>
      <c r="C84" s="192" t="s">
        <v>1122</v>
      </c>
      <c r="E84" s="201">
        <f>'0809'!H84</f>
        <v>1</v>
      </c>
      <c r="F84" s="186">
        <f t="shared" si="45"/>
        <v>1567.1118654047875</v>
      </c>
      <c r="G84" s="202">
        <v>2.9515938606800001E-3</v>
      </c>
      <c r="H84" s="202">
        <v>1</v>
      </c>
      <c r="I84" s="227">
        <v>-1</v>
      </c>
      <c r="J84" s="227">
        <v>-1</v>
      </c>
      <c r="K84" s="227">
        <v>-1</v>
      </c>
      <c r="L84" s="202">
        <v>1</v>
      </c>
      <c r="M84" s="228">
        <v>-7</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4">
        <v>530937.5</v>
      </c>
      <c r="Y84" s="354">
        <f>VLOOKUP(A84,'FuturesInfo (3)'!$A$2:$AI$80,35)*V84</f>
        <v>6248</v>
      </c>
      <c r="Z84" s="188">
        <f t="shared" si="51"/>
        <v>1567.1118654047875</v>
      </c>
      <c r="AA84" s="188">
        <f>IF(IF(sym!$Q73=H84,1,0)=1,ABS(X84*G84),-ABS(X84*G84))</f>
        <v>-1567.1118654047875</v>
      </c>
      <c r="AB84" s="188">
        <f>IF(IF(sym!$P73=$H84,1,0)=1,ABS($X84*$G84),-ABS($X84*$G84))</f>
        <v>1567.1118654047875</v>
      </c>
      <c r="AC84" s="188">
        <f t="shared" si="67"/>
        <v>1567.1118654047875</v>
      </c>
      <c r="AD84" s="188">
        <f t="shared" si="52"/>
        <v>-1567.1118654047875</v>
      </c>
      <c r="AE84" s="188">
        <f t="shared" si="53"/>
        <v>-1567.1118654047875</v>
      </c>
      <c r="AF84" s="188">
        <f t="shared" si="62"/>
        <v>-1567.1118654047875</v>
      </c>
      <c r="AG84" s="188">
        <f t="shared" si="63"/>
        <v>-1567.1118654047875</v>
      </c>
      <c r="AH84" s="188">
        <f t="shared" si="64"/>
        <v>1567.1118654047875</v>
      </c>
      <c r="AI84" s="188">
        <f t="shared" si="65"/>
        <v>-1567.1118654047875</v>
      </c>
      <c r="AJ84" s="188">
        <f t="shared" si="66"/>
        <v>-1567.1118654047875</v>
      </c>
      <c r="AK84" s="188">
        <f t="shared" si="54"/>
        <v>-1567.1118654047875</v>
      </c>
      <c r="AL84" s="188">
        <f t="shared" si="55"/>
        <v>-1567.1118654047875</v>
      </c>
      <c r="AM84" s="188">
        <f t="shared" si="56"/>
        <v>-1567.1118654047875</v>
      </c>
      <c r="AN84" s="188">
        <f t="shared" si="57"/>
        <v>-1567.1118654047875</v>
      </c>
      <c r="AO84" s="188">
        <f t="shared" si="58"/>
        <v>1567.1118654047875</v>
      </c>
      <c r="AP84" s="188">
        <f t="shared" si="59"/>
        <v>-1567.1118654047875</v>
      </c>
    </row>
    <row r="85" spans="1:42" ht="15.75" thickBot="1" x14ac:dyDescent="0.3">
      <c r="A85" s="1" t="s">
        <v>414</v>
      </c>
      <c r="B85" s="149" t="s">
        <v>759</v>
      </c>
      <c r="C85" s="192" t="s">
        <v>1122</v>
      </c>
      <c r="E85" s="201">
        <f>'0809'!H85</f>
        <v>1</v>
      </c>
      <c r="F85" s="186">
        <f t="shared" si="45"/>
        <v>1506.5134792818337</v>
      </c>
      <c r="G85" s="202">
        <v>4.3423195223400001E-3</v>
      </c>
      <c r="H85" s="202">
        <v>1</v>
      </c>
      <c r="I85" s="227">
        <v>-1</v>
      </c>
      <c r="J85" s="227">
        <v>-1</v>
      </c>
      <c r="K85" s="227">
        <v>-1</v>
      </c>
      <c r="L85" s="202">
        <v>1</v>
      </c>
      <c r="M85" s="228">
        <v>-7</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4">
        <v>346937.5</v>
      </c>
      <c r="Y85" s="354">
        <f>VLOOKUP(A85,'FuturesInfo (3)'!$A$2:$AI$80,35)*V85</f>
        <v>9124</v>
      </c>
      <c r="Z85" s="188">
        <f t="shared" si="51"/>
        <v>1506.5134792818337</v>
      </c>
      <c r="AA85" s="188">
        <f>IF(IF(sym!$Q74=H85,1,0)=1,ABS(X85*G85),-ABS(X85*G85))</f>
        <v>-1506.5134792818337</v>
      </c>
      <c r="AB85" s="188">
        <f>IF(IF(sym!$P74=$H85,1,0)=1,ABS($X85*$G85),-ABS($X85*$G85))</f>
        <v>1506.5134792818337</v>
      </c>
      <c r="AC85" s="188">
        <f t="shared" si="67"/>
        <v>1506.5134792818337</v>
      </c>
      <c r="AD85" s="188">
        <f t="shared" si="52"/>
        <v>-1506.5134792818337</v>
      </c>
      <c r="AE85" s="188">
        <f t="shared" si="53"/>
        <v>-1506.5134792818337</v>
      </c>
      <c r="AF85" s="188">
        <f t="shared" si="62"/>
        <v>-1506.5134792818337</v>
      </c>
      <c r="AG85" s="188">
        <f t="shared" si="63"/>
        <v>-1506.5134792818337</v>
      </c>
      <c r="AH85" s="188">
        <f t="shared" si="64"/>
        <v>1506.5134792818337</v>
      </c>
      <c r="AI85" s="188">
        <f t="shared" si="65"/>
        <v>-1506.5134792818337</v>
      </c>
      <c r="AJ85" s="188">
        <f t="shared" si="66"/>
        <v>-1506.5134792818337</v>
      </c>
      <c r="AK85" s="188">
        <f t="shared" si="54"/>
        <v>-1506.5134792818337</v>
      </c>
      <c r="AL85" s="188">
        <f t="shared" si="55"/>
        <v>-1506.5134792818337</v>
      </c>
      <c r="AM85" s="188">
        <f t="shared" si="56"/>
        <v>-1506.5134792818337</v>
      </c>
      <c r="AN85" s="188">
        <f t="shared" si="57"/>
        <v>-1506.5134792818337</v>
      </c>
      <c r="AO85" s="188">
        <f t="shared" si="58"/>
        <v>1506.5134792818337</v>
      </c>
      <c r="AP85" s="188">
        <f t="shared" si="59"/>
        <v>-1506.5134792818337</v>
      </c>
    </row>
    <row r="86" spans="1:42" ht="15.75" thickBot="1" x14ac:dyDescent="0.3">
      <c r="A86" s="1" t="s">
        <v>416</v>
      </c>
      <c r="B86" s="149" t="s">
        <v>494</v>
      </c>
      <c r="C86" s="192" t="s">
        <v>294</v>
      </c>
      <c r="E86" s="201">
        <f>'0809'!H86</f>
        <v>-1</v>
      </c>
      <c r="F86" s="186">
        <f t="shared" si="45"/>
        <v>1560.6060606045</v>
      </c>
      <c r="G86" s="202">
        <v>4.0404040404000002E-2</v>
      </c>
      <c r="H86" s="202">
        <v>1</v>
      </c>
      <c r="I86" s="227">
        <v>-1</v>
      </c>
      <c r="J86" s="227">
        <v>-1</v>
      </c>
      <c r="K86" s="227">
        <v>-1</v>
      </c>
      <c r="L86" s="202">
        <v>1</v>
      </c>
      <c r="M86" s="228">
        <v>-12</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4">
        <v>38625</v>
      </c>
      <c r="Y86" s="354">
        <f>VLOOKUP(A86,'FuturesInfo (3)'!$A$2:$AI$80,35)*V86</f>
        <v>26148</v>
      </c>
      <c r="Z86" s="188">
        <f t="shared" si="51"/>
        <v>1560.6060606045</v>
      </c>
      <c r="AA86" s="188">
        <f>IF(IF(sym!$Q75=H86,1,0)=1,ABS(X86*G86),-ABS(X86*G86))</f>
        <v>-1560.6060606045</v>
      </c>
      <c r="AB86" s="188">
        <f>IF(IF(sym!$P75=$H86,1,0)=1,ABS($X86*$G86),-ABS($X86*$G86))</f>
        <v>1560.6060606045</v>
      </c>
      <c r="AC86" s="188">
        <f t="shared" si="67"/>
        <v>-1560.6060606045</v>
      </c>
      <c r="AD86" s="188">
        <f t="shared" si="52"/>
        <v>1560.6060606045</v>
      </c>
      <c r="AE86" s="188">
        <f t="shared" si="53"/>
        <v>-1560.6060606045</v>
      </c>
      <c r="AF86" s="188">
        <f t="shared" si="62"/>
        <v>-1560.6060606045</v>
      </c>
      <c r="AG86" s="188">
        <f t="shared" si="63"/>
        <v>-1560.6060606045</v>
      </c>
      <c r="AH86" s="188">
        <f t="shared" si="64"/>
        <v>1560.6060606045</v>
      </c>
      <c r="AI86" s="188">
        <f t="shared" si="65"/>
        <v>-1560.6060606045</v>
      </c>
      <c r="AJ86" s="188">
        <f t="shared" si="66"/>
        <v>-1560.6060606045</v>
      </c>
      <c r="AK86" s="188">
        <f t="shared" si="54"/>
        <v>-1560.6060606045</v>
      </c>
      <c r="AL86" s="188">
        <f t="shared" si="55"/>
        <v>-1560.6060606045</v>
      </c>
      <c r="AM86" s="188">
        <f t="shared" si="56"/>
        <v>-1560.6060606045</v>
      </c>
      <c r="AN86" s="188">
        <f t="shared" si="57"/>
        <v>-1560.6060606045</v>
      </c>
      <c r="AO86" s="188">
        <f t="shared" si="58"/>
        <v>1560.6060606045</v>
      </c>
      <c r="AP86" s="188">
        <f t="shared" si="59"/>
        <v>-1560.6060606045</v>
      </c>
    </row>
    <row r="87" spans="1:42" s="2" customFormat="1" ht="15.75" thickBot="1" x14ac:dyDescent="0.3">
      <c r="A87" s="1" t="s">
        <v>418</v>
      </c>
      <c r="B87" s="149" t="s">
        <v>767</v>
      </c>
      <c r="C87" s="192" t="s">
        <v>297</v>
      </c>
      <c r="D87"/>
      <c r="E87" s="201">
        <f>'0809'!H87</f>
        <v>1</v>
      </c>
      <c r="F87" s="186">
        <f t="shared" si="45"/>
        <v>960.82134292836997</v>
      </c>
      <c r="G87" s="202">
        <v>1.13908872902E-2</v>
      </c>
      <c r="H87" s="202">
        <v>1</v>
      </c>
      <c r="I87" s="227">
        <v>1</v>
      </c>
      <c r="J87" s="227">
        <v>-1</v>
      </c>
      <c r="K87" s="227">
        <v>1</v>
      </c>
      <c r="L87" s="202">
        <v>1</v>
      </c>
      <c r="M87" s="228">
        <v>5</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4">
        <v>84350</v>
      </c>
      <c r="Y87" s="354">
        <f>VLOOKUP(A87,'FuturesInfo (3)'!$A$2:$AI$80,35)*V87</f>
        <v>14000</v>
      </c>
      <c r="Z87" s="188">
        <f t="shared" si="51"/>
        <v>960.82134292836997</v>
      </c>
      <c r="AA87" s="188">
        <f>IF(IF(sym!$Q76=H87,1,0)=1,ABS(X87*G87),-ABS(X87*G87))</f>
        <v>960.82134292836997</v>
      </c>
      <c r="AB87" s="188">
        <f>IF(IF(sym!$P76=$H87,1,0)=1,ABS($X87*$G87),-ABS($X87*$G87))</f>
        <v>-960.82134292836997</v>
      </c>
      <c r="AC87" s="188">
        <f t="shared" si="67"/>
        <v>960.82134292836997</v>
      </c>
      <c r="AD87" s="188">
        <f t="shared" si="52"/>
        <v>-960.82134292836997</v>
      </c>
      <c r="AE87" s="188">
        <f t="shared" si="53"/>
        <v>-960.82134292836997</v>
      </c>
      <c r="AF87" s="188">
        <f t="shared" si="62"/>
        <v>960.82134292836997</v>
      </c>
      <c r="AG87" s="188">
        <f t="shared" si="63"/>
        <v>960.82134292836997</v>
      </c>
      <c r="AH87" s="188">
        <f t="shared" si="64"/>
        <v>960.82134292836997</v>
      </c>
      <c r="AI87" s="188">
        <f t="shared" si="65"/>
        <v>-960.82134292836997</v>
      </c>
      <c r="AJ87" s="188">
        <f t="shared" si="66"/>
        <v>960.82134292836997</v>
      </c>
      <c r="AK87" s="188">
        <f t="shared" si="54"/>
        <v>960.82134292836997</v>
      </c>
      <c r="AL87" s="188">
        <f t="shared" si="55"/>
        <v>-960.82134292836997</v>
      </c>
      <c r="AM87" s="188">
        <f t="shared" si="56"/>
        <v>-960.82134292836997</v>
      </c>
      <c r="AN87" s="188">
        <f t="shared" si="57"/>
        <v>-960.82134292836997</v>
      </c>
      <c r="AO87" s="188">
        <f t="shared" si="58"/>
        <v>-960.82134292836997</v>
      </c>
      <c r="AP87" s="188">
        <f t="shared" si="59"/>
        <v>-960.82134292836997</v>
      </c>
    </row>
    <row r="88" spans="1:42" s="2" customFormat="1" ht="15.75" thickBot="1" x14ac:dyDescent="0.3">
      <c r="A88" s="1" t="s">
        <v>1053</v>
      </c>
      <c r="B88" s="149" t="s">
        <v>738</v>
      </c>
      <c r="C88" s="192" t="s">
        <v>294</v>
      </c>
      <c r="D88"/>
      <c r="E88" s="201">
        <f>'0809'!H88</f>
        <v>1</v>
      </c>
      <c r="F88" s="186">
        <f t="shared" si="45"/>
        <v>-115.51790163919753</v>
      </c>
      <c r="G88" s="202">
        <v>-3.6429872495399998E-4</v>
      </c>
      <c r="H88" s="202">
        <v>-1</v>
      </c>
      <c r="I88" s="227">
        <v>-1</v>
      </c>
      <c r="J88" s="227">
        <v>1</v>
      </c>
      <c r="K88" s="227">
        <v>-1</v>
      </c>
      <c r="L88" s="202">
        <v>1</v>
      </c>
      <c r="M88" s="228">
        <v>6</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4">
        <v>317096.63999999996</v>
      </c>
      <c r="Y88" s="354">
        <f>VLOOKUP(A88,'FuturesInfo (3)'!$A$2:$AI$80,35)*V88</f>
        <v>19362.915000000001</v>
      </c>
      <c r="Z88" s="188">
        <f t="shared" si="51"/>
        <v>115.51790163919753</v>
      </c>
      <c r="AA88" s="188">
        <f>IF(IF(sym!$Q77=H88,1,0)=1,ABS(X88*G88),-ABS(X88*G88))</f>
        <v>-115.51790163919753</v>
      </c>
      <c r="AB88" s="188">
        <f>IF(IF(sym!$P77=$H88,1,0)=1,ABS($X88*$G88),-ABS($X88*$G88))</f>
        <v>115.51790163919753</v>
      </c>
      <c r="AC88" s="188">
        <f t="shared" si="67"/>
        <v>-115.51790163919753</v>
      </c>
      <c r="AD88" s="188">
        <f t="shared" si="52"/>
        <v>115.51790163919753</v>
      </c>
      <c r="AE88" s="188">
        <f t="shared" si="53"/>
        <v>-115.51790163919753</v>
      </c>
      <c r="AF88" s="188">
        <f t="shared" si="62"/>
        <v>115.51790163919753</v>
      </c>
      <c r="AG88" s="188">
        <f t="shared" si="63"/>
        <v>115.51790163919753</v>
      </c>
      <c r="AH88" s="188">
        <f t="shared" si="64"/>
        <v>-115.51790163919753</v>
      </c>
      <c r="AI88" s="188">
        <f t="shared" si="65"/>
        <v>115.51790163919753</v>
      </c>
      <c r="AJ88" s="188">
        <f t="shared" si="66"/>
        <v>-115.51790163919753</v>
      </c>
      <c r="AK88" s="188">
        <f t="shared" si="54"/>
        <v>115.51790163919753</v>
      </c>
      <c r="AL88" s="188">
        <f t="shared" si="55"/>
        <v>-115.51790163919753</v>
      </c>
      <c r="AM88" s="188">
        <f t="shared" si="56"/>
        <v>115.51790163919753</v>
      </c>
      <c r="AN88" s="188">
        <f t="shared" si="57"/>
        <v>115.51790163919753</v>
      </c>
      <c r="AO88" s="188">
        <f t="shared" si="58"/>
        <v>-115.51790163919753</v>
      </c>
      <c r="AP88" s="188">
        <f t="shared" si="59"/>
        <v>115.51790163919753</v>
      </c>
    </row>
    <row r="89" spans="1:42" s="2" customFormat="1" ht="15.75" thickBot="1" x14ac:dyDescent="0.3">
      <c r="A89" s="328" t="s">
        <v>1054</v>
      </c>
      <c r="B89" s="329" t="s">
        <v>463</v>
      </c>
      <c r="C89" s="330" t="s">
        <v>1285</v>
      </c>
      <c r="D89"/>
      <c r="E89" s="201">
        <f>'0809'!H89</f>
        <v>1</v>
      </c>
      <c r="F89" s="186">
        <f t="shared" si="45"/>
        <v>0</v>
      </c>
      <c r="G89" s="202">
        <v>1.0171905197799999E-4</v>
      </c>
      <c r="H89" s="202">
        <v>1</v>
      </c>
      <c r="I89" s="227">
        <v>-1</v>
      </c>
      <c r="J89" s="227">
        <v>-1</v>
      </c>
      <c r="K89" s="227">
        <v>-1</v>
      </c>
      <c r="L89" s="202">
        <v>-1</v>
      </c>
      <c r="M89" s="228">
        <v>-5</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4">
        <v>0</v>
      </c>
      <c r="Y89" s="354">
        <f>VLOOKUP(A89,'FuturesInfo (3)'!$A$2:$AI$80,35)*V89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'0809'!H90</f>
        <v>1</v>
      </c>
      <c r="F90" s="186">
        <f t="shared" si="45"/>
        <v>-279.7877179679669</v>
      </c>
      <c r="G90" s="202">
        <v>-7.5815011372199999E-4</v>
      </c>
      <c r="H90" s="202">
        <v>-1</v>
      </c>
      <c r="I90" s="227">
        <v>1</v>
      </c>
      <c r="J90" s="227">
        <v>-1</v>
      </c>
      <c r="K90" s="227">
        <v>1</v>
      </c>
      <c r="L90" s="202">
        <v>1</v>
      </c>
      <c r="M90" s="228">
        <v>14</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4">
        <v>369040</v>
      </c>
      <c r="Y90" s="354">
        <f>VLOOKUP(A90,'FuturesInfo (3)'!$A$2:$AI$80,35)*V90</f>
        <v>16248</v>
      </c>
      <c r="Z90" s="188">
        <f t="shared" si="51"/>
        <v>279.7877179679669</v>
      </c>
      <c r="AA90" s="188">
        <f>IF(IF(sym!$Q79=H90,1,0)=1,ABS(X90*G90),-ABS(X90*G90))</f>
        <v>-279.7877179679669</v>
      </c>
      <c r="AB90" s="188">
        <f>IF(IF(sym!$P79=$H90,1,0)=1,ABS($X90*$G90),-ABS($X90*$G90))</f>
        <v>279.7877179679669</v>
      </c>
      <c r="AC90" s="188">
        <f t="shared" si="67"/>
        <v>-279.7877179679669</v>
      </c>
      <c r="AD90" s="188">
        <f t="shared" si="52"/>
        <v>279.7877179679669</v>
      </c>
      <c r="AE90" s="188">
        <f t="shared" si="53"/>
        <v>279.7877179679669</v>
      </c>
      <c r="AF90" s="188">
        <f t="shared" si="62"/>
        <v>-279.7877179679669</v>
      </c>
      <c r="AG90" s="188">
        <f t="shared" si="63"/>
        <v>-279.7877179679669</v>
      </c>
      <c r="AH90" s="188">
        <f t="shared" si="64"/>
        <v>-279.7877179679669</v>
      </c>
      <c r="AI90" s="188">
        <f t="shared" si="65"/>
        <v>279.7877179679669</v>
      </c>
      <c r="AJ90" s="188">
        <f t="shared" si="66"/>
        <v>-279.7877179679669</v>
      </c>
      <c r="AK90" s="188">
        <f t="shared" si="54"/>
        <v>-279.7877179679669</v>
      </c>
      <c r="AL90" s="188">
        <f t="shared" si="55"/>
        <v>279.7877179679669</v>
      </c>
      <c r="AM90" s="188">
        <f t="shared" si="56"/>
        <v>279.7877179679669</v>
      </c>
      <c r="AN90" s="188">
        <f t="shared" si="57"/>
        <v>279.7877179679669</v>
      </c>
      <c r="AO90" s="188">
        <f t="shared" si="58"/>
        <v>279.7877179679669</v>
      </c>
      <c r="AP90" s="188">
        <f t="shared" si="59"/>
        <v>279.7877179679669</v>
      </c>
    </row>
    <row r="91" spans="1:42" s="4" customFormat="1" ht="15.75" thickBot="1" x14ac:dyDescent="0.3">
      <c r="A91" s="1" t="s">
        <v>1025</v>
      </c>
      <c r="B91" s="149" t="s">
        <v>459</v>
      </c>
      <c r="C91" s="192" t="s">
        <v>1122</v>
      </c>
      <c r="E91" s="201">
        <f>'0809'!H91</f>
        <v>1</v>
      </c>
      <c r="F91" s="186">
        <f t="shared" si="45"/>
        <v>1381.1168636119635</v>
      </c>
      <c r="G91" s="202">
        <v>4.0567951318500002E-4</v>
      </c>
      <c r="H91" s="202">
        <v>1</v>
      </c>
      <c r="I91" s="227">
        <v>1</v>
      </c>
      <c r="J91" s="227">
        <v>-1</v>
      </c>
      <c r="K91" s="227">
        <v>1</v>
      </c>
      <c r="L91" s="202">
        <v>1</v>
      </c>
      <c r="M91" s="228">
        <v>-5</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4">
        <v>3404453.0688</v>
      </c>
      <c r="Y91" s="354">
        <f>VLOOKUP(A91,'FuturesInfo (3)'!$A$2:$AI$80,35)*V91</f>
        <v>12240</v>
      </c>
      <c r="Z91" s="188">
        <f t="shared" si="51"/>
        <v>1381.1168636119635</v>
      </c>
      <c r="AA91" s="188">
        <f>IF(IF(sym!$Q80=H91,1,0)=1,ABS(X91*G91),-ABS(X91*G91))</f>
        <v>-1381.1168636119635</v>
      </c>
      <c r="AB91" s="188">
        <f>IF(IF(sym!$P80=$H91,1,0)=1,ABS($X91*$G91),-ABS($X91*$G91))</f>
        <v>1381.1168636119635</v>
      </c>
      <c r="AC91" s="188">
        <f t="shared" si="67"/>
        <v>1381.1168636119635</v>
      </c>
      <c r="AD91" s="188">
        <f t="shared" si="52"/>
        <v>-1381.1168636119635</v>
      </c>
      <c r="AE91" s="188">
        <f t="shared" si="53"/>
        <v>-1381.1168636119635</v>
      </c>
      <c r="AF91" s="188">
        <f t="shared" si="62"/>
        <v>1381.1168636119635</v>
      </c>
      <c r="AG91" s="188">
        <f t="shared" si="63"/>
        <v>1381.1168636119635</v>
      </c>
      <c r="AH91" s="188">
        <f t="shared" si="64"/>
        <v>1381.1168636119635</v>
      </c>
      <c r="AI91" s="188">
        <f t="shared" si="65"/>
        <v>-1381.1168636119635</v>
      </c>
      <c r="AJ91" s="188">
        <f t="shared" si="66"/>
        <v>-1381.1168636119635</v>
      </c>
      <c r="AK91" s="188">
        <f t="shared" si="54"/>
        <v>1381.1168636119635</v>
      </c>
      <c r="AL91" s="188">
        <f t="shared" si="55"/>
        <v>-1381.1168636119635</v>
      </c>
      <c r="AM91" s="188">
        <f t="shared" si="56"/>
        <v>-1381.1168636119635</v>
      </c>
      <c r="AN91" s="188">
        <f t="shared" si="57"/>
        <v>-1381.1168636119635</v>
      </c>
      <c r="AO91" s="188">
        <f t="shared" si="58"/>
        <v>1381.1168636119635</v>
      </c>
      <c r="AP91" s="188">
        <f t="shared" si="59"/>
        <v>-1381.1168636119635</v>
      </c>
    </row>
    <row r="92" spans="1:42" s="4" customFormat="1" ht="15.75" thickBot="1" x14ac:dyDescent="0.3">
      <c r="A92" s="1" t="s">
        <v>1026</v>
      </c>
      <c r="B92" s="149" t="s">
        <v>447</v>
      </c>
      <c r="C92" s="192" t="s">
        <v>1122</v>
      </c>
      <c r="E92" s="201">
        <f>'0809'!H92</f>
        <v>1</v>
      </c>
      <c r="F92" s="186">
        <f t="shared" si="45"/>
        <v>2312.9679636907231</v>
      </c>
      <c r="G92" s="203">
        <v>7.6495486766300002E-4</v>
      </c>
      <c r="H92" s="203">
        <v>1</v>
      </c>
      <c r="I92" s="231">
        <v>-1</v>
      </c>
      <c r="J92" s="231">
        <v>-1</v>
      </c>
      <c r="K92" s="231">
        <v>-1</v>
      </c>
      <c r="L92" s="203">
        <v>1</v>
      </c>
      <c r="M92" s="232">
        <v>-5</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4">
        <v>3023665.92</v>
      </c>
      <c r="Y92" s="354">
        <f>VLOOKUP(A92,'FuturesInfo (3)'!$A$2:$AI$80,35)*V92</f>
        <v>12431.25</v>
      </c>
      <c r="Z92" s="188">
        <f t="shared" si="51"/>
        <v>2312.9679636907231</v>
      </c>
      <c r="AA92" s="188">
        <f>IF(IF(sym!$Q81=H92,1,0)=1,ABS(X92*G92),-ABS(X92*G92))</f>
        <v>-2312.9679636907231</v>
      </c>
      <c r="AB92" s="188">
        <f>IF(IF(sym!$P81=$H92,1,0)=1,ABS($X92*$G92),-ABS($X92*$G92))</f>
        <v>2312.9679636907231</v>
      </c>
      <c r="AC92" s="188">
        <f t="shared" si="67"/>
        <v>2312.9679636907231</v>
      </c>
      <c r="AD92" s="188">
        <f t="shared" si="52"/>
        <v>-2312.9679636907231</v>
      </c>
      <c r="AE92" s="188">
        <f t="shared" si="53"/>
        <v>-2312.9679636907231</v>
      </c>
      <c r="AF92" s="188">
        <f t="shared" si="62"/>
        <v>-2312.9679636907231</v>
      </c>
      <c r="AG92" s="188">
        <f t="shared" si="63"/>
        <v>-2312.9679636907231</v>
      </c>
      <c r="AH92" s="188">
        <f t="shared" si="64"/>
        <v>2312.9679636907231</v>
      </c>
      <c r="AI92" s="188">
        <f t="shared" si="65"/>
        <v>-2312.9679636907231</v>
      </c>
      <c r="AJ92" s="188">
        <f t="shared" si="66"/>
        <v>-2312.9679636907231</v>
      </c>
      <c r="AK92" s="188">
        <f t="shared" si="54"/>
        <v>-2312.9679636907231</v>
      </c>
      <c r="AL92" s="188">
        <f t="shared" si="55"/>
        <v>-2312.9679636907231</v>
      </c>
      <c r="AM92" s="188">
        <f t="shared" si="56"/>
        <v>-2312.9679636907231</v>
      </c>
      <c r="AN92" s="188">
        <f t="shared" si="57"/>
        <v>-2312.9679636907231</v>
      </c>
      <c r="AO92" s="188">
        <f t="shared" si="58"/>
        <v>2312.9679636907231</v>
      </c>
      <c r="AP92" s="188">
        <f t="shared" si="59"/>
        <v>-2312.9679636907231</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0.30985915492957744</v>
      </c>
      <c r="AB94" s="193">
        <f t="shared" si="68"/>
        <v>0.6901408450704225</v>
      </c>
      <c r="AC94" s="193">
        <f t="shared" ref="AC94" si="69">COUNTIF(AC14:AC92,"&gt;0")/$B$10</f>
        <v>0.60563380281690138</v>
      </c>
      <c r="AD94" s="193">
        <f t="shared" si="68"/>
        <v>0.39436619718309857</v>
      </c>
      <c r="AE94" s="193">
        <f t="shared" si="68"/>
        <v>0.56338028169014087</v>
      </c>
      <c r="AF94" s="193">
        <f t="shared" si="68"/>
        <v>0.45070422535211269</v>
      </c>
      <c r="AG94" s="193">
        <f t="shared" si="68"/>
        <v>0.43661971830985913</v>
      </c>
      <c r="AH94" s="193">
        <f t="shared" si="68"/>
        <v>0.56338028169014087</v>
      </c>
      <c r="AI94" s="193">
        <f t="shared" ref="AI94" si="70">COUNTIF(AI14:AI92,"&gt;0")/$B$10</f>
        <v>0.43661971830985913</v>
      </c>
      <c r="AJ94" s="193">
        <f t="shared" si="68"/>
        <v>0.46478873239436619</v>
      </c>
      <c r="AK94" s="193">
        <f t="shared" si="68"/>
        <v>0.52112676056338025</v>
      </c>
      <c r="AL94" s="193">
        <f t="shared" si="68"/>
        <v>0.46478873239436619</v>
      </c>
      <c r="AM94" s="193">
        <f t="shared" si="68"/>
        <v>0.36619718309859156</v>
      </c>
      <c r="AN94" s="193">
        <f t="shared" si="68"/>
        <v>0.40845070422535212</v>
      </c>
      <c r="AO94" s="193">
        <f t="shared" si="68"/>
        <v>0.59154929577464788</v>
      </c>
      <c r="AP94" s="193">
        <f t="shared" si="68"/>
        <v>0.45070422535211269</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1294</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1" t="str">
        <f t="shared" ref="Z1:AO1" si="2">Z12</f>
        <v>MAX ACC 97% PNL 70096</v>
      </c>
      <c r="AA1" s="332" t="str">
        <f t="shared" si="2"/>
        <v>RISK-ON ACC 51% PNL 1482</v>
      </c>
      <c r="AB1" s="332" t="str">
        <f t="shared" si="2"/>
        <v>RISK-OFF ACC 46% PNL -1482</v>
      </c>
      <c r="AC1" s="332" t="str">
        <f t="shared" ref="AC1" si="3">AC12</f>
        <v>Previous ACC 45% PNL 17572</v>
      </c>
      <c r="AD1" s="295" t="str">
        <f t="shared" si="2"/>
        <v>Anti-Previous ACC 52% PNL -17572</v>
      </c>
      <c r="AE1" s="333" t="str">
        <f t="shared" si="2"/>
        <v>&gt;equity ACC 48% PNL -3885</v>
      </c>
      <c r="AF1" s="333" t="str">
        <f t="shared" si="2"/>
        <v>50/50 ACC 55% PNL 2964</v>
      </c>
      <c r="AG1" s="333" t="str">
        <f t="shared" si="2"/>
        <v>&lt;equity ACC 56% PNL 12052</v>
      </c>
      <c r="AH1" s="334" t="str">
        <f t="shared" si="2"/>
        <v>SEASONALITY ACC 55% PNL 4561</v>
      </c>
      <c r="AI1" s="334" t="str">
        <f t="shared" si="2"/>
        <v>ANTI-SEASONALITY ACC 42% PNL -4561</v>
      </c>
      <c r="AJ1" s="334" t="str">
        <f t="shared" si="2"/>
        <v>ADJ_SEASONALITY ACC 46% PNL 3311</v>
      </c>
      <c r="AK1" s="335" t="str">
        <f t="shared" si="2"/>
        <v>V1 ACC 46% PNL 10650</v>
      </c>
      <c r="AL1" s="335" t="str">
        <f t="shared" si="2"/>
        <v>V2 ACC 51% PNL -11325</v>
      </c>
      <c r="AM1" s="335" t="str">
        <f t="shared" si="2"/>
        <v>V3 ACC 51% PNL -11464</v>
      </c>
      <c r="AN1" s="335" t="str">
        <f t="shared" si="2"/>
        <v>V4 ACC 49% PNL -4105</v>
      </c>
      <c r="AO1" s="335" t="str">
        <f t="shared" si="2"/>
        <v>V5 ACC 45% PNL 415</v>
      </c>
      <c r="AP1" s="335" t="str">
        <f t="shared" ref="AP1" si="4">AP12</f>
        <v>V6 ACC 46% PNL -13682</v>
      </c>
    </row>
    <row r="2" spans="1:42" outlineLevel="1" x14ac:dyDescent="0.25">
      <c r="A2" t="s">
        <v>1121</v>
      </c>
      <c r="B2" s="95">
        <f>COUNTIF($C$14:$C$92,A2)</f>
        <v>9</v>
      </c>
      <c r="C2" s="193">
        <f>B2/$B$10</f>
        <v>0.12676056338028169</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2">
        <f t="shared" ref="K2:K9" si="9">SUMIF($C$14:$C$92,$A2,E$14:E$92)/$B2</f>
        <v>-0.33333333333333331</v>
      </c>
      <c r="L2" s="342">
        <f t="shared" ref="L2:O9" si="10">SUMIF($C$14:$C$92,$A2,I$14:I$92)/$B2</f>
        <v>0.1111111111111111</v>
      </c>
      <c r="M2" s="342">
        <f t="shared" si="10"/>
        <v>0.33333333333333331</v>
      </c>
      <c r="N2" s="342">
        <f t="shared" si="10"/>
        <v>0.1111111111111111</v>
      </c>
      <c r="O2" s="342">
        <f t="shared" si="10"/>
        <v>-0.1111111111111111</v>
      </c>
      <c r="P2" s="342">
        <f t="shared" ref="P2:T9" si="11">SUMIF($C$14:$C$92,$A2,O$14:O$92)/$B2</f>
        <v>-0.33333333333333331</v>
      </c>
      <c r="Q2" s="342">
        <f t="shared" si="11"/>
        <v>0.1111111111111111</v>
      </c>
      <c r="R2" s="342">
        <f t="shared" si="11"/>
        <v>0.33333333333333331</v>
      </c>
      <c r="S2" s="342">
        <f t="shared" si="11"/>
        <v>0.1111111111111111</v>
      </c>
      <c r="T2" s="342">
        <f t="shared" si="11"/>
        <v>-0.1111111111111111</v>
      </c>
      <c r="U2" s="342">
        <f t="shared" ref="U2:V2" si="12">SUMIF($C$14:$C$92,$A2,T$14:T$92)/$B2</f>
        <v>0.1111111111111111</v>
      </c>
      <c r="V2" s="342">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8.4507042253521125E-2</v>
      </c>
      <c r="F3" s="294">
        <f t="shared" si="5"/>
        <v>0.16666666666666666</v>
      </c>
      <c r="G3" s="137">
        <f t="shared" si="6"/>
        <v>7916.2668480169568</v>
      </c>
      <c r="H3" s="143">
        <f t="shared" si="7"/>
        <v>1319.3778080028262</v>
      </c>
      <c r="I3" s="186">
        <f t="shared" ref="I3:I9" si="16">SUMIF($C$14:$C$92,A3,F$14:F$92)/B3</f>
        <v>-1151.6427652676896</v>
      </c>
      <c r="J3" t="str">
        <f t="shared" si="8"/>
        <v>energy</v>
      </c>
      <c r="K3" s="342">
        <f t="shared" si="9"/>
        <v>0.33333333333333331</v>
      </c>
      <c r="L3" s="342">
        <f t="shared" si="10"/>
        <v>-0.33333333333333331</v>
      </c>
      <c r="M3" s="342">
        <f t="shared" si="10"/>
        <v>0</v>
      </c>
      <c r="N3" s="342">
        <f t="shared" si="10"/>
        <v>-0.33333333333333331</v>
      </c>
      <c r="O3" s="342">
        <f t="shared" si="10"/>
        <v>-0.66666666666666663</v>
      </c>
      <c r="P3" s="342">
        <f t="shared" si="11"/>
        <v>0.33333333333333331</v>
      </c>
      <c r="Q3" s="342">
        <f t="shared" si="11"/>
        <v>0.33333333333333331</v>
      </c>
      <c r="R3" s="342">
        <f t="shared" si="11"/>
        <v>0</v>
      </c>
      <c r="S3" s="342">
        <f t="shared" si="11"/>
        <v>0</v>
      </c>
      <c r="T3" s="342">
        <f t="shared" si="11"/>
        <v>0.33333333333333331</v>
      </c>
      <c r="U3" s="342">
        <f t="shared" ref="U3:V3" si="17">SUMIF($C$14:$C$92,$A3,T$14:T$92)/$B3</f>
        <v>0.33333333333333331</v>
      </c>
      <c r="V3" s="342">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0.14084507042253522</v>
      </c>
      <c r="F4" s="294">
        <f t="shared" si="5"/>
        <v>0.7</v>
      </c>
      <c r="G4" s="137">
        <f t="shared" si="6"/>
        <v>4576.3529361555093</v>
      </c>
      <c r="H4" s="143">
        <f t="shared" si="7"/>
        <v>457.63529361555095</v>
      </c>
      <c r="I4" s="186">
        <f t="shared" si="16"/>
        <v>149.63950554132091</v>
      </c>
      <c r="J4" t="str">
        <f t="shared" si="8"/>
        <v>grain</v>
      </c>
      <c r="K4" s="342">
        <f t="shared" si="9"/>
        <v>0.8</v>
      </c>
      <c r="L4" s="342">
        <f t="shared" si="10"/>
        <v>0.6</v>
      </c>
      <c r="M4" s="342">
        <f t="shared" si="10"/>
        <v>0</v>
      </c>
      <c r="N4" s="342">
        <f t="shared" si="10"/>
        <v>0.4</v>
      </c>
      <c r="O4" s="342">
        <f t="shared" si="10"/>
        <v>0.8</v>
      </c>
      <c r="P4" s="342">
        <f t="shared" si="11"/>
        <v>-0.2</v>
      </c>
      <c r="Q4" s="342">
        <f t="shared" si="11"/>
        <v>0.4</v>
      </c>
      <c r="R4" s="342">
        <f t="shared" si="11"/>
        <v>-0.6</v>
      </c>
      <c r="S4" s="342">
        <f t="shared" si="11"/>
        <v>-0.6</v>
      </c>
      <c r="T4" s="342">
        <f t="shared" si="11"/>
        <v>-0.6</v>
      </c>
      <c r="U4" s="342">
        <f t="shared" ref="U4:V4" si="18">SUMIF($C$14:$C$92,$A4,T$14:T$92)/$B4</f>
        <v>0.6</v>
      </c>
      <c r="V4" s="342">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0.29577464788732394</v>
      </c>
      <c r="F5" s="294">
        <f t="shared" si="5"/>
        <v>0.80952380952380953</v>
      </c>
      <c r="G5" s="137">
        <f t="shared" si="6"/>
        <v>23760.901710733338</v>
      </c>
      <c r="H5" s="143">
        <f t="shared" si="7"/>
        <v>1131.4715100349208</v>
      </c>
      <c r="I5" s="186">
        <f t="shared" si="16"/>
        <v>1017.536782955298</v>
      </c>
      <c r="J5" t="str">
        <f t="shared" si="8"/>
        <v>index</v>
      </c>
      <c r="K5" s="342">
        <f t="shared" si="9"/>
        <v>0.52380952380952384</v>
      </c>
      <c r="L5" s="342">
        <f t="shared" si="10"/>
        <v>4.7619047619047616E-2</v>
      </c>
      <c r="M5" s="342">
        <f t="shared" si="10"/>
        <v>-0.42857142857142855</v>
      </c>
      <c r="N5" s="342">
        <f t="shared" si="10"/>
        <v>0.52380952380952384</v>
      </c>
      <c r="O5" s="342">
        <f t="shared" si="10"/>
        <v>-4.7619047619047616E-2</v>
      </c>
      <c r="P5" s="342">
        <f t="shared" si="11"/>
        <v>-4.7619047619047616E-2</v>
      </c>
      <c r="Q5" s="342">
        <f t="shared" si="11"/>
        <v>0.42857142857142855</v>
      </c>
      <c r="R5" s="342">
        <f t="shared" si="11"/>
        <v>-0.52380952380952384</v>
      </c>
      <c r="S5" s="342">
        <f t="shared" si="11"/>
        <v>-0.23809523809523808</v>
      </c>
      <c r="T5" s="342">
        <f t="shared" si="11"/>
        <v>-0.23809523809523808</v>
      </c>
      <c r="U5" s="342">
        <f t="shared" ref="U5:V5" si="19">SUMIF($C$14:$C$92,$A5,T$14:T$92)/$B5</f>
        <v>4.7619047619047616E-2</v>
      </c>
      <c r="V5" s="342">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4.2253521126760563E-2</v>
      </c>
      <c r="F6" s="294">
        <f t="shared" si="5"/>
        <v>0.66666666666666663</v>
      </c>
      <c r="G6" s="137">
        <f t="shared" si="6"/>
        <v>3118.290576736912</v>
      </c>
      <c r="H6" s="143">
        <f t="shared" si="7"/>
        <v>1039.4301922456373</v>
      </c>
      <c r="I6" s="186">
        <f t="shared" si="16"/>
        <v>353.75474619750941</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-1</v>
      </c>
      <c r="Q6" s="342">
        <f t="shared" si="11"/>
        <v>1</v>
      </c>
      <c r="R6" s="342">
        <f t="shared" si="11"/>
        <v>-1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7.0422535211267609E-2</v>
      </c>
      <c r="F7" s="294">
        <f t="shared" si="5"/>
        <v>0.8</v>
      </c>
      <c r="G7" s="137">
        <f t="shared" si="6"/>
        <v>3089.1354817534379</v>
      </c>
      <c r="H7" s="143">
        <f t="shared" si="7"/>
        <v>617.82709635068761</v>
      </c>
      <c r="I7" s="186">
        <f t="shared" si="16"/>
        <v>170.94487926079273</v>
      </c>
      <c r="J7" t="str">
        <f t="shared" si="8"/>
        <v>metal</v>
      </c>
      <c r="K7" s="342">
        <f t="shared" si="9"/>
        <v>-0.2</v>
      </c>
      <c r="L7" s="342">
        <f t="shared" si="10"/>
        <v>0.2</v>
      </c>
      <c r="M7" s="342">
        <f t="shared" si="10"/>
        <v>0.2</v>
      </c>
      <c r="N7" s="342">
        <f t="shared" si="10"/>
        <v>-0.2</v>
      </c>
      <c r="O7" s="342">
        <f t="shared" si="10"/>
        <v>-0.6</v>
      </c>
      <c r="P7" s="342">
        <f t="shared" si="11"/>
        <v>-0.2</v>
      </c>
      <c r="Q7" s="342">
        <f t="shared" si="11"/>
        <v>-0.2</v>
      </c>
      <c r="R7" s="342">
        <f t="shared" si="11"/>
        <v>-0.2</v>
      </c>
      <c r="S7" s="342">
        <f t="shared" si="11"/>
        <v>0.6</v>
      </c>
      <c r="T7" s="342">
        <f t="shared" si="11"/>
        <v>0.2</v>
      </c>
      <c r="U7" s="342">
        <f t="shared" ref="U7:V7" si="21">SUMIF($C$14:$C$92,$A7,T$14:T$92)/$B7</f>
        <v>0.2</v>
      </c>
      <c r="V7" s="342">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0.14084507042253522</v>
      </c>
      <c r="F8" s="294">
        <f t="shared" si="5"/>
        <v>1</v>
      </c>
      <c r="G8" s="137">
        <f t="shared" si="6"/>
        <v>11296.257468784039</v>
      </c>
      <c r="H8" s="143">
        <f t="shared" si="7"/>
        <v>1129.6257468784038</v>
      </c>
      <c r="I8" s="186">
        <f t="shared" si="16"/>
        <v>1129.6257468784038</v>
      </c>
      <c r="J8" t="str">
        <f t="shared" si="8"/>
        <v>rates</v>
      </c>
      <c r="K8" s="342">
        <f t="shared" si="9"/>
        <v>0</v>
      </c>
      <c r="L8" s="342">
        <f t="shared" si="10"/>
        <v>-0.2</v>
      </c>
      <c r="M8" s="342">
        <f t="shared" si="10"/>
        <v>0.4</v>
      </c>
      <c r="N8" s="342">
        <f t="shared" si="10"/>
        <v>-0.2</v>
      </c>
      <c r="O8" s="342">
        <f t="shared" si="10"/>
        <v>1</v>
      </c>
      <c r="P8" s="342">
        <f t="shared" si="11"/>
        <v>-0.4</v>
      </c>
      <c r="Q8" s="342">
        <f t="shared" si="11"/>
        <v>-0.6</v>
      </c>
      <c r="R8" s="342">
        <f t="shared" si="11"/>
        <v>-0.2</v>
      </c>
      <c r="S8" s="342">
        <f t="shared" si="11"/>
        <v>-0.6</v>
      </c>
      <c r="T8" s="342">
        <f t="shared" si="11"/>
        <v>-0.6</v>
      </c>
      <c r="U8" s="342">
        <f t="shared" ref="U8:V8" si="22">SUMIF($C$14:$C$92,$A8,T$14:T$92)/$B8</f>
        <v>0.4</v>
      </c>
      <c r="V8" s="342">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7</v>
      </c>
      <c r="C9" s="200">
        <f t="shared" si="15"/>
        <v>9.8591549295774641E-2</v>
      </c>
      <c r="D9" s="126"/>
      <c r="F9" s="294">
        <f t="shared" si="5"/>
        <v>0.2857142857142857</v>
      </c>
      <c r="G9" s="199">
        <f t="shared" si="6"/>
        <v>9110.0137295260265</v>
      </c>
      <c r="H9" s="143">
        <f t="shared" si="7"/>
        <v>1301.4305327894324</v>
      </c>
      <c r="I9" s="186">
        <f t="shared" si="16"/>
        <v>-733.0461406585224</v>
      </c>
      <c r="J9" t="str">
        <f t="shared" si="8"/>
        <v>soft</v>
      </c>
      <c r="K9" s="342">
        <f t="shared" si="9"/>
        <v>0.14285714285714285</v>
      </c>
      <c r="L9" s="342">
        <f t="shared" si="10"/>
        <v>0.14285714285714285</v>
      </c>
      <c r="M9" s="342">
        <f t="shared" si="10"/>
        <v>-0.42857142857142855</v>
      </c>
      <c r="N9" s="342">
        <f t="shared" si="10"/>
        <v>0.42857142857142855</v>
      </c>
      <c r="O9" s="342">
        <f t="shared" si="10"/>
        <v>0.14285714285714285</v>
      </c>
      <c r="P9" s="342">
        <f t="shared" si="11"/>
        <v>0.42857142857142855</v>
      </c>
      <c r="Q9" s="342">
        <f t="shared" si="11"/>
        <v>0.14285714285714285</v>
      </c>
      <c r="R9" s="342">
        <f t="shared" si="11"/>
        <v>-0.42857142857142855</v>
      </c>
      <c r="S9" s="342">
        <f t="shared" si="11"/>
        <v>-0.14285714285714285</v>
      </c>
      <c r="T9" s="342">
        <f t="shared" si="11"/>
        <v>-0.14285714285714285</v>
      </c>
      <c r="U9" s="342">
        <f t="shared" ref="U9:V9" si="23">SUMIF($C$14:$C$92,$A9,T$14:T$92)/$B9</f>
        <v>-0.7142857142857143</v>
      </c>
      <c r="V9" s="342">
        <f t="shared" si="23"/>
        <v>-0.7142857142857143</v>
      </c>
      <c r="W9" s="286"/>
      <c r="X9" s="6"/>
      <c r="Y9" s="17" t="s">
        <v>304</v>
      </c>
      <c r="Z9" s="283">
        <f t="shared" si="13"/>
        <v>9110.0137295260265</v>
      </c>
      <c r="AA9" s="283">
        <f t="shared" si="13"/>
        <v>-5131.3229846096565</v>
      </c>
      <c r="AB9" s="283">
        <f t="shared" si="13"/>
        <v>5131.3229846096565</v>
      </c>
      <c r="AC9" s="283">
        <f t="shared" si="13"/>
        <v>-465.0433153301135</v>
      </c>
      <c r="AD9" s="283">
        <f t="shared" si="13"/>
        <v>465.0433153301135</v>
      </c>
      <c r="AE9" s="283">
        <f t="shared" si="13"/>
        <v>8153.1698939086291</v>
      </c>
      <c r="AF9" s="283">
        <f t="shared" si="13"/>
        <v>-7639.9142900042407</v>
      </c>
      <c r="AG9" s="283">
        <f t="shared" si="13"/>
        <v>-7639.9142900042407</v>
      </c>
      <c r="AH9" s="283">
        <f t="shared" si="13"/>
        <v>-491.80052028728119</v>
      </c>
      <c r="AI9" s="283">
        <f t="shared" si="13"/>
        <v>491.80052028728119</v>
      </c>
      <c r="AJ9" s="283">
        <f t="shared" si="13"/>
        <v>3513.6474295862545</v>
      </c>
      <c r="AK9" s="283">
        <f t="shared" si="13"/>
        <v>-465.0433153301135</v>
      </c>
      <c r="AL9" s="283">
        <f t="shared" si="13"/>
        <v>8153.1698939086291</v>
      </c>
      <c r="AM9" s="283">
        <f t="shared" si="13"/>
        <v>-6683.070454386846</v>
      </c>
      <c r="AN9" s="283">
        <f t="shared" si="13"/>
        <v>1005.0561241916696</v>
      </c>
      <c r="AO9" s="283">
        <f t="shared" si="13"/>
        <v>3661.2235450878725</v>
      </c>
      <c r="AP9" s="283">
        <f t="shared" si="13"/>
        <v>9110.0137295260265</v>
      </c>
    </row>
    <row r="10" spans="1:42" outlineLevel="1" x14ac:dyDescent="0.25">
      <c r="B10">
        <f>SUM(B2:B9)</f>
        <v>71</v>
      </c>
      <c r="C10" s="193">
        <f t="shared" si="15"/>
        <v>1</v>
      </c>
      <c r="D10" s="126"/>
      <c r="F10" s="294">
        <f>SUMIFS(H$14:H$92,H$14:H$92,1,$C$14:$C$92,"&lt;&gt;offline")/$B10</f>
        <v>0.70422535211267601</v>
      </c>
      <c r="G10" s="167">
        <f>SUM(G2:G9)</f>
        <v>70096.154280570234</v>
      </c>
      <c r="H10" s="143">
        <f t="shared" si="7"/>
        <v>987.26977859958072</v>
      </c>
      <c r="I10" s="186">
        <f>SUM(F14:F92)/B10</f>
        <v>444.87089294820976</v>
      </c>
      <c r="J10" s="137"/>
      <c r="K10" s="6"/>
      <c r="L10" s="292"/>
      <c r="M10" s="286"/>
      <c r="N10" s="292"/>
      <c r="O10" s="6"/>
      <c r="R10" s="6"/>
      <c r="S10" s="286"/>
      <c r="T10" s="286"/>
      <c r="U10" s="286"/>
      <c r="V10" s="6"/>
      <c r="W10" s="286"/>
      <c r="X10" s="6"/>
      <c r="Y10" s="6" t="s">
        <v>1245</v>
      </c>
      <c r="Z10" s="284">
        <f>SUM(Z2:Z9)</f>
        <v>70096.154280570234</v>
      </c>
      <c r="AA10" s="284">
        <f t="shared" ref="AA10:AO10" si="24">SUM(AA2:AA9)</f>
        <v>1481.9396005286235</v>
      </c>
      <c r="AB10" s="284">
        <f t="shared" si="24"/>
        <v>-1481.9396005286235</v>
      </c>
      <c r="AC10" s="284">
        <f t="shared" si="24"/>
        <v>17572.272643163964</v>
      </c>
      <c r="AD10" s="284">
        <f t="shared" si="24"/>
        <v>-17572.272643163964</v>
      </c>
      <c r="AE10" s="284">
        <f t="shared" si="24"/>
        <v>-3885.4911399845805</v>
      </c>
      <c r="AF10" s="284">
        <f t="shared" si="24"/>
        <v>2963.9080582440129</v>
      </c>
      <c r="AG10" s="284">
        <f t="shared" si="24"/>
        <v>12051.854471187535</v>
      </c>
      <c r="AH10" s="284">
        <f t="shared" si="24"/>
        <v>4560.9242108071676</v>
      </c>
      <c r="AI10" s="284">
        <f t="shared" ref="AI10" si="25">SUM(AI2:AI9)</f>
        <v>-4560.9242108071676</v>
      </c>
      <c r="AJ10" s="284">
        <f t="shared" si="24"/>
        <v>3310.90509013869</v>
      </c>
      <c r="AK10" s="284">
        <f t="shared" si="24"/>
        <v>10649.793680097862</v>
      </c>
      <c r="AL10" s="284">
        <f t="shared" si="24"/>
        <v>-11324.988926095075</v>
      </c>
      <c r="AM10" s="284">
        <f t="shared" si="24"/>
        <v>-11463.915470804692</v>
      </c>
      <c r="AN10" s="284">
        <f t="shared" si="24"/>
        <v>-4105.2268822340666</v>
      </c>
      <c r="AO10" s="284">
        <f t="shared" si="24"/>
        <v>414.54714417368132</v>
      </c>
      <c r="AP10" s="284">
        <f t="shared" ref="AP10" si="26">SUM(AP2:AP9)</f>
        <v>-13681.722289035928</v>
      </c>
    </row>
    <row r="11" spans="1:42" outlineLevel="1" x14ac:dyDescent="0.25">
      <c r="H11" t="s">
        <v>1158</v>
      </c>
      <c r="I11" s="95">
        <v>0.75</v>
      </c>
      <c r="J11">
        <v>0.5</v>
      </c>
      <c r="K11">
        <v>1</v>
      </c>
      <c r="X11" s="112" t="s">
        <v>1281</v>
      </c>
      <c r="Y11" s="352">
        <v>2509.7678798792708</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s="112" t="s">
        <v>1152</v>
      </c>
      <c r="Y12" s="112" t="s">
        <v>1313</v>
      </c>
      <c r="Z12" s="336" t="str">
        <f t="shared" ref="Z12:AO12" si="27">Z93&amp;" ACC "&amp;ROUND(Z94,2)*100&amp;"% PNL "&amp;ROUND(Z10,0)</f>
        <v>MAX ACC 97% PNL 70096</v>
      </c>
      <c r="AA12" s="308" t="str">
        <f t="shared" si="27"/>
        <v>RISK-ON ACC 51% PNL 1482</v>
      </c>
      <c r="AB12" s="308" t="str">
        <f t="shared" si="27"/>
        <v>RISK-OFF ACC 46% PNL -1482</v>
      </c>
      <c r="AC12" s="308" t="str">
        <f t="shared" si="27"/>
        <v>Previous ACC 45% PNL 17572</v>
      </c>
      <c r="AD12" s="337" t="str">
        <f t="shared" si="27"/>
        <v>Anti-Previous ACC 52% PNL -17572</v>
      </c>
      <c r="AE12" s="338" t="str">
        <f t="shared" si="27"/>
        <v>&gt;equity ACC 48% PNL -3885</v>
      </c>
      <c r="AF12" s="338" t="str">
        <f t="shared" si="27"/>
        <v>50/50 ACC 55% PNL 2964</v>
      </c>
      <c r="AG12" s="338" t="str">
        <f t="shared" si="27"/>
        <v>&lt;equity ACC 56% PNL 12052</v>
      </c>
      <c r="AH12" s="339" t="str">
        <f t="shared" si="27"/>
        <v>SEASONALITY ACC 55% PNL 4561</v>
      </c>
      <c r="AI12" s="339" t="str">
        <f t="shared" si="27"/>
        <v>ANTI-SEASONALITY ACC 42% PNL -4561</v>
      </c>
      <c r="AJ12" s="339" t="str">
        <f t="shared" si="27"/>
        <v>ADJ_SEASONALITY ACC 46% PNL 3311</v>
      </c>
      <c r="AK12" s="340" t="str">
        <f t="shared" si="27"/>
        <v>V1 ACC 46% PNL 10650</v>
      </c>
      <c r="AL12" s="340" t="str">
        <f t="shared" si="27"/>
        <v>V2 ACC 51% PNL -11325</v>
      </c>
      <c r="AM12" s="340" t="str">
        <f t="shared" si="27"/>
        <v>V3 ACC 51% PNL -11464</v>
      </c>
      <c r="AN12" s="340" t="str">
        <f t="shared" si="27"/>
        <v>V4 ACC 49% PNL -4105</v>
      </c>
      <c r="AO12" s="340" t="str">
        <f t="shared" si="27"/>
        <v>V5 ACC 45% PNL 415</v>
      </c>
      <c r="AP12" s="340" t="str">
        <f t="shared" ref="AP12" si="28">AP93&amp;" ACC "&amp;ROUND(AP94,2)*100&amp;"% PNL "&amp;ROUND(AP10,0)</f>
        <v>V6 ACC 46% PNL -13682</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3">
        <v>24436540.839473609</v>
      </c>
      <c r="Y13" s="353">
        <v>858300.99064841692</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28" t="s">
        <v>287</v>
      </c>
      <c r="B14" s="329" t="s">
        <v>558</v>
      </c>
      <c r="C14" s="330" t="s">
        <v>1285</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4">
        <v>0</v>
      </c>
      <c r="Y14" s="354">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4">
        <v>229740</v>
      </c>
      <c r="Y15" s="354">
        <v>7968</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4">
        <v>201025.88999999998</v>
      </c>
      <c r="Y16" s="354">
        <v>21726.143999999997</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4">
        <v>94950</v>
      </c>
      <c r="Y17" s="354">
        <v>4685</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4">
        <v>243918.75</v>
      </c>
      <c r="Y18" s="354">
        <v>8889</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354">
        <v>83125</v>
      </c>
      <c r="Y19" s="354">
        <v>13500</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354">
        <v>118120</v>
      </c>
      <c r="Y20" s="354">
        <v>9000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4">
        <v>304560</v>
      </c>
      <c r="Y21" s="354">
        <v>10428</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28" t="s">
        <v>307</v>
      </c>
      <c r="B22" s="329" t="s">
        <v>484</v>
      </c>
      <c r="C22" s="330" t="s">
        <v>1285</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4">
        <v>0</v>
      </c>
      <c r="Y22" s="354">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4">
        <v>85540</v>
      </c>
      <c r="Y23" s="354">
        <v>9180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4">
        <v>109575</v>
      </c>
      <c r="Y24" s="354">
        <v>4503</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4">
        <v>417206.25</v>
      </c>
      <c r="Y25" s="354">
        <v>21792</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4">
        <v>384528</v>
      </c>
      <c r="Y26" s="354">
        <v>14804</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4">
        <v>558328.67999999993</v>
      </c>
      <c r="Y27" s="354">
        <v>12992.099999999999</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4">
        <v>1336867.7399999998</v>
      </c>
      <c r="Y28" s="354">
        <v>13327.38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28" t="s">
        <v>320</v>
      </c>
      <c r="B29" s="329" t="s">
        <v>564</v>
      </c>
      <c r="C29" s="330" t="s">
        <v>1285</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4">
        <v>0</v>
      </c>
      <c r="Y29" s="354">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4">
        <v>0</v>
      </c>
      <c r="Y30" s="354">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4">
        <v>312020</v>
      </c>
      <c r="Y31" s="354">
        <v>14250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4">
        <v>326625</v>
      </c>
      <c r="Y32" s="354">
        <v>15750</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4">
        <v>148850</v>
      </c>
      <c r="Y33" s="354">
        <v>8436</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4">
        <v>198669.50999999998</v>
      </c>
      <c r="Y34" s="354">
        <v>2449.7791999999999</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4">
        <v>178345.73249999998</v>
      </c>
      <c r="Y35" s="354">
        <v>17434.559999999998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28" t="s">
        <v>335</v>
      </c>
      <c r="B36" s="329" t="s">
        <v>568</v>
      </c>
      <c r="C36" s="330" t="s">
        <v>1285</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4">
        <v>0</v>
      </c>
      <c r="Y36" s="354">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4">
        <v>265376.41200000001</v>
      </c>
      <c r="Y37" s="354">
        <v>16638.4218</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4">
        <v>515970.68699999998</v>
      </c>
      <c r="Y38" s="354">
        <v>15369.6543</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28" t="s">
        <v>341</v>
      </c>
      <c r="B39" s="329" t="s">
        <v>453</v>
      </c>
      <c r="C39" s="330" t="s">
        <v>1285</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4">
        <v>0</v>
      </c>
      <c r="Y39" s="354">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4">
        <v>851484.375</v>
      </c>
      <c r="Y40" s="354">
        <v>7000</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4">
        <v>269340</v>
      </c>
      <c r="Y41" s="354">
        <v>11250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4">
        <v>179671.81467181467</v>
      </c>
      <c r="Y42" s="354">
        <v>15115.9793814433</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354">
        <v>161250</v>
      </c>
      <c r="Y43" s="354">
        <v>5750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4">
        <v>288661.5186615187</v>
      </c>
      <c r="Y44" s="354">
        <v>25265.463917525773</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4">
        <v>111778.8</v>
      </c>
      <c r="Y45" s="354">
        <v>11970</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4">
        <v>245737.5</v>
      </c>
      <c r="Y46" s="354">
        <v>7894</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4">
        <v>108562.5</v>
      </c>
      <c r="Y47" s="354">
        <v>15000</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354">
        <v>82000</v>
      </c>
      <c r="Y48" s="354">
        <v>7000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330" t="s">
        <v>1285</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0</v>
      </c>
      <c r="W49">
        <v>1</v>
      </c>
      <c r="X49" s="354">
        <v>109626</v>
      </c>
      <c r="Y49" s="354">
        <v>7311</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4">
        <v>138000</v>
      </c>
      <c r="Y50" s="354">
        <v>6750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4">
        <v>91740</v>
      </c>
      <c r="Y51" s="354">
        <v>10000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4">
        <v>78500</v>
      </c>
      <c r="Y52" s="354">
        <v>8800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3</v>
      </c>
      <c r="W53">
        <v>1</v>
      </c>
      <c r="X53" s="354">
        <v>93120</v>
      </c>
      <c r="Y53" s="354">
        <v>6000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10</v>
      </c>
      <c r="W54">
        <v>1</v>
      </c>
      <c r="X54" s="354">
        <v>145520</v>
      </c>
      <c r="Y54" s="354">
        <v>15640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4">
        <v>109880</v>
      </c>
      <c r="Y55" s="354">
        <v>8312</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4">
        <v>180660</v>
      </c>
      <c r="Y56" s="354">
        <v>9572</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4">
        <v>192671.856</v>
      </c>
      <c r="Y57" s="354">
        <v>25145.999999999996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4">
        <v>216240</v>
      </c>
      <c r="Y58" s="354">
        <v>18496</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4">
        <v>124562.5</v>
      </c>
      <c r="Y59" s="354">
        <v>17875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4">
        <v>214110</v>
      </c>
      <c r="Y60" s="354">
        <v>9054</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4">
        <v>78450.000000000015</v>
      </c>
      <c r="Y61" s="354">
        <v>6495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4">
        <v>163705.95740504467</v>
      </c>
      <c r="Y62" s="354">
        <v>12500</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4">
        <v>287505</v>
      </c>
      <c r="Y63" s="354">
        <v>15000</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4">
        <v>82800</v>
      </c>
      <c r="Y64" s="354">
        <v>6750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4">
        <v>55080</v>
      </c>
      <c r="Y65" s="354">
        <v>4376</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4">
        <v>138870</v>
      </c>
      <c r="Y66" s="354">
        <v>10500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4">
        <v>115990.00000000001</v>
      </c>
      <c r="Y67" s="354">
        <v>6192</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4">
        <v>113080.8</v>
      </c>
      <c r="Y68" s="354">
        <v>12236</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4">
        <v>97000</v>
      </c>
      <c r="Y69" s="354">
        <v>6850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354">
        <v>112164.69691193289</v>
      </c>
      <c r="Y70" s="354">
        <v>4299.8239032233369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4">
        <v>98800</v>
      </c>
      <c r="Y71" s="354">
        <v>15250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4">
        <v>91347.199999999997</v>
      </c>
      <c r="Y72" s="354">
        <v>12000</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4">
        <v>382537.5</v>
      </c>
      <c r="Y73" s="354">
        <v>33606</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4">
        <v>99250</v>
      </c>
      <c r="Y74" s="354">
        <v>1296</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4">
        <v>208968</v>
      </c>
      <c r="Y75" s="354">
        <v>6756</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354">
        <v>595033.86004514678</v>
      </c>
      <c r="Y76" s="354">
        <v>1975.1135690302192</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3</v>
      </c>
      <c r="W77">
        <v>1</v>
      </c>
      <c r="X77" s="354">
        <v>66660</v>
      </c>
      <c r="Y77" s="354">
        <v>12000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4">
        <v>251457.10209904218</v>
      </c>
      <c r="Y78" s="354">
        <v>26336.136177194425</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4">
        <v>188567.1641791045</v>
      </c>
      <c r="Y79" s="354">
        <v>6246.24</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H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4">
        <v>204540</v>
      </c>
      <c r="Y80" s="354">
        <v>11250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4">
        <v>168281.1</v>
      </c>
      <c r="Y81" s="354">
        <v>16205.199999999997</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4">
        <v>245980.00000000003</v>
      </c>
      <c r="Y82" s="354">
        <v>13500</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354">
        <v>2406593.75</v>
      </c>
      <c r="Y83" s="354">
        <v>8244</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4">
        <v>529375</v>
      </c>
      <c r="Y84" s="354">
        <v>6248</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4">
        <v>345437.5</v>
      </c>
      <c r="Y85" s="354">
        <v>9124</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4">
        <v>37125</v>
      </c>
      <c r="Y86" s="354">
        <v>26148</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4">
        <v>83400</v>
      </c>
      <c r="Y87" s="354">
        <v>14000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4">
        <v>315853.42500000005</v>
      </c>
      <c r="Y88" s="354">
        <v>19499.594399999998</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28" t="s">
        <v>1054</v>
      </c>
      <c r="B89" s="329" t="s">
        <v>463</v>
      </c>
      <c r="C89" s="330" t="s">
        <v>1285</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4">
        <v>0</v>
      </c>
      <c r="Y89" s="354">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4">
        <v>369320</v>
      </c>
      <c r="Y90" s="354">
        <v>16248</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4">
        <v>3388495.4880000004</v>
      </c>
      <c r="Y91" s="354">
        <v>12326.4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4">
        <v>3008412.7800000003</v>
      </c>
      <c r="Y92" s="354">
        <v>12518.999999999998</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O94" si="91">COUNTIF(AA14:AA92,"&gt;0")/$B$10</f>
        <v>0.50704225352112675</v>
      </c>
      <c r="AB94" s="193">
        <f t="shared" si="91"/>
        <v>0.46478873239436619</v>
      </c>
      <c r="AC94" s="193">
        <f t="shared" ref="AC94" si="92">COUNTIF(AC14:AC92,"&gt;0")/$B$10</f>
        <v>0.45070422535211269</v>
      </c>
      <c r="AD94" s="193">
        <f t="shared" si="91"/>
        <v>0.52112676056338025</v>
      </c>
      <c r="AE94" s="193">
        <f t="shared" si="91"/>
        <v>0.47887323943661969</v>
      </c>
      <c r="AF94" s="193">
        <f t="shared" si="91"/>
        <v>0.54929577464788737</v>
      </c>
      <c r="AG94" s="193">
        <f t="shared" si="91"/>
        <v>0.56338028169014087</v>
      </c>
      <c r="AH94" s="193">
        <f t="shared" si="91"/>
        <v>0.54929577464788737</v>
      </c>
      <c r="AI94" s="193">
        <f t="shared" ref="AI94" si="93">COUNTIF(AI14:AI92,"&gt;0")/$B$10</f>
        <v>0.42253521126760563</v>
      </c>
      <c r="AJ94" s="193">
        <f t="shared" si="91"/>
        <v>0.46478873239436619</v>
      </c>
      <c r="AK94" s="193">
        <f t="shared" si="91"/>
        <v>0.46478873239436619</v>
      </c>
      <c r="AL94" s="193">
        <f t="shared" si="91"/>
        <v>0.50704225352112675</v>
      </c>
      <c r="AM94" s="193">
        <f t="shared" si="91"/>
        <v>0.50704225352112675</v>
      </c>
      <c r="AN94" s="193">
        <f t="shared" si="91"/>
        <v>0.49295774647887325</v>
      </c>
      <c r="AO94" s="193">
        <f t="shared" si="91"/>
        <v>0.45070422535211269</v>
      </c>
      <c r="AP94" s="193">
        <f t="shared" ref="AP94" si="94">COUNTIF(AP14:AP92,"&gt;0")/$B$10</f>
        <v>0.46478873239436619</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1294</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1" t="str">
        <f t="shared" ref="Z1:AO1" si="2">Z12</f>
        <v>MAX ACC 99% PNL 71431</v>
      </c>
      <c r="AA1" s="332" t="str">
        <f t="shared" si="2"/>
        <v>RISK-ON ACC 65% PNL 37534</v>
      </c>
      <c r="AB1" s="332" t="str">
        <f t="shared" si="2"/>
        <v>RISK-OFF ACC 34% PNL -37534</v>
      </c>
      <c r="AC1" s="332" t="str">
        <f t="shared" ref="AC1" si="3">AC12</f>
        <v>Previous ACC 61% PNL 3878</v>
      </c>
      <c r="AD1" s="295" t="str">
        <f t="shared" si="2"/>
        <v>Anti-Previous ACC 38% PNL -3878</v>
      </c>
      <c r="AE1" s="333" t="str">
        <f t="shared" si="2"/>
        <v>&gt;equity ACC 49% PNL 8402</v>
      </c>
      <c r="AF1" s="333" t="str">
        <f t="shared" si="2"/>
        <v>50/50 ACC 37% PNL -15186</v>
      </c>
      <c r="AG1" s="333" t="str">
        <f t="shared" si="2"/>
        <v>&lt;equity ACC 48% PNL 4534</v>
      </c>
      <c r="AH1" s="334" t="str">
        <f t="shared" si="2"/>
        <v>SEASONALITY ACC 46% PNL -18547</v>
      </c>
      <c r="AI1" s="334" t="str">
        <f t="shared" si="2"/>
        <v>ANTI-SEASONALITY ACC 52% PNL 18547</v>
      </c>
      <c r="AJ1" s="334" t="str">
        <f t="shared" si="2"/>
        <v>ADJ_SEASONALITY ACC 54% PNL 174</v>
      </c>
      <c r="AK1" s="335" t="str">
        <f t="shared" si="2"/>
        <v>V1 ACC 55% PNL 10686</v>
      </c>
      <c r="AL1" s="335" t="str">
        <f t="shared" si="2"/>
        <v>V2 ACC 48% PNL 3393</v>
      </c>
      <c r="AM1" s="335" t="str">
        <f t="shared" si="2"/>
        <v>V3 ACC 42% PNL 1425</v>
      </c>
      <c r="AN1" s="335" t="str">
        <f t="shared" si="2"/>
        <v>V4 ACC 49% PNL 4669</v>
      </c>
      <c r="AO1" s="335" t="str">
        <f t="shared" si="2"/>
        <v>V5 ACC 51% PNL -3901</v>
      </c>
      <c r="AP1" s="335" t="str">
        <f t="shared" ref="AP1" si="4">AP12</f>
        <v>V6 ACC 48% PNL 12334</v>
      </c>
    </row>
    <row r="2" spans="1:42" outlineLevel="1" x14ac:dyDescent="0.25">
      <c r="A2" t="s">
        <v>1121</v>
      </c>
      <c r="B2" s="95">
        <f>COUNTIF($C$14:$C$92,A2)</f>
        <v>9</v>
      </c>
      <c r="C2" s="193">
        <f>B2/$B$10</f>
        <v>0.12676056338028169</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2">
        <f t="shared" ref="K2:K9" si="9">SUMIF($C$14:$C$92,$A2,E$14:E$92)/$B2</f>
        <v>-0.55555555555555558</v>
      </c>
      <c r="L2" s="342">
        <f t="shared" ref="L2:O9" si="10">SUMIF($C$14:$C$92,$A2,I$14:I$92)/$B2</f>
        <v>0.33333333333333331</v>
      </c>
      <c r="M2" s="342">
        <f t="shared" si="10"/>
        <v>-0.1111111111111111</v>
      </c>
      <c r="N2" s="342">
        <f t="shared" si="10"/>
        <v>0.55555555555555558</v>
      </c>
      <c r="O2" s="342">
        <f t="shared" si="10"/>
        <v>-0.1111111111111111</v>
      </c>
      <c r="P2" s="342">
        <f t="shared" ref="P2:T9" si="11">SUMIF($C$14:$C$92,$A2,O$14:O$92)/$B2</f>
        <v>-0.33333333333333331</v>
      </c>
      <c r="Q2" s="342">
        <f t="shared" si="11"/>
        <v>0.1111111111111111</v>
      </c>
      <c r="R2" s="342">
        <f t="shared" si="11"/>
        <v>0.1111111111111111</v>
      </c>
      <c r="S2" s="342">
        <f t="shared" si="11"/>
        <v>0.55555555555555558</v>
      </c>
      <c r="T2" s="342">
        <f t="shared" si="11"/>
        <v>0.55555555555555558</v>
      </c>
      <c r="U2" s="342">
        <f t="shared" ref="U2:V2" si="12">SUMIF($C$14:$C$92,$A2,T$14:T$92)/$B2</f>
        <v>-0.33333333333333331</v>
      </c>
      <c r="V2" s="342">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8.4507042253521125E-2</v>
      </c>
      <c r="F3" s="294">
        <f t="shared" si="5"/>
        <v>0.66666666666666663</v>
      </c>
      <c r="G3" s="137">
        <f t="shared" si="6"/>
        <v>11411.833474122304</v>
      </c>
      <c r="H3" s="143">
        <f t="shared" si="7"/>
        <v>1901.9722456870506</v>
      </c>
      <c r="I3" s="186">
        <f t="shared" ref="I3:I9" si="16">SUMIF($C$14:$C$92,A3,F$14:F$92)/B3</f>
        <v>1267.8103944613351</v>
      </c>
      <c r="J3" t="str">
        <f t="shared" si="8"/>
        <v>energy</v>
      </c>
      <c r="K3" s="342">
        <f t="shared" si="9"/>
        <v>-0.33333333333333331</v>
      </c>
      <c r="L3" s="342">
        <f t="shared" si="10"/>
        <v>0.33333333333333331</v>
      </c>
      <c r="M3" s="342">
        <f t="shared" si="10"/>
        <v>0.33333333333333331</v>
      </c>
      <c r="N3" s="342">
        <f t="shared" si="10"/>
        <v>0.33333333333333331</v>
      </c>
      <c r="O3" s="342">
        <f t="shared" si="10"/>
        <v>-0.66666666666666663</v>
      </c>
      <c r="P3" s="342">
        <f t="shared" si="11"/>
        <v>0.33333333333333331</v>
      </c>
      <c r="Q3" s="342">
        <f t="shared" si="11"/>
        <v>0</v>
      </c>
      <c r="R3" s="342">
        <f t="shared" si="11"/>
        <v>0.33333333333333331</v>
      </c>
      <c r="S3" s="342">
        <f t="shared" si="11"/>
        <v>1</v>
      </c>
      <c r="T3" s="342">
        <f t="shared" si="11"/>
        <v>1</v>
      </c>
      <c r="U3" s="342">
        <f t="shared" ref="U3:V3" si="17">SUMIF($C$14:$C$92,$A3,T$14:T$92)/$B3</f>
        <v>-0.33333333333333331</v>
      </c>
      <c r="V3" s="342">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0.14084507042253522</v>
      </c>
      <c r="F4" s="294">
        <f t="shared" si="5"/>
        <v>0.9</v>
      </c>
      <c r="G4" s="137">
        <f t="shared" si="6"/>
        <v>9586.4611856203082</v>
      </c>
      <c r="H4" s="143">
        <f t="shared" si="7"/>
        <v>958.64611856203078</v>
      </c>
      <c r="I4" s="186">
        <f t="shared" si="16"/>
        <v>879.03470386858612</v>
      </c>
      <c r="J4" t="str">
        <f t="shared" si="8"/>
        <v>grain</v>
      </c>
      <c r="K4" s="342">
        <f t="shared" si="9"/>
        <v>0.4</v>
      </c>
      <c r="L4" s="342">
        <f t="shared" si="10"/>
        <v>0.2</v>
      </c>
      <c r="M4" s="342">
        <f t="shared" si="10"/>
        <v>0.2</v>
      </c>
      <c r="N4" s="342">
        <f t="shared" si="10"/>
        <v>0.4</v>
      </c>
      <c r="O4" s="342">
        <f t="shared" si="10"/>
        <v>0.6</v>
      </c>
      <c r="P4" s="342">
        <f t="shared" si="11"/>
        <v>0.2</v>
      </c>
      <c r="Q4" s="342">
        <f t="shared" si="11"/>
        <v>0.4</v>
      </c>
      <c r="R4" s="342">
        <f t="shared" si="11"/>
        <v>0</v>
      </c>
      <c r="S4" s="342">
        <f t="shared" si="11"/>
        <v>-0.4</v>
      </c>
      <c r="T4" s="342">
        <f t="shared" si="11"/>
        <v>-0.2</v>
      </c>
      <c r="U4" s="342">
        <f t="shared" ref="U4:V4" si="18">SUMIF($C$14:$C$92,$A4,T$14:T$92)/$B4</f>
        <v>-0.2</v>
      </c>
      <c r="V4" s="342">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0.29577464788732394</v>
      </c>
      <c r="F5" s="294">
        <f t="shared" si="5"/>
        <v>0.76190476190476186</v>
      </c>
      <c r="G5" s="137">
        <f t="shared" si="6"/>
        <v>24500.433760798845</v>
      </c>
      <c r="H5" s="143">
        <f t="shared" si="7"/>
        <v>1166.6873219428021</v>
      </c>
      <c r="I5" s="186">
        <f t="shared" si="16"/>
        <v>889.67191918739661</v>
      </c>
      <c r="J5" t="str">
        <f t="shared" si="8"/>
        <v>index</v>
      </c>
      <c r="K5" s="342">
        <f t="shared" si="9"/>
        <v>0.80952380952380953</v>
      </c>
      <c r="L5" s="342">
        <f t="shared" si="10"/>
        <v>0.14285714285714285</v>
      </c>
      <c r="M5" s="342">
        <f t="shared" si="10"/>
        <v>-0.42857142857142855</v>
      </c>
      <c r="N5" s="342">
        <f t="shared" si="10"/>
        <v>0.52380952380952384</v>
      </c>
      <c r="O5" s="342">
        <f t="shared" si="10"/>
        <v>-0.23809523809523808</v>
      </c>
      <c r="P5" s="342">
        <f t="shared" si="11"/>
        <v>-0.23809523809523808</v>
      </c>
      <c r="Q5" s="342">
        <f t="shared" si="11"/>
        <v>0.80952380952380953</v>
      </c>
      <c r="R5" s="342">
        <f t="shared" si="11"/>
        <v>-0.61904761904761907</v>
      </c>
      <c r="S5" s="342">
        <f t="shared" si="11"/>
        <v>-0.33333333333333331</v>
      </c>
      <c r="T5" s="342">
        <f t="shared" si="11"/>
        <v>-0.14285714285714285</v>
      </c>
      <c r="U5" s="342">
        <f t="shared" ref="U5:V5" si="19">SUMIF($C$14:$C$92,$A5,T$14:T$92)/$B5</f>
        <v>0.33333333333333331</v>
      </c>
      <c r="V5" s="342">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4.2253521126760563E-2</v>
      </c>
      <c r="F6" s="294">
        <f t="shared" si="5"/>
        <v>0.66666666666666663</v>
      </c>
      <c r="G6" s="137">
        <f t="shared" si="6"/>
        <v>1930.3490627278629</v>
      </c>
      <c r="H6" s="143">
        <f t="shared" si="7"/>
        <v>643.44968757595427</v>
      </c>
      <c r="I6" s="186">
        <f t="shared" si="16"/>
        <v>-51.248429714378403</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-0.33333333333333331</v>
      </c>
      <c r="Q6" s="342">
        <f t="shared" si="11"/>
        <v>0.33333333333333331</v>
      </c>
      <c r="R6" s="342">
        <f t="shared" si="11"/>
        <v>-0.33333333333333331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7.0422535211267609E-2</v>
      </c>
      <c r="F7" s="294">
        <f t="shared" si="5"/>
        <v>0.4</v>
      </c>
      <c r="G7" s="137">
        <f t="shared" si="6"/>
        <v>2220.078554637616</v>
      </c>
      <c r="H7" s="143">
        <f t="shared" si="7"/>
        <v>444.01571092752317</v>
      </c>
      <c r="I7" s="186">
        <f t="shared" si="16"/>
        <v>-66.36386542791422</v>
      </c>
      <c r="J7" t="str">
        <f t="shared" si="8"/>
        <v>metal</v>
      </c>
      <c r="K7" s="342">
        <f t="shared" si="9"/>
        <v>-1</v>
      </c>
      <c r="L7" s="342">
        <f t="shared" si="10"/>
        <v>0.2</v>
      </c>
      <c r="M7" s="342">
        <f t="shared" si="10"/>
        <v>0.2</v>
      </c>
      <c r="N7" s="342">
        <f t="shared" si="10"/>
        <v>0.2</v>
      </c>
      <c r="O7" s="342">
        <f t="shared" si="10"/>
        <v>-0.6</v>
      </c>
      <c r="P7" s="342">
        <f t="shared" si="11"/>
        <v>0.2</v>
      </c>
      <c r="Q7" s="342">
        <f t="shared" si="11"/>
        <v>0.2</v>
      </c>
      <c r="R7" s="342">
        <f t="shared" si="11"/>
        <v>0.6</v>
      </c>
      <c r="S7" s="342">
        <f t="shared" si="11"/>
        <v>0.6</v>
      </c>
      <c r="T7" s="342">
        <f t="shared" si="11"/>
        <v>0.6</v>
      </c>
      <c r="U7" s="342">
        <f t="shared" ref="U7:V7" si="21">SUMIF($C$14:$C$92,$A7,T$14:T$92)/$B7</f>
        <v>-1</v>
      </c>
      <c r="V7" s="342">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0.14084507042253522</v>
      </c>
      <c r="F8" s="294">
        <f t="shared" si="5"/>
        <v>0.5</v>
      </c>
      <c r="G8" s="137">
        <f t="shared" si="6"/>
        <v>7210.600545893165</v>
      </c>
      <c r="H8" s="143">
        <f t="shared" si="7"/>
        <v>721.06005458931645</v>
      </c>
      <c r="I8" s="186">
        <f t="shared" si="16"/>
        <v>-156.18031620577855</v>
      </c>
      <c r="J8" t="str">
        <f t="shared" si="8"/>
        <v>rates</v>
      </c>
      <c r="K8" s="342">
        <f t="shared" si="9"/>
        <v>-0.4</v>
      </c>
      <c r="L8" s="342">
        <f t="shared" si="10"/>
        <v>0</v>
      </c>
      <c r="M8" s="342">
        <f t="shared" si="10"/>
        <v>0.4</v>
      </c>
      <c r="N8" s="342">
        <f t="shared" si="10"/>
        <v>0</v>
      </c>
      <c r="O8" s="342">
        <f t="shared" si="10"/>
        <v>1</v>
      </c>
      <c r="P8" s="342">
        <f t="shared" si="11"/>
        <v>-0.4</v>
      </c>
      <c r="Q8" s="342">
        <f t="shared" si="11"/>
        <v>-0.6</v>
      </c>
      <c r="R8" s="342">
        <f t="shared" si="11"/>
        <v>0.2</v>
      </c>
      <c r="S8" s="342">
        <f t="shared" si="11"/>
        <v>-0.4</v>
      </c>
      <c r="T8" s="342">
        <f t="shared" si="11"/>
        <v>-0.6</v>
      </c>
      <c r="U8" s="342">
        <f t="shared" ref="U8:V8" si="22">SUMIF($C$14:$C$92,$A8,T$14:T$92)/$B8</f>
        <v>0</v>
      </c>
      <c r="V8" s="342">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7</v>
      </c>
      <c r="C9" s="200">
        <f t="shared" si="15"/>
        <v>9.8591549295774641E-2</v>
      </c>
      <c r="D9" s="126"/>
      <c r="F9" s="294">
        <f t="shared" si="5"/>
        <v>0.5714285714285714</v>
      </c>
      <c r="G9" s="199">
        <f t="shared" si="6"/>
        <v>6560.9986562131289</v>
      </c>
      <c r="H9" s="143">
        <f t="shared" si="7"/>
        <v>937.28552231616129</v>
      </c>
      <c r="I9" s="186">
        <f t="shared" si="16"/>
        <v>-423.01724406897586</v>
      </c>
      <c r="J9" t="str">
        <f t="shared" si="8"/>
        <v>soft</v>
      </c>
      <c r="K9" s="342">
        <f t="shared" si="9"/>
        <v>1</v>
      </c>
      <c r="L9" s="342">
        <f t="shared" si="10"/>
        <v>0.7142857142857143</v>
      </c>
      <c r="M9" s="342">
        <f t="shared" si="10"/>
        <v>-0.42857142857142855</v>
      </c>
      <c r="N9" s="342">
        <f t="shared" si="10"/>
        <v>0.7142857142857143</v>
      </c>
      <c r="O9" s="342">
        <f t="shared" si="10"/>
        <v>-0.42857142857142855</v>
      </c>
      <c r="P9" s="342">
        <f t="shared" si="11"/>
        <v>0.7142857142857143</v>
      </c>
      <c r="Q9" s="342">
        <f t="shared" si="11"/>
        <v>1</v>
      </c>
      <c r="R9" s="342">
        <f t="shared" si="11"/>
        <v>-0.7142857142857143</v>
      </c>
      <c r="S9" s="342">
        <f t="shared" si="11"/>
        <v>0.14285714285714285</v>
      </c>
      <c r="T9" s="342">
        <f t="shared" si="11"/>
        <v>0.42857142857142855</v>
      </c>
      <c r="U9" s="342">
        <f t="shared" ref="U9:V9" si="23">SUMIF($C$14:$C$92,$A9,T$14:T$92)/$B9</f>
        <v>-0.42857142857142855</v>
      </c>
      <c r="V9" s="342">
        <f t="shared" si="23"/>
        <v>-1</v>
      </c>
      <c r="W9" s="286"/>
      <c r="X9" s="6"/>
      <c r="Y9" s="17" t="s">
        <v>304</v>
      </c>
      <c r="Z9" s="283">
        <f t="shared" si="13"/>
        <v>6560.9986562131289</v>
      </c>
      <c r="AA9" s="283">
        <f t="shared" si="13"/>
        <v>-2961.1207084828311</v>
      </c>
      <c r="AB9" s="283">
        <f t="shared" si="13"/>
        <v>2961.1207084828311</v>
      </c>
      <c r="AC9" s="283">
        <f t="shared" si="13"/>
        <v>-2961.1207084828311</v>
      </c>
      <c r="AD9" s="283">
        <f t="shared" si="13"/>
        <v>2961.1207084828311</v>
      </c>
      <c r="AE9" s="283">
        <f t="shared" si="13"/>
        <v>1202.1033570942996</v>
      </c>
      <c r="AF9" s="283">
        <f t="shared" si="13"/>
        <v>-3643.2171901651832</v>
      </c>
      <c r="AG9" s="283">
        <f t="shared" si="13"/>
        <v>-3643.2171901651832</v>
      </c>
      <c r="AH9" s="283">
        <f t="shared" si="13"/>
        <v>1202.1033570942996</v>
      </c>
      <c r="AI9" s="283">
        <f t="shared" si="13"/>
        <v>-1202.1033570942996</v>
      </c>
      <c r="AJ9" s="283">
        <f t="shared" si="13"/>
        <v>-881.75228742993943</v>
      </c>
      <c r="AK9" s="283">
        <f t="shared" si="13"/>
        <v>-2961.1207084828311</v>
      </c>
      <c r="AL9" s="283">
        <f t="shared" si="13"/>
        <v>3281.4717781471913</v>
      </c>
      <c r="AM9" s="283">
        <f t="shared" si="13"/>
        <v>-1884.1998387766516</v>
      </c>
      <c r="AN9" s="283">
        <f t="shared" si="13"/>
        <v>-1563.8487691122918</v>
      </c>
      <c r="AO9" s="283">
        <f t="shared" si="13"/>
        <v>1563.8487691122918</v>
      </c>
      <c r="AP9" s="283">
        <f t="shared" si="13"/>
        <v>2961.1207084828311</v>
      </c>
    </row>
    <row r="10" spans="1:42" outlineLevel="1" x14ac:dyDescent="0.25">
      <c r="B10">
        <f>SUM(B2:B9)</f>
        <v>71</v>
      </c>
      <c r="C10" s="193">
        <f t="shared" si="15"/>
        <v>1</v>
      </c>
      <c r="D10" s="126"/>
      <c r="F10" s="294">
        <f>SUMIFS(H$14:H$92,H$14:H$92,1,$C$14:$C$92,"&lt;&gt;offline")/$B10</f>
        <v>0.63380281690140849</v>
      </c>
      <c r="G10" s="167">
        <f>SUM(G2:G9)</f>
        <v>71431.272852074384</v>
      </c>
      <c r="H10" s="143">
        <f t="shared" si="7"/>
        <v>1006.0742655221744</v>
      </c>
      <c r="I10" s="186">
        <f>SUM(F14:F92)/B10</f>
        <v>413.96335237623208</v>
      </c>
      <c r="J10" s="137"/>
      <c r="K10" s="6"/>
      <c r="L10" s="292"/>
      <c r="M10" s="286"/>
      <c r="N10" s="292"/>
      <c r="O10" s="6"/>
      <c r="R10" s="6"/>
      <c r="S10" s="286"/>
      <c r="T10" s="286"/>
      <c r="U10" s="286"/>
      <c r="V10" s="6"/>
      <c r="W10" s="286"/>
      <c r="X10" s="6"/>
      <c r="Y10" s="6" t="s">
        <v>1245</v>
      </c>
      <c r="Z10" s="284">
        <f>SUM(Z2:Z9)</f>
        <v>71431.272852074384</v>
      </c>
      <c r="AA10" s="284">
        <f t="shared" ref="AA10:AO10" si="24">SUM(AA2:AA9)</f>
        <v>37534.179016372625</v>
      </c>
      <c r="AB10" s="284">
        <f t="shared" si="24"/>
        <v>-37534.179016372625</v>
      </c>
      <c r="AC10" s="284">
        <f t="shared" si="24"/>
        <v>3878.3258105421646</v>
      </c>
      <c r="AD10" s="284">
        <f t="shared" si="24"/>
        <v>-3878.3258105421646</v>
      </c>
      <c r="AE10" s="284">
        <f t="shared" si="24"/>
        <v>8401.8786017269704</v>
      </c>
      <c r="AF10" s="284">
        <f t="shared" si="24"/>
        <v>-15186.42775333264</v>
      </c>
      <c r="AG10" s="284">
        <f t="shared" si="24"/>
        <v>4534.0845277279168</v>
      </c>
      <c r="AH10" s="284">
        <f t="shared" si="24"/>
        <v>-18546.914370272283</v>
      </c>
      <c r="AI10" s="284">
        <f t="shared" ref="AI10" si="25">SUM(AI2:AI9)</f>
        <v>18546.914370272283</v>
      </c>
      <c r="AJ10" s="284">
        <f t="shared" si="24"/>
        <v>173.50477633409798</v>
      </c>
      <c r="AK10" s="284">
        <f t="shared" si="24"/>
        <v>10686.062502633074</v>
      </c>
      <c r="AL10" s="284">
        <f t="shared" si="24"/>
        <v>3392.9836821165086</v>
      </c>
      <c r="AM10" s="284">
        <f t="shared" si="24"/>
        <v>1425.4439361992554</v>
      </c>
      <c r="AN10" s="284">
        <f t="shared" si="24"/>
        <v>4669.4137838762981</v>
      </c>
      <c r="AO10" s="284">
        <f t="shared" si="24"/>
        <v>-3901.1295515375623</v>
      </c>
      <c r="AP10" s="284">
        <f t="shared" ref="AP10" si="26">SUM(AP2:AP9)</f>
        <v>12334.09943592514</v>
      </c>
    </row>
    <row r="11" spans="1:42" outlineLevel="1" x14ac:dyDescent="0.25">
      <c r="H11" t="s">
        <v>1158</v>
      </c>
      <c r="I11" s="95">
        <v>0.75</v>
      </c>
      <c r="J11">
        <v>0.5</v>
      </c>
      <c r="K11">
        <v>1</v>
      </c>
      <c r="X11" s="112" t="s">
        <v>1281</v>
      </c>
      <c r="Y11" s="352">
        <v>2531.8078544341006</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6" t="str">
        <f t="shared" ref="Z12:AO12" si="27">Z93&amp;" ACC "&amp;ROUND(Z94,2)*100&amp;"% PNL "&amp;ROUND(Z10,0)</f>
        <v>MAX ACC 99% PNL 71431</v>
      </c>
      <c r="AA12" s="308" t="str">
        <f t="shared" si="27"/>
        <v>RISK-ON ACC 65% PNL 37534</v>
      </c>
      <c r="AB12" s="308" t="str">
        <f t="shared" si="27"/>
        <v>RISK-OFF ACC 34% PNL -37534</v>
      </c>
      <c r="AC12" s="308" t="str">
        <f t="shared" si="27"/>
        <v>Previous ACC 61% PNL 3878</v>
      </c>
      <c r="AD12" s="337" t="str">
        <f t="shared" si="27"/>
        <v>Anti-Previous ACC 38% PNL -3878</v>
      </c>
      <c r="AE12" s="338" t="str">
        <f t="shared" si="27"/>
        <v>&gt;equity ACC 49% PNL 8402</v>
      </c>
      <c r="AF12" s="338" t="str">
        <f t="shared" si="27"/>
        <v>50/50 ACC 37% PNL -15186</v>
      </c>
      <c r="AG12" s="338" t="str">
        <f t="shared" si="27"/>
        <v>&lt;equity ACC 48% PNL 4534</v>
      </c>
      <c r="AH12" s="339" t="str">
        <f t="shared" si="27"/>
        <v>SEASONALITY ACC 46% PNL -18547</v>
      </c>
      <c r="AI12" s="339" t="str">
        <f t="shared" si="27"/>
        <v>ANTI-SEASONALITY ACC 52% PNL 18547</v>
      </c>
      <c r="AJ12" s="339" t="str">
        <f t="shared" si="27"/>
        <v>ADJ_SEASONALITY ACC 54% PNL 174</v>
      </c>
      <c r="AK12" s="340" t="str">
        <f t="shared" si="27"/>
        <v>V1 ACC 55% PNL 10686</v>
      </c>
      <c r="AL12" s="340" t="str">
        <f t="shared" si="27"/>
        <v>V2 ACC 48% PNL 3393</v>
      </c>
      <c r="AM12" s="340" t="str">
        <f t="shared" si="27"/>
        <v>V3 ACC 42% PNL 1425</v>
      </c>
      <c r="AN12" s="340" t="str">
        <f t="shared" si="27"/>
        <v>V4 ACC 49% PNL 4669</v>
      </c>
      <c r="AO12" s="340" t="str">
        <f t="shared" si="27"/>
        <v>V5 ACC 51% PNL -3901</v>
      </c>
      <c r="AP12" s="340" t="str">
        <f t="shared" ref="AP12" si="28">AP93&amp;" ACC "&amp;ROUND(AP94,2)*100&amp;"% PNL "&amp;ROUND(AP10,0)</f>
        <v>V6 ACC 48% PNL 12334</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3">
        <v>24405731.814956017</v>
      </c>
      <c r="Y13" s="353">
        <v>858300.99064841692</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28" t="s">
        <v>287</v>
      </c>
      <c r="B14" s="329" t="s">
        <v>558</v>
      </c>
      <c r="C14" s="330" t="s">
        <v>1285</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4">
        <v>0</v>
      </c>
      <c r="Y14" s="354">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4">
        <v>229320</v>
      </c>
      <c r="Y15" s="354">
        <v>7968</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H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4">
        <v>198323.47200000001</v>
      </c>
      <c r="Y16" s="354">
        <v>21726.143999999997</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4">
        <v>94260</v>
      </c>
      <c r="Y17" s="354">
        <v>4685</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4">
        <v>163087.5</v>
      </c>
      <c r="Y18" s="354">
        <v>8889</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354">
        <v>83687.5</v>
      </c>
      <c r="Y19" s="354">
        <v>13500</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354">
        <v>119000</v>
      </c>
      <c r="Y20" s="354">
        <v>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4">
        <v>303840</v>
      </c>
      <c r="Y21" s="354">
        <v>10428</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28" t="s">
        <v>307</v>
      </c>
      <c r="B22" s="329" t="s">
        <v>484</v>
      </c>
      <c r="C22" s="330" t="s">
        <v>1285</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4">
        <v>0</v>
      </c>
      <c r="Y22" s="354">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4">
        <v>86040</v>
      </c>
      <c r="Y23" s="354">
        <v>9180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4">
        <v>114075</v>
      </c>
      <c r="Y24" s="354">
        <v>4503</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4">
        <v>416268.75</v>
      </c>
      <c r="Y25" s="354">
        <v>21792</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4">
        <v>385360</v>
      </c>
      <c r="Y26" s="354">
        <v>14804</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4">
        <v>555540.66</v>
      </c>
      <c r="Y27" s="354">
        <v>12992.099999999999</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4">
        <v>1332499.6800000002</v>
      </c>
      <c r="Y28" s="354">
        <v>13327.38</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28" t="s">
        <v>320</v>
      </c>
      <c r="B29" s="329" t="s">
        <v>564</v>
      </c>
      <c r="C29" s="330" t="s">
        <v>1285</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4">
        <v>0</v>
      </c>
      <c r="Y29" s="354">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4">
        <v>0</v>
      </c>
      <c r="Y30" s="354">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4">
        <v>312100</v>
      </c>
      <c r="Y31" s="354">
        <v>14250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4">
        <v>326325</v>
      </c>
      <c r="Y32" s="354">
        <v>15750</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4">
        <v>147200</v>
      </c>
      <c r="Y33" s="354">
        <v>8436</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4">
        <v>195730.28400000001</v>
      </c>
      <c r="Y34" s="354">
        <v>2449.7791999999999</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4">
        <v>173436.0705</v>
      </c>
      <c r="Y35" s="354">
        <v>17434.559999999998</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28" t="s">
        <v>335</v>
      </c>
      <c r="B36" s="329" t="s">
        <v>568</v>
      </c>
      <c r="C36" s="330" t="s">
        <v>1285</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4">
        <v>0</v>
      </c>
      <c r="Y36" s="354">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4">
        <v>264627.97200000001</v>
      </c>
      <c r="Y37" s="354">
        <v>16638.4218</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4">
        <v>515523.77100000007</v>
      </c>
      <c r="Y38" s="354">
        <v>15369.6543</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28" t="s">
        <v>341</v>
      </c>
      <c r="B39" s="329" t="s">
        <v>453</v>
      </c>
      <c r="C39" s="330" t="s">
        <v>1285</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4">
        <v>0</v>
      </c>
      <c r="Y39" s="354">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4">
        <v>850500</v>
      </c>
      <c r="Y40" s="354">
        <v>7000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4">
        <v>268260</v>
      </c>
      <c r="Y41" s="354">
        <v>11250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4">
        <v>178976.83397683396</v>
      </c>
      <c r="Y42" s="354">
        <v>15115.9793814433</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354">
        <v>108250</v>
      </c>
      <c r="Y43" s="354">
        <v>5750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4">
        <v>288906.04890604893</v>
      </c>
      <c r="Y44" s="354">
        <v>25265.463917525773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4">
        <v>112862.39999999999</v>
      </c>
      <c r="Y45" s="354">
        <v>11970</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4">
        <v>244325</v>
      </c>
      <c r="Y46" s="354">
        <v>7894</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4">
        <v>105825</v>
      </c>
      <c r="Y47" s="354">
        <v>15000</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354">
        <v>81950</v>
      </c>
      <c r="Y48" s="354">
        <v>7000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330" t="s">
        <v>1285</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0</v>
      </c>
      <c r="W49">
        <v>1</v>
      </c>
      <c r="X49" s="354">
        <v>106326</v>
      </c>
      <c r="Y49" s="354">
        <v>7311</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4">
        <v>137580</v>
      </c>
      <c r="Y50" s="354">
        <v>6750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4">
        <v>92480</v>
      </c>
      <c r="Y51" s="354">
        <v>10000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4">
        <v>78000</v>
      </c>
      <c r="Y52" s="354">
        <v>8800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3</v>
      </c>
      <c r="W53">
        <v>1</v>
      </c>
      <c r="X53" s="354">
        <v>94160</v>
      </c>
      <c r="Y53" s="354">
        <v>6000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10</v>
      </c>
      <c r="W54">
        <v>1</v>
      </c>
      <c r="X54" s="354">
        <v>146000</v>
      </c>
      <c r="Y54" s="354">
        <v>15640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4">
        <v>110620</v>
      </c>
      <c r="Y55" s="354">
        <v>8312</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4">
        <v>179380</v>
      </c>
      <c r="Y56" s="354">
        <v>9572</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4">
        <v>189885.6372</v>
      </c>
      <c r="Y57" s="354">
        <v>25145.999999999996</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4">
        <v>214600</v>
      </c>
      <c r="Y58" s="354">
        <v>18496</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4">
        <v>124875</v>
      </c>
      <c r="Y59" s="354">
        <v>17875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4">
        <v>213840</v>
      </c>
      <c r="Y60" s="354">
        <v>9054</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4">
        <v>82440.000000000015</v>
      </c>
      <c r="Y61" s="354">
        <v>6495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4">
        <v>162371.88872620789</v>
      </c>
      <c r="Y62" s="354">
        <v>12500</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4">
        <v>286755</v>
      </c>
      <c r="Y63" s="354">
        <v>15000</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4">
        <v>74200</v>
      </c>
      <c r="Y64" s="354">
        <v>6750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4">
        <v>79740</v>
      </c>
      <c r="Y65" s="354">
        <v>4376</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4">
        <v>138660</v>
      </c>
      <c r="Y66" s="354">
        <v>10500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4">
        <v>115540.00000000001</v>
      </c>
      <c r="Y67" s="354">
        <v>6192</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4">
        <v>114408.00000000001</v>
      </c>
      <c r="Y68" s="354">
        <v>12236</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4">
        <v>96600</v>
      </c>
      <c r="Y69" s="354">
        <v>6850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354">
        <v>110361.59222120936</v>
      </c>
      <c r="Y70" s="354">
        <v>4299.8239032233369</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4">
        <v>98500</v>
      </c>
      <c r="Y71" s="354">
        <v>15250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4">
        <v>92064</v>
      </c>
      <c r="Y72" s="354">
        <v>12000</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4">
        <v>382275.00000000006</v>
      </c>
      <c r="Y73" s="354">
        <v>33606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4">
        <v>99025</v>
      </c>
      <c r="Y74" s="354">
        <v>1296</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4">
        <v>209544</v>
      </c>
      <c r="Y75" s="354">
        <v>6756</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354">
        <v>740361.15178135666</v>
      </c>
      <c r="Y76" s="354">
        <v>1975.1135690302192</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3</v>
      </c>
      <c r="W77">
        <v>1</v>
      </c>
      <c r="X77" s="354">
        <v>66480</v>
      </c>
      <c r="Y77" s="354">
        <v>12000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4">
        <v>248997.86346525588</v>
      </c>
      <c r="Y78" s="354">
        <v>26336.136177194425</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4">
        <v>188567.1641791045</v>
      </c>
      <c r="Y79" s="354">
        <v>6246.24</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H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4">
        <v>203940</v>
      </c>
      <c r="Y80" s="354">
        <v>11250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4">
        <v>165343.44</v>
      </c>
      <c r="Y81" s="354">
        <v>16205.199999999997</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4">
        <v>245440</v>
      </c>
      <c r="Y82" s="354">
        <v>13500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11</v>
      </c>
      <c r="W83">
        <v>1</v>
      </c>
      <c r="X83" s="354">
        <v>2405906.25</v>
      </c>
      <c r="Y83" s="354">
        <v>8244</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4">
        <v>528187.5</v>
      </c>
      <c r="Y84" s="354">
        <v>6248</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4">
        <v>343312.5</v>
      </c>
      <c r="Y85" s="354">
        <v>9124</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4">
        <v>37425</v>
      </c>
      <c r="Y86" s="354">
        <v>26148</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4">
        <v>83400</v>
      </c>
      <c r="Y87" s="354">
        <v>14000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4">
        <v>314587.125</v>
      </c>
      <c r="Y88" s="354">
        <v>19499.594399999998</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28" t="s">
        <v>1054</v>
      </c>
      <c r="B89" s="329" t="s">
        <v>463</v>
      </c>
      <c r="C89" s="330" t="s">
        <v>1285</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4">
        <v>0</v>
      </c>
      <c r="Y89" s="354">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4">
        <v>369200</v>
      </c>
      <c r="Y90" s="354">
        <v>16248</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4">
        <v>3378533.76</v>
      </c>
      <c r="Y91" s="354">
        <v>12326.4</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4">
        <v>2999718</v>
      </c>
      <c r="Y92" s="354">
        <v>12518.999999999998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O94" si="91">COUNTIF(AA14:AA92,"&gt;0")/$B$10</f>
        <v>0.647887323943662</v>
      </c>
      <c r="AB94" s="193">
        <f t="shared" si="91"/>
        <v>0.3380281690140845</v>
      </c>
      <c r="AC94" s="193">
        <f t="shared" ref="AC94" si="92">COUNTIF(AC14:AC92,"&gt;0")/$B$10</f>
        <v>0.60563380281690138</v>
      </c>
      <c r="AD94" s="193">
        <f t="shared" si="91"/>
        <v>0.38028169014084506</v>
      </c>
      <c r="AE94" s="193">
        <f t="shared" si="91"/>
        <v>0.49295774647887325</v>
      </c>
      <c r="AF94" s="193">
        <f t="shared" si="91"/>
        <v>0.36619718309859156</v>
      </c>
      <c r="AG94" s="193">
        <f t="shared" si="91"/>
        <v>0.47887323943661969</v>
      </c>
      <c r="AH94" s="193">
        <f t="shared" si="91"/>
        <v>0.46478873239436619</v>
      </c>
      <c r="AI94" s="193">
        <f t="shared" ref="AI94" si="93">COUNTIF(AI14:AI92,"&gt;0")/$B$10</f>
        <v>0.52112676056338025</v>
      </c>
      <c r="AJ94" s="193">
        <f t="shared" si="91"/>
        <v>0.53521126760563376</v>
      </c>
      <c r="AK94" s="193">
        <f t="shared" si="91"/>
        <v>0.54929577464788737</v>
      </c>
      <c r="AL94" s="193">
        <f t="shared" si="91"/>
        <v>0.47887323943661969</v>
      </c>
      <c r="AM94" s="193">
        <f t="shared" si="91"/>
        <v>0.42253521126760563</v>
      </c>
      <c r="AN94" s="193">
        <f t="shared" si="91"/>
        <v>0.49295774647887325</v>
      </c>
      <c r="AO94" s="193">
        <f t="shared" si="91"/>
        <v>0.50704225352112675</v>
      </c>
      <c r="AP94" s="193">
        <f t="shared" ref="AP94" si="94">COUNTIF(AP14:AP92,"&gt;0")/$B$10</f>
        <v>0.47887323943661969</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1294</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1" t="str">
        <f t="shared" ref="Z1:AO1" si="2">Z12</f>
        <v>MAX ACC 101% PNL 128722</v>
      </c>
      <c r="AA1" s="332" t="str">
        <f t="shared" si="2"/>
        <v>RISK-ON ACC 72% PNL 87496</v>
      </c>
      <c r="AB1" s="332" t="str">
        <f t="shared" si="2"/>
        <v>RISK-OFF ACC 30% PNL -87496</v>
      </c>
      <c r="AC1" s="332" t="str">
        <f t="shared" ref="AC1" si="3">AC12</f>
        <v>Previous ACC 62% PNL 40638</v>
      </c>
      <c r="AD1" s="295" t="str">
        <f t="shared" si="2"/>
        <v>Anti-Previous ACC 39% PNL -40638</v>
      </c>
      <c r="AE1" s="333" t="str">
        <f t="shared" si="2"/>
        <v>&gt;equity ACC 41% PNL -10004</v>
      </c>
      <c r="AF1" s="333" t="str">
        <f t="shared" si="2"/>
        <v>50/50 ACC 59% PNL 22869</v>
      </c>
      <c r="AG1" s="333" t="str">
        <f t="shared" si="2"/>
        <v>&lt;equity ACC 61% PNL 26575</v>
      </c>
      <c r="AH1" s="334" t="str">
        <f t="shared" si="2"/>
        <v>SEASONALITY ACC 49% PNL -27803</v>
      </c>
      <c r="AI1" s="334" t="str">
        <f t="shared" si="2"/>
        <v>ANTI-SEASONALITY ACC 52% PNL 27803</v>
      </c>
      <c r="AJ1" s="334" t="str">
        <f t="shared" si="2"/>
        <v>ADJ_SEASONALITY ACC 31% PNL -33457</v>
      </c>
      <c r="AK1" s="335" t="str">
        <f t="shared" si="2"/>
        <v>V1 ACC 62% PNL 39355</v>
      </c>
      <c r="AL1" s="335" t="str">
        <f t="shared" si="2"/>
        <v>V2 ACC 28% PNL -47963</v>
      </c>
      <c r="AM1" s="335" t="str">
        <f t="shared" si="2"/>
        <v>V3 ACC 49% PNL 12817</v>
      </c>
      <c r="AN1" s="335" t="str">
        <f t="shared" si="2"/>
        <v>V4 ACC 44% PNL -2113</v>
      </c>
      <c r="AO1" s="335" t="str">
        <f t="shared" si="2"/>
        <v>V5 ACC 62% PNL 26082</v>
      </c>
      <c r="AP1" s="335" t="str">
        <f t="shared" ref="AP1" si="4">AP12</f>
        <v>V6 ACC 42% PNL -9034</v>
      </c>
    </row>
    <row r="2" spans="1:42" outlineLevel="1" x14ac:dyDescent="0.25">
      <c r="A2" t="s">
        <v>1121</v>
      </c>
      <c r="B2" s="95">
        <f>COUNTIF($C$14:$C$92,A2)</f>
        <v>9</v>
      </c>
      <c r="C2" s="193">
        <f>B2/$B$10</f>
        <v>0.12676056338028169</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2">
        <f t="shared" ref="K2:K9" si="9">SUMIF($C$14:$C$92,$A2,E$14:E$92)/$B2</f>
        <v>0.1111111111111111</v>
      </c>
      <c r="L2" s="342">
        <f t="shared" ref="L2:O9" si="10">SUMIF($C$14:$C$92,$A2,I$14:I$92)/$B2</f>
        <v>-0.1111111111111111</v>
      </c>
      <c r="M2" s="342">
        <f t="shared" si="10"/>
        <v>-0.1111111111111111</v>
      </c>
      <c r="N2" s="342">
        <f t="shared" si="10"/>
        <v>0.1111111111111111</v>
      </c>
      <c r="O2" s="342">
        <f t="shared" si="10"/>
        <v>-0.1111111111111111</v>
      </c>
      <c r="P2" s="342">
        <f t="shared" ref="P2:T9" si="11">SUMIF($C$14:$C$92,$A2,O$14:O$92)/$B2</f>
        <v>0.55555555555555558</v>
      </c>
      <c r="Q2" s="342">
        <f t="shared" si="11"/>
        <v>-0.1111111111111111</v>
      </c>
      <c r="R2" s="342">
        <f t="shared" si="11"/>
        <v>-0.1111111111111111</v>
      </c>
      <c r="S2" s="342">
        <f t="shared" si="11"/>
        <v>0.1111111111111111</v>
      </c>
      <c r="T2" s="342">
        <f t="shared" si="11"/>
        <v>-0.1111111111111111</v>
      </c>
      <c r="U2" s="342">
        <f t="shared" ref="U2:V2" si="12">SUMIF($C$14:$C$92,$A2,T$14:T$92)/$B2</f>
        <v>-0.33333333333333331</v>
      </c>
      <c r="V2" s="342">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8.4507042253521125E-2</v>
      </c>
      <c r="F3" s="294">
        <f t="shared" si="5"/>
        <v>0.33333333333333331</v>
      </c>
      <c r="G3" s="137">
        <f t="shared" si="6"/>
        <v>4595.8701539987514</v>
      </c>
      <c r="H3" s="143">
        <f t="shared" si="7"/>
        <v>765.97835899979191</v>
      </c>
      <c r="I3" s="186">
        <f t="shared" ref="I3:I9" si="16">SUMIF($C$14:$C$92,A3,F$14:F$92)/B3</f>
        <v>-194.36971399854534</v>
      </c>
      <c r="J3" t="str">
        <f t="shared" si="8"/>
        <v>energy</v>
      </c>
      <c r="K3" s="342">
        <f t="shared" si="9"/>
        <v>0.66666666666666663</v>
      </c>
      <c r="L3" s="342">
        <f t="shared" si="10"/>
        <v>-0.33333333333333331</v>
      </c>
      <c r="M3" s="342">
        <f t="shared" si="10"/>
        <v>0.66666666666666663</v>
      </c>
      <c r="N3" s="342">
        <f t="shared" si="10"/>
        <v>-0.33333333333333331</v>
      </c>
      <c r="O3" s="342">
        <f t="shared" si="10"/>
        <v>-0.33333333333333331</v>
      </c>
      <c r="P3" s="342">
        <f t="shared" si="11"/>
        <v>0.33333333333333331</v>
      </c>
      <c r="Q3" s="342">
        <f t="shared" si="11"/>
        <v>0.33333333333333331</v>
      </c>
      <c r="R3" s="342">
        <f t="shared" si="11"/>
        <v>0.33333333333333331</v>
      </c>
      <c r="S3" s="342">
        <f t="shared" si="11"/>
        <v>-0.33333333333333331</v>
      </c>
      <c r="T3" s="342">
        <f t="shared" si="11"/>
        <v>0.33333333333333331</v>
      </c>
      <c r="U3" s="342">
        <f t="shared" ref="U3:V3" si="17">SUMIF($C$14:$C$92,$A3,T$14:T$92)/$B3</f>
        <v>0.66666666666666663</v>
      </c>
      <c r="V3" s="342">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0.14084507042253522</v>
      </c>
      <c r="F4" s="294">
        <f t="shared" si="5"/>
        <v>0.7</v>
      </c>
      <c r="G4" s="137">
        <f t="shared" si="6"/>
        <v>11092.225036973481</v>
      </c>
      <c r="H4" s="143">
        <f t="shared" si="7"/>
        <v>1109.2225036973482</v>
      </c>
      <c r="I4" s="186">
        <f t="shared" si="16"/>
        <v>938.28507344718741</v>
      </c>
      <c r="J4" t="str">
        <f t="shared" si="8"/>
        <v>grain</v>
      </c>
      <c r="K4" s="342">
        <f t="shared" si="9"/>
        <v>-0.4</v>
      </c>
      <c r="L4" s="342">
        <f t="shared" si="10"/>
        <v>-0.2</v>
      </c>
      <c r="M4" s="342">
        <f t="shared" si="10"/>
        <v>-0.2</v>
      </c>
      <c r="N4" s="342">
        <f t="shared" si="10"/>
        <v>-0.4</v>
      </c>
      <c r="O4" s="342">
        <f t="shared" si="10"/>
        <v>0.6</v>
      </c>
      <c r="P4" s="342">
        <f t="shared" si="11"/>
        <v>0</v>
      </c>
      <c r="Q4" s="342">
        <f t="shared" si="11"/>
        <v>-0.4</v>
      </c>
      <c r="R4" s="342">
        <f t="shared" si="11"/>
        <v>-0.2</v>
      </c>
      <c r="S4" s="342">
        <f t="shared" si="11"/>
        <v>-0.4</v>
      </c>
      <c r="T4" s="342">
        <f t="shared" si="11"/>
        <v>-0.6</v>
      </c>
      <c r="U4" s="342">
        <f t="shared" ref="U4:V4" si="18">SUMIF($C$14:$C$92,$A4,T$14:T$92)/$B4</f>
        <v>-0.2</v>
      </c>
      <c r="V4" s="342">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0.29577464788732394</v>
      </c>
      <c r="F5" s="294">
        <f t="shared" si="5"/>
        <v>0.90476190476190477</v>
      </c>
      <c r="G5" s="137">
        <f t="shared" si="6"/>
        <v>52422.55229286947</v>
      </c>
      <c r="H5" s="143">
        <f t="shared" si="7"/>
        <v>2496.3120139461653</v>
      </c>
      <c r="I5" s="186">
        <f t="shared" si="16"/>
        <v>2331.4038320519558</v>
      </c>
      <c r="J5" t="str">
        <f t="shared" si="8"/>
        <v>index</v>
      </c>
      <c r="K5" s="342">
        <f t="shared" si="9"/>
        <v>0.80952380952380953</v>
      </c>
      <c r="L5" s="342">
        <f t="shared" si="10"/>
        <v>0.23809523809523808</v>
      </c>
      <c r="M5" s="342">
        <f t="shared" si="10"/>
        <v>4.7619047619047616E-2</v>
      </c>
      <c r="N5" s="342">
        <f t="shared" si="10"/>
        <v>0.33333333333333331</v>
      </c>
      <c r="O5" s="342">
        <f t="shared" si="10"/>
        <v>-0.23809523809523808</v>
      </c>
      <c r="P5" s="342">
        <f t="shared" si="11"/>
        <v>-0.23809523809523808</v>
      </c>
      <c r="Q5" s="342">
        <f t="shared" si="11"/>
        <v>0.7142857142857143</v>
      </c>
      <c r="R5" s="342">
        <f t="shared" si="11"/>
        <v>-0.61904761904761907</v>
      </c>
      <c r="S5" s="342">
        <f t="shared" si="11"/>
        <v>-0.14285714285714285</v>
      </c>
      <c r="T5" s="342">
        <f t="shared" si="11"/>
        <v>-0.23809523809523808</v>
      </c>
      <c r="U5" s="342">
        <f t="shared" ref="U5:V5" si="19">SUMIF($C$14:$C$92,$A5,T$14:T$92)/$B5</f>
        <v>0.33333333333333331</v>
      </c>
      <c r="V5" s="342">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4.2253521126760563E-2</v>
      </c>
      <c r="F6" s="294">
        <f t="shared" si="5"/>
        <v>0.66666666666666663</v>
      </c>
      <c r="G6" s="137">
        <f t="shared" si="6"/>
        <v>3226.6462385931673</v>
      </c>
      <c r="H6" s="143">
        <f t="shared" si="7"/>
        <v>1075.5487461977225</v>
      </c>
      <c r="I6" s="186">
        <f t="shared" si="16"/>
        <v>862.94475759394629</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-0.33333333333333331</v>
      </c>
      <c r="Q6" s="342">
        <f t="shared" si="11"/>
        <v>0.33333333333333331</v>
      </c>
      <c r="R6" s="342">
        <f t="shared" si="11"/>
        <v>-0.33333333333333331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7.0422535211267609E-2</v>
      </c>
      <c r="F7" s="294">
        <f t="shared" si="5"/>
        <v>0</v>
      </c>
      <c r="G7" s="137">
        <f t="shared" si="6"/>
        <v>11795.283072483158</v>
      </c>
      <c r="H7" s="143">
        <f t="shared" si="7"/>
        <v>2359.0566144966315</v>
      </c>
      <c r="I7" s="186">
        <f t="shared" si="16"/>
        <v>-2359.0566144966315</v>
      </c>
      <c r="J7" t="str">
        <f t="shared" si="8"/>
        <v>metal</v>
      </c>
      <c r="K7" s="342">
        <f t="shared" si="9"/>
        <v>-0.6</v>
      </c>
      <c r="L7" s="342">
        <f t="shared" si="10"/>
        <v>-0.6</v>
      </c>
      <c r="M7" s="342">
        <f t="shared" si="10"/>
        <v>-0.2</v>
      </c>
      <c r="N7" s="342">
        <f t="shared" si="10"/>
        <v>-0.2</v>
      </c>
      <c r="O7" s="342">
        <f t="shared" si="10"/>
        <v>-0.6</v>
      </c>
      <c r="P7" s="342">
        <f t="shared" si="11"/>
        <v>0.2</v>
      </c>
      <c r="Q7" s="342">
        <f t="shared" si="11"/>
        <v>-0.2</v>
      </c>
      <c r="R7" s="342">
        <f t="shared" si="11"/>
        <v>0.6</v>
      </c>
      <c r="S7" s="342">
        <f t="shared" si="11"/>
        <v>0.6</v>
      </c>
      <c r="T7" s="342">
        <f t="shared" si="11"/>
        <v>0.6</v>
      </c>
      <c r="U7" s="342">
        <f t="shared" ref="U7:V7" si="21">SUMIF($C$14:$C$92,$A7,T$14:T$92)/$B7</f>
        <v>-0.2</v>
      </c>
      <c r="V7" s="342">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0.14084507042253522</v>
      </c>
      <c r="F8" s="294">
        <f t="shared" si="5"/>
        <v>0.3</v>
      </c>
      <c r="G8" s="137">
        <f t="shared" si="6"/>
        <v>20505.124605270925</v>
      </c>
      <c r="H8" s="143">
        <f t="shared" si="7"/>
        <v>2050.5124605270926</v>
      </c>
      <c r="I8" s="186">
        <f t="shared" si="16"/>
        <v>-1288.6885366297524</v>
      </c>
      <c r="J8" t="str">
        <f t="shared" si="8"/>
        <v>rates</v>
      </c>
      <c r="K8" s="342">
        <f t="shared" si="9"/>
        <v>0.4</v>
      </c>
      <c r="L8" s="342">
        <f t="shared" si="10"/>
        <v>0</v>
      </c>
      <c r="M8" s="342">
        <f t="shared" si="10"/>
        <v>0.2</v>
      </c>
      <c r="N8" s="342">
        <f t="shared" si="10"/>
        <v>0.2</v>
      </c>
      <c r="O8" s="342">
        <f t="shared" si="10"/>
        <v>1</v>
      </c>
      <c r="P8" s="342">
        <f t="shared" si="11"/>
        <v>0.2</v>
      </c>
      <c r="Q8" s="342">
        <f t="shared" si="11"/>
        <v>-0.2</v>
      </c>
      <c r="R8" s="342">
        <f t="shared" si="11"/>
        <v>0</v>
      </c>
      <c r="S8" s="342">
        <f t="shared" si="11"/>
        <v>-0.8</v>
      </c>
      <c r="T8" s="342">
        <f t="shared" si="11"/>
        <v>-0.6</v>
      </c>
      <c r="U8" s="342">
        <f t="shared" ref="U8:V8" si="22">SUMIF($C$14:$C$92,$A8,T$14:T$92)/$B8</f>
        <v>-0.2</v>
      </c>
      <c r="V8" s="342">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7</v>
      </c>
      <c r="C9" s="200">
        <f t="shared" si="15"/>
        <v>9.8591549295774641E-2</v>
      </c>
      <c r="D9" s="126"/>
      <c r="F9" s="294">
        <f t="shared" si="5"/>
        <v>1</v>
      </c>
      <c r="G9" s="199">
        <f t="shared" si="6"/>
        <v>12039.189386950911</v>
      </c>
      <c r="H9" s="143">
        <f t="shared" si="7"/>
        <v>1719.8841981358444</v>
      </c>
      <c r="I9" s="186">
        <f t="shared" si="16"/>
        <v>1719.8841981358444</v>
      </c>
      <c r="J9" t="str">
        <f t="shared" si="8"/>
        <v>soft</v>
      </c>
      <c r="K9" s="342">
        <f t="shared" si="9"/>
        <v>0.42857142857142855</v>
      </c>
      <c r="L9" s="342">
        <f t="shared" si="10"/>
        <v>0.14285714285714285</v>
      </c>
      <c r="M9" s="342">
        <f t="shared" si="10"/>
        <v>-0.14285714285714285</v>
      </c>
      <c r="N9" s="342">
        <f t="shared" si="10"/>
        <v>0.42857142857142855</v>
      </c>
      <c r="O9" s="342">
        <f t="shared" si="10"/>
        <v>-0.42857142857142855</v>
      </c>
      <c r="P9" s="342">
        <f t="shared" si="11"/>
        <v>0.42857142857142855</v>
      </c>
      <c r="Q9" s="342">
        <f t="shared" si="11"/>
        <v>0.42857142857142855</v>
      </c>
      <c r="R9" s="342">
        <f t="shared" si="11"/>
        <v>-0.14285714285714285</v>
      </c>
      <c r="S9" s="342">
        <f t="shared" si="11"/>
        <v>0.14285714285714285</v>
      </c>
      <c r="T9" s="342">
        <f t="shared" si="11"/>
        <v>0.14285714285714285</v>
      </c>
      <c r="U9" s="342">
        <f t="shared" ref="U9:V9" si="23">SUMIF($C$14:$C$92,$A9,T$14:T$92)/$B9</f>
        <v>-0.14285714285714285</v>
      </c>
      <c r="V9" s="342">
        <f t="shared" si="23"/>
        <v>-0.14285714285714285</v>
      </c>
      <c r="W9" s="286"/>
      <c r="X9" s="6"/>
      <c r="Y9" s="17" t="s">
        <v>304</v>
      </c>
      <c r="Z9" s="283">
        <f t="shared" si="13"/>
        <v>12039.189386950911</v>
      </c>
      <c r="AA9" s="283">
        <f t="shared" si="13"/>
        <v>12039.189386950911</v>
      </c>
      <c r="AB9" s="283">
        <f t="shared" si="13"/>
        <v>-12039.189386950911</v>
      </c>
      <c r="AC9" s="283">
        <f t="shared" si="13"/>
        <v>8651.9471097636979</v>
      </c>
      <c r="AD9" s="283">
        <f t="shared" si="13"/>
        <v>-8651.9471097636979</v>
      </c>
      <c r="AE9" s="283">
        <f t="shared" si="13"/>
        <v>1695.406498353183</v>
      </c>
      <c r="AF9" s="283">
        <f t="shared" si="13"/>
        <v>7711.5689349072381</v>
      </c>
      <c r="AG9" s="283">
        <f t="shared" si="13"/>
        <v>8674.7389954475075</v>
      </c>
      <c r="AH9" s="283">
        <f t="shared" si="13"/>
        <v>-10474.330374967292</v>
      </c>
      <c r="AI9" s="283">
        <f t="shared" si="13"/>
        <v>10474.330374967292</v>
      </c>
      <c r="AJ9" s="283">
        <f t="shared" si="13"/>
        <v>3662.7644948849302</v>
      </c>
      <c r="AK9" s="283">
        <f t="shared" si="13"/>
        <v>10474.330374967292</v>
      </c>
      <c r="AL9" s="283">
        <f t="shared" si="13"/>
        <v>-5116.1593817291778</v>
      </c>
      <c r="AM9" s="283">
        <f t="shared" si="13"/>
        <v>7711.5689349072381</v>
      </c>
      <c r="AN9" s="283">
        <f t="shared" si="13"/>
        <v>7711.5689349072381</v>
      </c>
      <c r="AO9" s="283">
        <f t="shared" si="13"/>
        <v>-900.00305482487647</v>
      </c>
      <c r="AP9" s="283">
        <f t="shared" si="13"/>
        <v>1695.406498353183</v>
      </c>
    </row>
    <row r="10" spans="1:42" outlineLevel="1" x14ac:dyDescent="0.25">
      <c r="B10">
        <f>SUM(B2:B9)</f>
        <v>71</v>
      </c>
      <c r="C10" s="193">
        <f t="shared" si="15"/>
        <v>1</v>
      </c>
      <c r="D10" s="126"/>
      <c r="F10" s="294">
        <f>SUMIFS(H$14:H$92,H$14:H$92,1,$C$14:$C$92,"&lt;&gt;offline")/$B10</f>
        <v>0.59154929577464788</v>
      </c>
      <c r="G10" s="167">
        <f>SUM(G2:G9)</f>
        <v>128722.0362438844</v>
      </c>
      <c r="H10" s="143">
        <f t="shared" si="7"/>
        <v>1812.9864259702028</v>
      </c>
      <c r="I10" s="186">
        <f>SUM(F14:F92)/B10</f>
        <v>610.25320806219111</v>
      </c>
      <c r="J10" s="137"/>
      <c r="K10" s="6"/>
      <c r="L10" s="292"/>
      <c r="M10" s="286"/>
      <c r="N10" s="292"/>
      <c r="O10" s="6"/>
      <c r="R10" s="6"/>
      <c r="S10" s="286"/>
      <c r="T10" s="286"/>
      <c r="U10" s="286"/>
      <c r="V10" s="6"/>
      <c r="W10" s="286"/>
      <c r="X10" s="6"/>
      <c r="Y10" s="6" t="s">
        <v>1245</v>
      </c>
      <c r="Z10" s="284">
        <f>SUM(Z2:Z9)</f>
        <v>128722.0362438844</v>
      </c>
      <c r="AA10" s="284">
        <f t="shared" ref="AA10:AO10" si="24">SUM(AA2:AA9)</f>
        <v>87496.21668234792</v>
      </c>
      <c r="AB10" s="284">
        <f t="shared" si="24"/>
        <v>-87496.21668234792</v>
      </c>
      <c r="AC10" s="284">
        <f t="shared" si="24"/>
        <v>40637.768117137537</v>
      </c>
      <c r="AD10" s="284">
        <f t="shared" si="24"/>
        <v>-40637.768117137537</v>
      </c>
      <c r="AE10" s="284">
        <f t="shared" si="24"/>
        <v>-10003.968043263878</v>
      </c>
      <c r="AF10" s="284">
        <f t="shared" si="24"/>
        <v>22869.210318837369</v>
      </c>
      <c r="AG10" s="284">
        <f t="shared" si="24"/>
        <v>26574.923629349967</v>
      </c>
      <c r="AH10" s="284">
        <f t="shared" si="24"/>
        <v>-27803.464679804561</v>
      </c>
      <c r="AI10" s="284">
        <f t="shared" ref="AI10" si="25">SUM(AI2:AI9)</f>
        <v>27803.464679804561</v>
      </c>
      <c r="AJ10" s="284">
        <f t="shared" si="24"/>
        <v>-33456.512956423714</v>
      </c>
      <c r="AK10" s="284">
        <f t="shared" si="24"/>
        <v>39355.487438042139</v>
      </c>
      <c r="AL10" s="284">
        <f t="shared" si="24"/>
        <v>-47963.465587219769</v>
      </c>
      <c r="AM10" s="284">
        <f t="shared" si="24"/>
        <v>12816.643105173011</v>
      </c>
      <c r="AN10" s="284">
        <f t="shared" si="24"/>
        <v>-2112.9916782971632</v>
      </c>
      <c r="AO10" s="284">
        <f t="shared" si="24"/>
        <v>26081.643310227835</v>
      </c>
      <c r="AP10" s="284">
        <f t="shared" ref="AP10" si="26">SUM(AP2:AP9)</f>
        <v>-9034.1394468848957</v>
      </c>
    </row>
    <row r="11" spans="1:42" outlineLevel="1" x14ac:dyDescent="0.25">
      <c r="H11" t="s">
        <v>1158</v>
      </c>
      <c r="I11" s="95">
        <v>0.75</v>
      </c>
      <c r="J11">
        <v>0.5</v>
      </c>
      <c r="K11">
        <v>1</v>
      </c>
      <c r="X11" t="s">
        <v>1281</v>
      </c>
      <c r="Y11" s="110">
        <v>2580.4837160603356</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1286</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101% PNL 128722</v>
      </c>
      <c r="AA12" s="308" t="str">
        <f t="shared" si="27"/>
        <v>RISK-ON ACC 72% PNL 87496</v>
      </c>
      <c r="AB12" s="308" t="str">
        <f t="shared" si="27"/>
        <v>RISK-OFF ACC 30% PNL -87496</v>
      </c>
      <c r="AC12" s="308" t="str">
        <f t="shared" si="27"/>
        <v>Previous ACC 62% PNL 40638</v>
      </c>
      <c r="AD12" s="337" t="str">
        <f t="shared" si="27"/>
        <v>Anti-Previous ACC 39% PNL -40638</v>
      </c>
      <c r="AE12" s="338" t="str">
        <f t="shared" si="27"/>
        <v>&gt;equity ACC 41% PNL -10004</v>
      </c>
      <c r="AF12" s="338" t="str">
        <f t="shared" si="27"/>
        <v>50/50 ACC 59% PNL 22869</v>
      </c>
      <c r="AG12" s="338" t="str">
        <f t="shared" si="27"/>
        <v>&lt;equity ACC 61% PNL 26575</v>
      </c>
      <c r="AH12" s="339" t="str">
        <f t="shared" si="27"/>
        <v>SEASONALITY ACC 49% PNL -27803</v>
      </c>
      <c r="AI12" s="339" t="str">
        <f t="shared" si="27"/>
        <v>ANTI-SEASONALITY ACC 52% PNL 27803</v>
      </c>
      <c r="AJ12" s="339" t="str">
        <f t="shared" si="27"/>
        <v>ADJ_SEASONALITY ACC 31% PNL -33457</v>
      </c>
      <c r="AK12" s="340" t="str">
        <f t="shared" si="27"/>
        <v>V1 ACC 62% PNL 39355</v>
      </c>
      <c r="AL12" s="340" t="str">
        <f t="shared" si="27"/>
        <v>V2 ACC 28% PNL -47963</v>
      </c>
      <c r="AM12" s="340" t="str">
        <f t="shared" si="27"/>
        <v>V3 ACC 49% PNL 12817</v>
      </c>
      <c r="AN12" s="340" t="str">
        <f t="shared" si="27"/>
        <v>V4 ACC 44% PNL -2113</v>
      </c>
      <c r="AO12" s="340" t="str">
        <f t="shared" si="27"/>
        <v>V5 ACC 62% PNL 26082</v>
      </c>
      <c r="AP12" s="340" t="str">
        <f t="shared" ref="AP12" si="28">AP93&amp;" ACC "&amp;ROUND(AP94,2)*100&amp;"% PNL "&amp;ROUND(AP10,0)</f>
        <v>V6 ACC 42% PNL -9034</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858300.99064841692</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28" t="s">
        <v>287</v>
      </c>
      <c r="B14" s="329" t="s">
        <v>558</v>
      </c>
      <c r="C14" s="330" t="s">
        <v>1285</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7968</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H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21726.143999999997</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4685</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8889</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137">
        <v>83562.5</v>
      </c>
      <c r="Y19" s="137">
        <v>13500</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120840</v>
      </c>
      <c r="Y20" s="137">
        <v>9000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10428</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28" t="s">
        <v>307</v>
      </c>
      <c r="B22" s="329" t="s">
        <v>484</v>
      </c>
      <c r="C22" s="330" t="s">
        <v>1285</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9180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4503</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21792</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14804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12992.099999999999</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13327.38</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28" t="s">
        <v>320</v>
      </c>
      <c r="B29" s="329" t="s">
        <v>564</v>
      </c>
      <c r="C29" s="330" t="s">
        <v>1285</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14250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15750</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8436</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2449.7791999999999</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17434.559999999998</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28" t="s">
        <v>335</v>
      </c>
      <c r="B36" s="329" t="s">
        <v>568</v>
      </c>
      <c r="C36" s="330" t="s">
        <v>1285</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16638.4218</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15369.6543</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28" t="s">
        <v>341</v>
      </c>
      <c r="B39" s="329" t="s">
        <v>453</v>
      </c>
      <c r="C39" s="330" t="s">
        <v>1285</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7000</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11250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15115.9793814433</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107700</v>
      </c>
      <c r="Y43" s="137">
        <v>5750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25265.463917525773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11970</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7894</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15000</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82350</v>
      </c>
      <c r="Y48" s="137">
        <v>7000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330" t="s">
        <v>1285</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0</v>
      </c>
      <c r="W49">
        <v>1</v>
      </c>
      <c r="X49" s="137">
        <v>106458</v>
      </c>
      <c r="Y49" s="137">
        <v>7311</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6750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10000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8800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93280</v>
      </c>
      <c r="Y53" s="137">
        <v>6000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10</v>
      </c>
      <c r="W54">
        <v>1</v>
      </c>
      <c r="X54" s="137">
        <v>145840</v>
      </c>
      <c r="Y54" s="137">
        <v>15640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8312</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9572</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25145.999999999996</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18496</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17875</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9054</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6495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12500</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15000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6750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4376</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10500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6192</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12236</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6850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102397.9359538625</v>
      </c>
      <c r="Y70" s="137">
        <v>4299.8239032233369</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15250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12000</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33606</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1296</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6756</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744891.94499017682</v>
      </c>
      <c r="Y76" s="137">
        <v>1975.1135690302192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3</v>
      </c>
      <c r="W77">
        <v>1</v>
      </c>
      <c r="X77" s="137">
        <v>66280</v>
      </c>
      <c r="Y77" s="137">
        <v>12000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26336.136177194425</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6246.24</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H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11250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16205.199999999997</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13500</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2405906.25</v>
      </c>
      <c r="Y83" s="137">
        <v>8244</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6248</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9124</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26148</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14000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19499.594399999998</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28" t="s">
        <v>1054</v>
      </c>
      <c r="B89" s="329" t="s">
        <v>463</v>
      </c>
      <c r="C89" s="330" t="s">
        <v>1285</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16248</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12326.4</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12518.999999999998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s="186" t="s">
        <v>1258</v>
      </c>
      <c r="AP93" s="186" t="s">
        <v>1297</v>
      </c>
    </row>
    <row r="94" spans="1:42" x14ac:dyDescent="0.25">
      <c r="Y94" t="s">
        <v>1284</v>
      </c>
      <c r="Z94" s="193">
        <f>COUNTIF(Z14:Z92,"&gt;0")/$B$10</f>
        <v>1.0140845070422535</v>
      </c>
      <c r="AA94" s="193">
        <f t="shared" ref="AA94:AO94" si="91">COUNTIF(AA14:AA92,"&gt;0")/$B$10</f>
        <v>0.71830985915492962</v>
      </c>
      <c r="AB94" s="193">
        <f t="shared" si="91"/>
        <v>0.29577464788732394</v>
      </c>
      <c r="AC94" s="193">
        <f t="shared" ref="AC94" si="92">COUNTIF(AC14:AC92,"&gt;0")/$B$10</f>
        <v>0.61971830985915488</v>
      </c>
      <c r="AD94" s="193">
        <f t="shared" si="91"/>
        <v>0.39436619718309857</v>
      </c>
      <c r="AE94" s="193">
        <f t="shared" si="91"/>
        <v>0.40845070422535212</v>
      </c>
      <c r="AF94" s="193">
        <f t="shared" si="91"/>
        <v>0.59154929577464788</v>
      </c>
      <c r="AG94" s="193">
        <f t="shared" si="91"/>
        <v>0.60563380281690138</v>
      </c>
      <c r="AH94" s="193">
        <f t="shared" si="91"/>
        <v>0.49295774647887325</v>
      </c>
      <c r="AI94" s="193">
        <f t="shared" ref="AI94" si="93">COUNTIF(AI14:AI92,"&gt;0")/$B$10</f>
        <v>0.52112676056338025</v>
      </c>
      <c r="AJ94" s="193">
        <f t="shared" si="91"/>
        <v>0.30985915492957744</v>
      </c>
      <c r="AK94" s="193">
        <f t="shared" si="91"/>
        <v>0.61971830985915488</v>
      </c>
      <c r="AL94" s="193">
        <f t="shared" si="91"/>
        <v>0.28169014084507044</v>
      </c>
      <c r="AM94" s="193">
        <f t="shared" si="91"/>
        <v>0.49295774647887325</v>
      </c>
      <c r="AN94" s="193">
        <f t="shared" si="91"/>
        <v>0.43661971830985913</v>
      </c>
      <c r="AO94" s="193">
        <f t="shared" si="91"/>
        <v>0.61971830985915488</v>
      </c>
      <c r="AP94" s="193">
        <f t="shared" ref="AP94" si="94">COUNTIF(AP14:AP92,"&gt;0")/$B$10</f>
        <v>0.42253521126760563</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1294</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1" t="str">
        <f t="shared" ref="Z1:AO1" si="2">Z12</f>
        <v>MAX ACC 101% PNL 90808</v>
      </c>
      <c r="AA1" s="332" t="str">
        <f t="shared" si="2"/>
        <v>RISK-ON ACC 63% PNL 15386</v>
      </c>
      <c r="AB1" s="332" t="str">
        <f t="shared" si="2"/>
        <v>RISK-OFF ACC 38% PNL -15386</v>
      </c>
      <c r="AC1" s="332" t="str">
        <f t="shared" ref="AC1" si="3">AC12</f>
        <v>Previous ACC 62% PNL 23809</v>
      </c>
      <c r="AD1" s="295" t="str">
        <f t="shared" si="2"/>
        <v>Anti-Previous ACC 39% PNL -23809</v>
      </c>
      <c r="AE1" s="333" t="str">
        <f t="shared" si="2"/>
        <v>&gt;equity ACC 63% PNL 27846</v>
      </c>
      <c r="AF1" s="333" t="str">
        <f t="shared" si="2"/>
        <v>50/50 ACC 49% PNL 3640</v>
      </c>
      <c r="AG1" s="333" t="str">
        <f t="shared" si="2"/>
        <v>&lt;equity ACC 49% PNL -3919</v>
      </c>
      <c r="AH1" s="334" t="str">
        <f t="shared" si="2"/>
        <v>SEASONALITY ACC 41% PNL -6127</v>
      </c>
      <c r="AI1" s="334" t="str">
        <f t="shared" si="2"/>
        <v>ANTI-SEASONALITY ACC 61% PNL 6127</v>
      </c>
      <c r="AJ1" s="334" t="str">
        <f t="shared" si="2"/>
        <v>ADJ_SEASONALITY ACC 51% PNL 27121</v>
      </c>
      <c r="AK1" s="335" t="str">
        <f t="shared" si="2"/>
        <v>V1 ACC 61% PNL 12917</v>
      </c>
      <c r="AL1" s="335" t="str">
        <f t="shared" si="2"/>
        <v>V2 ACC 51% PNL 15581</v>
      </c>
      <c r="AM1" s="335" t="str">
        <f t="shared" si="2"/>
        <v>V3 ACC 51% PNL -4918</v>
      </c>
      <c r="AN1" s="335" t="str">
        <f t="shared" si="2"/>
        <v>V4 ACC 54% PNL 16458</v>
      </c>
      <c r="AO1" s="335" t="str">
        <f t="shared" si="2"/>
        <v>V5 ACC 55% PNL -10289</v>
      </c>
      <c r="AP1" s="335" t="str">
        <f t="shared" ref="AP1" si="4">AP12</f>
        <v>V6 ACC 56% PNL -2041</v>
      </c>
    </row>
    <row r="2" spans="1:42" outlineLevel="1" x14ac:dyDescent="0.25">
      <c r="A2" t="s">
        <v>1121</v>
      </c>
      <c r="B2" s="95">
        <f>COUNTIF($C$14:$C$92,A2)</f>
        <v>9</v>
      </c>
      <c r="C2" s="193">
        <f>B2/$B$10</f>
        <v>0.12676056338028169</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2">
        <f t="shared" ref="K2:K9" si="9">SUMIF($C$14:$C$92,$A2,E$14:E$92)/$B2</f>
        <v>-0.33333333333333331</v>
      </c>
      <c r="L2" s="342">
        <f t="shared" ref="L2:O9" si="10">SUMIF($C$14:$C$92,$A2,I$14:I$92)/$B2</f>
        <v>-0.1111111111111111</v>
      </c>
      <c r="M2" s="342">
        <f t="shared" si="10"/>
        <v>-0.33333333333333331</v>
      </c>
      <c r="N2" s="342">
        <f t="shared" si="10"/>
        <v>0.33333333333333331</v>
      </c>
      <c r="O2" s="342">
        <f t="shared" si="10"/>
        <v>-0.1111111111111111</v>
      </c>
      <c r="P2" s="342">
        <f t="shared" ref="P2:T9" si="11">SUMIF($C$14:$C$92,$A2,O$14:O$92)/$B2</f>
        <v>0.55555555555555558</v>
      </c>
      <c r="Q2" s="342">
        <f t="shared" si="11"/>
        <v>0.1111111111111111</v>
      </c>
      <c r="R2" s="342">
        <f t="shared" si="11"/>
        <v>0.1111111111111111</v>
      </c>
      <c r="S2" s="342">
        <f t="shared" si="11"/>
        <v>0.1111111111111111</v>
      </c>
      <c r="T2" s="342">
        <f t="shared" si="11"/>
        <v>-0.1111111111111111</v>
      </c>
      <c r="U2" s="342">
        <f t="shared" ref="U2:V2" si="12">SUMIF($C$14:$C$92,$A2,T$14:T$92)/$B2</f>
        <v>-0.77777777777777779</v>
      </c>
      <c r="V2" s="342">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8.4507042253521125E-2</v>
      </c>
      <c r="F3" s="294">
        <f t="shared" si="5"/>
        <v>0.83333333333333337</v>
      </c>
      <c r="G3" s="137">
        <f t="shared" si="6"/>
        <v>10275.201833185052</v>
      </c>
      <c r="H3" s="143">
        <f t="shared" si="7"/>
        <v>1712.5336388641754</v>
      </c>
      <c r="I3" s="186">
        <f t="shared" ref="I3:I9" si="16">SUMIF($C$14:$C$92,A3,F$14:F$92)/B3</f>
        <v>1662.6216980400065</v>
      </c>
      <c r="J3" t="str">
        <f t="shared" si="8"/>
        <v>energy</v>
      </c>
      <c r="K3" s="342">
        <f t="shared" si="9"/>
        <v>1</v>
      </c>
      <c r="L3" s="342">
        <f t="shared" si="10"/>
        <v>-0.33333333333333331</v>
      </c>
      <c r="M3" s="342">
        <f t="shared" si="10"/>
        <v>0.33333333333333331</v>
      </c>
      <c r="N3" s="342">
        <f t="shared" si="10"/>
        <v>-0.33333333333333331</v>
      </c>
      <c r="O3" s="342">
        <f t="shared" si="10"/>
        <v>-0.33333333333333331</v>
      </c>
      <c r="P3" s="342">
        <f t="shared" si="11"/>
        <v>0.33333333333333331</v>
      </c>
      <c r="Q3" s="342">
        <f t="shared" si="11"/>
        <v>0.33333333333333331</v>
      </c>
      <c r="R3" s="342">
        <f t="shared" si="11"/>
        <v>0</v>
      </c>
      <c r="S3" s="342">
        <f t="shared" si="11"/>
        <v>-0.33333333333333331</v>
      </c>
      <c r="T3" s="342">
        <f t="shared" si="11"/>
        <v>0.33333333333333331</v>
      </c>
      <c r="U3" s="342">
        <f t="shared" ref="U3:V3" si="17">SUMIF($C$14:$C$92,$A3,T$14:T$92)/$B3</f>
        <v>0.66666666666666663</v>
      </c>
      <c r="V3" s="342">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0.14084507042253522</v>
      </c>
      <c r="F4" s="294">
        <f t="shared" si="5"/>
        <v>0.3</v>
      </c>
      <c r="G4" s="137">
        <f t="shared" si="6"/>
        <v>9275.8703081128642</v>
      </c>
      <c r="H4" s="143">
        <f t="shared" si="7"/>
        <v>927.58703081128647</v>
      </c>
      <c r="I4" s="186">
        <f t="shared" si="16"/>
        <v>-728.37961045965255</v>
      </c>
      <c r="J4" t="str">
        <f t="shared" si="8"/>
        <v>grain</v>
      </c>
      <c r="K4" s="342">
        <f t="shared" si="9"/>
        <v>0.2</v>
      </c>
      <c r="L4" s="342">
        <f t="shared" si="10"/>
        <v>0</v>
      </c>
      <c r="M4" s="342">
        <f t="shared" si="10"/>
        <v>0.2</v>
      </c>
      <c r="N4" s="342">
        <f t="shared" si="10"/>
        <v>-0.2</v>
      </c>
      <c r="O4" s="342">
        <f t="shared" si="10"/>
        <v>0.6</v>
      </c>
      <c r="P4" s="342">
        <f t="shared" si="11"/>
        <v>0</v>
      </c>
      <c r="Q4" s="342">
        <f t="shared" si="11"/>
        <v>-0.2</v>
      </c>
      <c r="R4" s="342">
        <f t="shared" si="11"/>
        <v>0</v>
      </c>
      <c r="S4" s="342">
        <f t="shared" si="11"/>
        <v>-0.4</v>
      </c>
      <c r="T4" s="342">
        <f t="shared" si="11"/>
        <v>-0.4</v>
      </c>
      <c r="U4" s="342">
        <f t="shared" ref="U4:V4" si="18">SUMIF($C$14:$C$92,$A4,T$14:T$92)/$B4</f>
        <v>0</v>
      </c>
      <c r="V4" s="342">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0.29577464788732394</v>
      </c>
      <c r="F5" s="294">
        <f t="shared" si="5"/>
        <v>0.90476190476190477</v>
      </c>
      <c r="G5" s="137">
        <f t="shared" si="6"/>
        <v>24553.588433831534</v>
      </c>
      <c r="H5" s="143">
        <f t="shared" si="7"/>
        <v>1169.2184968491206</v>
      </c>
      <c r="I5" s="186">
        <f t="shared" si="16"/>
        <v>1048.719544359782</v>
      </c>
      <c r="J5" t="str">
        <f t="shared" si="8"/>
        <v>index</v>
      </c>
      <c r="K5" s="342">
        <f t="shared" si="9"/>
        <v>-0.14285714285714285</v>
      </c>
      <c r="L5" s="342">
        <f t="shared" si="10"/>
        <v>0.33333333333333331</v>
      </c>
      <c r="M5" s="342">
        <f t="shared" si="10"/>
        <v>0.33333333333333331</v>
      </c>
      <c r="N5" s="342">
        <f t="shared" si="10"/>
        <v>0.23809523809523808</v>
      </c>
      <c r="O5" s="342">
        <f t="shared" si="10"/>
        <v>-0.23809523809523808</v>
      </c>
      <c r="P5" s="342">
        <f t="shared" si="11"/>
        <v>-0.23809523809523808</v>
      </c>
      <c r="Q5" s="342">
        <f t="shared" si="11"/>
        <v>0.23809523809523808</v>
      </c>
      <c r="R5" s="342">
        <f t="shared" si="11"/>
        <v>0.14285714285714285</v>
      </c>
      <c r="S5" s="342">
        <f t="shared" si="11"/>
        <v>0.42857142857142855</v>
      </c>
      <c r="T5" s="342">
        <f t="shared" si="11"/>
        <v>0.23809523809523808</v>
      </c>
      <c r="U5" s="342">
        <f t="shared" ref="U5:V5" si="19">SUMIF($C$14:$C$92,$A5,T$14:T$92)/$B5</f>
        <v>-0.23809523809523808</v>
      </c>
      <c r="V5" s="342">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4.2253521126760563E-2</v>
      </c>
      <c r="F6" s="294">
        <f t="shared" si="5"/>
        <v>0.33333333333333331</v>
      </c>
      <c r="G6" s="137">
        <f t="shared" si="6"/>
        <v>2179.7020516034499</v>
      </c>
      <c r="H6" s="143">
        <f t="shared" si="7"/>
        <v>726.56735053448335</v>
      </c>
      <c r="I6" s="186">
        <f t="shared" si="16"/>
        <v>-660.91780498747687</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-0.33333333333333331</v>
      </c>
      <c r="Q6" s="342">
        <f t="shared" si="11"/>
        <v>0.33333333333333331</v>
      </c>
      <c r="R6" s="342">
        <f t="shared" si="11"/>
        <v>-0.33333333333333331</v>
      </c>
      <c r="S6" s="342">
        <f t="shared" si="11"/>
        <v>1</v>
      </c>
      <c r="T6" s="342">
        <f t="shared" si="11"/>
        <v>1</v>
      </c>
      <c r="U6" s="342">
        <f t="shared" ref="U6:V6" si="20">SUMIF($C$14:$C$92,$A6,T$14:T$92)/$B6</f>
        <v>0.33333333333333331</v>
      </c>
      <c r="V6" s="342">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7.0422535211267609E-2</v>
      </c>
      <c r="F7" s="294">
        <f t="shared" si="5"/>
        <v>0.2</v>
      </c>
      <c r="G7" s="137">
        <f t="shared" si="6"/>
        <v>3903.1515260032347</v>
      </c>
      <c r="H7" s="143">
        <f t="shared" si="7"/>
        <v>780.63030520064694</v>
      </c>
      <c r="I7" s="186">
        <f t="shared" si="16"/>
        <v>-564.20295853139044</v>
      </c>
      <c r="J7" t="str">
        <f t="shared" si="8"/>
        <v>metal</v>
      </c>
      <c r="K7" s="342">
        <f t="shared" si="9"/>
        <v>-1</v>
      </c>
      <c r="L7" s="342">
        <f t="shared" si="10"/>
        <v>0.6</v>
      </c>
      <c r="M7" s="342">
        <f t="shared" si="10"/>
        <v>-0.2</v>
      </c>
      <c r="N7" s="342">
        <f t="shared" si="10"/>
        <v>0.6</v>
      </c>
      <c r="O7" s="342">
        <f t="shared" si="10"/>
        <v>-0.6</v>
      </c>
      <c r="P7" s="342">
        <f t="shared" si="11"/>
        <v>0.2</v>
      </c>
      <c r="Q7" s="342">
        <f t="shared" si="11"/>
        <v>0.6</v>
      </c>
      <c r="R7" s="342">
        <f t="shared" si="11"/>
        <v>1</v>
      </c>
      <c r="S7" s="342">
        <f t="shared" si="11"/>
        <v>0.6</v>
      </c>
      <c r="T7" s="342">
        <f t="shared" si="11"/>
        <v>0.6</v>
      </c>
      <c r="U7" s="342">
        <f t="shared" ref="U7:V7" si="21">SUMIF($C$14:$C$92,$A7,T$14:T$92)/$B7</f>
        <v>-0.6</v>
      </c>
      <c r="V7" s="342">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0.14084507042253522</v>
      </c>
      <c r="F8" s="294">
        <f t="shared" si="5"/>
        <v>0.7</v>
      </c>
      <c r="G8" s="137">
        <f t="shared" si="6"/>
        <v>20610.571403707148</v>
      </c>
      <c r="H8" s="143">
        <f t="shared" si="7"/>
        <v>2061.0571403707149</v>
      </c>
      <c r="I8" s="186">
        <f t="shared" si="16"/>
        <v>1717.8479694837938</v>
      </c>
      <c r="J8" t="str">
        <f t="shared" si="8"/>
        <v>rates</v>
      </c>
      <c r="K8" s="342">
        <f t="shared" si="9"/>
        <v>0</v>
      </c>
      <c r="L8" s="342">
        <f t="shared" si="10"/>
        <v>0.2</v>
      </c>
      <c r="M8" s="342">
        <f t="shared" si="10"/>
        <v>0.2</v>
      </c>
      <c r="N8" s="342">
        <f t="shared" si="10"/>
        <v>0.2</v>
      </c>
      <c r="O8" s="342">
        <f t="shared" si="10"/>
        <v>1</v>
      </c>
      <c r="P8" s="342">
        <f t="shared" si="11"/>
        <v>0.2</v>
      </c>
      <c r="Q8" s="342">
        <f t="shared" si="11"/>
        <v>-0.2</v>
      </c>
      <c r="R8" s="342">
        <f t="shared" si="11"/>
        <v>0.2</v>
      </c>
      <c r="S8" s="342">
        <f t="shared" si="11"/>
        <v>-0.8</v>
      </c>
      <c r="T8" s="342">
        <f t="shared" si="11"/>
        <v>-0.4</v>
      </c>
      <c r="U8" s="342">
        <f t="shared" ref="U8:V8" si="22">SUMIF($C$14:$C$92,$A8,T$14:T$92)/$B8</f>
        <v>-0.4</v>
      </c>
      <c r="V8" s="342">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7</v>
      </c>
      <c r="C9" s="200">
        <f t="shared" si="15"/>
        <v>9.8591549295774641E-2</v>
      </c>
      <c r="D9" s="126"/>
      <c r="F9" s="294">
        <f t="shared" si="5"/>
        <v>0.7142857142857143</v>
      </c>
      <c r="G9" s="199">
        <f t="shared" si="6"/>
        <v>11446.808256416902</v>
      </c>
      <c r="H9" s="143">
        <f t="shared" si="7"/>
        <v>1635.2583223452716</v>
      </c>
      <c r="I9" s="186">
        <f t="shared" si="16"/>
        <v>1413.5111439717837</v>
      </c>
      <c r="J9" t="str">
        <f t="shared" si="8"/>
        <v>soft</v>
      </c>
      <c r="K9" s="342">
        <f t="shared" si="9"/>
        <v>0.42857142857142855</v>
      </c>
      <c r="L9" s="342">
        <f t="shared" si="10"/>
        <v>0.14285714285714285</v>
      </c>
      <c r="M9" s="342">
        <f t="shared" si="10"/>
        <v>0.42857142857142855</v>
      </c>
      <c r="N9" s="342">
        <f t="shared" si="10"/>
        <v>0.14285714285714285</v>
      </c>
      <c r="O9" s="342">
        <f t="shared" si="10"/>
        <v>-0.42857142857142855</v>
      </c>
      <c r="P9" s="342">
        <f t="shared" si="11"/>
        <v>0.42857142857142855</v>
      </c>
      <c r="Q9" s="342">
        <f t="shared" si="11"/>
        <v>0.42857142857142855</v>
      </c>
      <c r="R9" s="342">
        <f t="shared" si="11"/>
        <v>0.14285714285714285</v>
      </c>
      <c r="S9" s="342">
        <f t="shared" si="11"/>
        <v>0.14285714285714285</v>
      </c>
      <c r="T9" s="342">
        <f t="shared" si="11"/>
        <v>0.42857142857142855</v>
      </c>
      <c r="U9" s="342">
        <f t="shared" ref="U9:V9" si="23">SUMIF($C$14:$C$92,$A9,T$14:T$92)/$B9</f>
        <v>-0.42857142857142855</v>
      </c>
      <c r="V9" s="342">
        <f t="shared" si="23"/>
        <v>0.14285714285714285</v>
      </c>
      <c r="W9" s="286"/>
      <c r="X9" s="6"/>
      <c r="Y9" s="17" t="s">
        <v>304</v>
      </c>
      <c r="Z9" s="283">
        <f t="shared" si="13"/>
        <v>11446.808256416902</v>
      </c>
      <c r="AA9" s="283">
        <f t="shared" si="13"/>
        <v>9894.5780078024854</v>
      </c>
      <c r="AB9" s="283">
        <f t="shared" si="13"/>
        <v>-9894.5780078024854</v>
      </c>
      <c r="AC9" s="283">
        <f t="shared" si="13"/>
        <v>1195.1137041274869</v>
      </c>
      <c r="AD9" s="283">
        <f t="shared" si="13"/>
        <v>-1195.1137041274869</v>
      </c>
      <c r="AE9" s="283">
        <f t="shared" si="13"/>
        <v>5338.7004630583178</v>
      </c>
      <c r="AF9" s="283">
        <f t="shared" si="13"/>
        <v>-856.23823341075877</v>
      </c>
      <c r="AG9" s="283">
        <f t="shared" si="13"/>
        <v>-856.23823341075877</v>
      </c>
      <c r="AH9" s="283">
        <f t="shared" si="13"/>
        <v>-8706.0391041703624</v>
      </c>
      <c r="AI9" s="283">
        <f t="shared" si="13"/>
        <v>8706.0391041703624</v>
      </c>
      <c r="AJ9" s="283">
        <f t="shared" si="13"/>
        <v>5262.3500018800951</v>
      </c>
      <c r="AK9" s="283">
        <f t="shared" si="13"/>
        <v>1195.1137041274869</v>
      </c>
      <c r="AL9" s="283">
        <f t="shared" si="13"/>
        <v>3287.3485255200726</v>
      </c>
      <c r="AM9" s="283">
        <f t="shared" si="13"/>
        <v>6654.6871666321167</v>
      </c>
      <c r="AN9" s="283">
        <f t="shared" si="13"/>
        <v>5262.3500018800951</v>
      </c>
      <c r="AO9" s="283">
        <f t="shared" si="13"/>
        <v>-5262.3500018800951</v>
      </c>
      <c r="AP9" s="283">
        <f t="shared" si="13"/>
        <v>6731.0376278103395</v>
      </c>
    </row>
    <row r="10" spans="1:42" outlineLevel="1" x14ac:dyDescent="0.25">
      <c r="B10">
        <f>SUM(B2:B9)</f>
        <v>71</v>
      </c>
      <c r="C10" s="193">
        <f t="shared" si="15"/>
        <v>1</v>
      </c>
      <c r="D10" s="126"/>
      <c r="F10" s="294">
        <f>SUMIFS(H$14:H$92,H$14:H$92,1,$C$14:$C$92,"&lt;&gt;offline")/$B10</f>
        <v>0.647887323943662</v>
      </c>
      <c r="G10" s="167">
        <f>SUM(G2:G9)</f>
        <v>90807.602215852516</v>
      </c>
      <c r="H10" s="143">
        <f t="shared" si="7"/>
        <v>1278.9803128993312</v>
      </c>
      <c r="I10" s="186">
        <f>SUM(F14:F92)/B10</f>
        <v>695.56797336283239</v>
      </c>
      <c r="J10" s="137"/>
      <c r="K10" s="6"/>
      <c r="L10" s="292"/>
      <c r="M10" s="286"/>
      <c r="N10" s="292"/>
      <c r="O10" s="6"/>
      <c r="R10" s="6"/>
      <c r="S10" s="286"/>
      <c r="T10" s="286"/>
      <c r="U10" s="286"/>
      <c r="V10" s="6"/>
      <c r="W10" s="286"/>
      <c r="X10" s="6"/>
      <c r="Y10" s="6" t="s">
        <v>1245</v>
      </c>
      <c r="Z10" s="284">
        <f>SUM(Z2:Z9)</f>
        <v>90807.602215852516</v>
      </c>
      <c r="AA10" s="284">
        <f t="shared" ref="AA10:AO10" si="24">SUM(AA2:AA9)</f>
        <v>15386.036533887383</v>
      </c>
      <c r="AB10" s="284">
        <f t="shared" si="24"/>
        <v>-15386.036533887383</v>
      </c>
      <c r="AC10" s="284">
        <f t="shared" si="24"/>
        <v>23809.49614465137</v>
      </c>
      <c r="AD10" s="284">
        <f t="shared" si="24"/>
        <v>-23809.49614465137</v>
      </c>
      <c r="AE10" s="284">
        <f t="shared" si="24"/>
        <v>27846.070894145712</v>
      </c>
      <c r="AF10" s="284">
        <f t="shared" si="24"/>
        <v>3639.5594271209047</v>
      </c>
      <c r="AG10" s="284">
        <f t="shared" si="24"/>
        <v>-3919.1791082202462</v>
      </c>
      <c r="AH10" s="284">
        <f t="shared" si="24"/>
        <v>-6126.5342290262852</v>
      </c>
      <c r="AI10" s="284">
        <f t="shared" ref="AI10" si="25">SUM(AI2:AI9)</f>
        <v>6126.5342290262852</v>
      </c>
      <c r="AJ10" s="284">
        <f t="shared" si="24"/>
        <v>27120.561002966817</v>
      </c>
      <c r="AK10" s="284">
        <f t="shared" si="24"/>
        <v>12916.646682169596</v>
      </c>
      <c r="AL10" s="284">
        <f t="shared" si="24"/>
        <v>15580.986945320707</v>
      </c>
      <c r="AM10" s="284">
        <f t="shared" si="24"/>
        <v>-4918.4006000986446</v>
      </c>
      <c r="AN10" s="284">
        <f t="shared" si="24"/>
        <v>16458.433519871058</v>
      </c>
      <c r="AO10" s="284">
        <f t="shared" si="24"/>
        <v>-10289.099800677152</v>
      </c>
      <c r="AP10" s="284">
        <f t="shared" ref="AP10" si="26">SUM(AP2:AP9)</f>
        <v>-2041.4167271786264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101% PNL 90808</v>
      </c>
      <c r="AA12" s="308" t="str">
        <f t="shared" si="27"/>
        <v>RISK-ON ACC 63% PNL 15386</v>
      </c>
      <c r="AB12" s="308" t="str">
        <f t="shared" si="27"/>
        <v>RISK-OFF ACC 38% PNL -15386</v>
      </c>
      <c r="AC12" s="308" t="str">
        <f t="shared" si="27"/>
        <v>Previous ACC 62% PNL 23809</v>
      </c>
      <c r="AD12" s="337" t="str">
        <f t="shared" si="27"/>
        <v>Anti-Previous ACC 39% PNL -23809</v>
      </c>
      <c r="AE12" s="338" t="str">
        <f t="shared" si="27"/>
        <v>&gt;equity ACC 63% PNL 27846</v>
      </c>
      <c r="AF12" s="338" t="str">
        <f t="shared" si="27"/>
        <v>50/50 ACC 49% PNL 3640</v>
      </c>
      <c r="AG12" s="338" t="str">
        <f t="shared" si="27"/>
        <v>&lt;equity ACC 49% PNL -3919</v>
      </c>
      <c r="AH12" s="339" t="str">
        <f t="shared" si="27"/>
        <v>SEASONALITY ACC 41% PNL -6127</v>
      </c>
      <c r="AI12" s="339" t="str">
        <f t="shared" si="27"/>
        <v>ANTI-SEASONALITY ACC 61% PNL 6127</v>
      </c>
      <c r="AJ12" s="339" t="str">
        <f t="shared" si="27"/>
        <v>ADJ_SEASONALITY ACC 51% PNL 27121</v>
      </c>
      <c r="AK12" s="340" t="str">
        <f t="shared" si="27"/>
        <v>V1 ACC 61% PNL 12917</v>
      </c>
      <c r="AL12" s="340" t="str">
        <f t="shared" si="27"/>
        <v>V2 ACC 51% PNL 15581</v>
      </c>
      <c r="AM12" s="340" t="str">
        <f t="shared" si="27"/>
        <v>V3 ACC 51% PNL -4918</v>
      </c>
      <c r="AN12" s="340" t="str">
        <f t="shared" si="27"/>
        <v>V4 ACC 54% PNL 16458</v>
      </c>
      <c r="AO12" s="340" t="str">
        <f t="shared" si="27"/>
        <v>V5 ACC 55% PNL -10289</v>
      </c>
      <c r="AP12" s="340" t="str">
        <f t="shared" ref="AP12" si="28">AP93&amp;" ACC "&amp;ROUND(AP94,2)*100&amp;"% PNL "&amp;ROUND(AP10,0)</f>
        <v>V6 ACC 56% PNL -2041</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858300.99064841692</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28" t="s">
        <v>287</v>
      </c>
      <c r="B14" s="329" t="s">
        <v>558</v>
      </c>
      <c r="C14" s="330" t="s">
        <v>1285</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7968</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H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21726.143999999997</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4685</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8889</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137">
        <v>66200</v>
      </c>
      <c r="Y19" s="137">
        <v>13500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119640</v>
      </c>
      <c r="Y20" s="137">
        <v>9000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10428</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28" t="s">
        <v>307</v>
      </c>
      <c r="B22" s="329" t="s">
        <v>484</v>
      </c>
      <c r="C22" s="330" t="s">
        <v>1285</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9180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4503</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21792</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14804</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12992.099999999999</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13327.38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28" t="s">
        <v>320</v>
      </c>
      <c r="B29" s="329" t="s">
        <v>564</v>
      </c>
      <c r="C29" s="330" t="s">
        <v>1285</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14250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15750</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8436</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2449.7791999999999</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17434.559999999998</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28" t="s">
        <v>335</v>
      </c>
      <c r="B36" s="329" t="s">
        <v>568</v>
      </c>
      <c r="C36" s="330" t="s">
        <v>1285</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16638.4218</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15369.6543</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28" t="s">
        <v>341</v>
      </c>
      <c r="B39" s="329" t="s">
        <v>453</v>
      </c>
      <c r="C39" s="330" t="s">
        <v>1285</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7000</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11250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15115.9793814433</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108700</v>
      </c>
      <c r="Y43" s="137">
        <v>5750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25265.463917525773</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11970</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7894</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15000</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81150</v>
      </c>
      <c r="Y48" s="137">
        <v>7000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330" t="s">
        <v>1285</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0</v>
      </c>
      <c r="W49">
        <v>1</v>
      </c>
      <c r="X49" s="137">
        <v>104643</v>
      </c>
      <c r="Y49" s="137">
        <v>7311</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6750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10000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8800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93600</v>
      </c>
      <c r="Y53" s="137">
        <v>6000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10</v>
      </c>
      <c r="W54">
        <v>1</v>
      </c>
      <c r="X54" s="137">
        <v>127190</v>
      </c>
      <c r="Y54" s="137">
        <v>15640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8312</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9572</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25145.999999999996</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18496</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17875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9054</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6495</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12500</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15000</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6750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4376</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10500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6192</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12236</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6850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102164.13929741675</v>
      </c>
      <c r="Y70" s="137">
        <v>4299.8239032233369</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15250</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12000</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33606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1296</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6756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739283.2731178595</v>
      </c>
      <c r="Y76" s="137">
        <v>1975.1135690302192</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3</v>
      </c>
      <c r="W77">
        <v>1</v>
      </c>
      <c r="X77" s="137">
        <v>64800</v>
      </c>
      <c r="Y77" s="137">
        <v>12000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26336.136177194425</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6246.24</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H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11250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16205.199999999997</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13500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2409343.75</v>
      </c>
      <c r="Y83" s="137">
        <v>8244</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6248</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9124</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26148</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14000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19499.594399999998</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28" t="s">
        <v>1054</v>
      </c>
      <c r="B89" s="329" t="s">
        <v>463</v>
      </c>
      <c r="C89" s="330" t="s">
        <v>1285</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16248</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12326.4</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12518.999999999998</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s="186" t="s">
        <v>1258</v>
      </c>
      <c r="AP93" s="186" t="s">
        <v>1297</v>
      </c>
    </row>
    <row r="94" spans="1:42" x14ac:dyDescent="0.25">
      <c r="Y94" t="s">
        <v>1284</v>
      </c>
      <c r="Z94" s="193">
        <f>COUNTIF(Z14:Z92,"&gt;0")/$B$10</f>
        <v>1.0140845070422535</v>
      </c>
      <c r="AA94" s="193">
        <f t="shared" ref="AA94:AO94" si="91">COUNTIF(AA14:AA92,"&gt;0")/$B$10</f>
        <v>0.63380281690140849</v>
      </c>
      <c r="AB94" s="193">
        <f t="shared" si="91"/>
        <v>0.38028169014084506</v>
      </c>
      <c r="AC94" s="193">
        <f t="shared" ref="AC94" si="92">COUNTIF(AC14:AC92,"&gt;0")/$B$10</f>
        <v>0.61971830985915488</v>
      </c>
      <c r="AD94" s="193">
        <f t="shared" si="91"/>
        <v>0.39436619718309857</v>
      </c>
      <c r="AE94" s="193">
        <f t="shared" si="91"/>
        <v>0.63380281690140849</v>
      </c>
      <c r="AF94" s="193">
        <f t="shared" si="91"/>
        <v>0.49295774647887325</v>
      </c>
      <c r="AG94" s="193">
        <f t="shared" si="91"/>
        <v>0.49295774647887325</v>
      </c>
      <c r="AH94" s="193">
        <f t="shared" si="91"/>
        <v>0.40845070422535212</v>
      </c>
      <c r="AI94" s="193">
        <f t="shared" ref="AI94" si="93">COUNTIF(AI14:AI92,"&gt;0")/$B$10</f>
        <v>0.60563380281690138</v>
      </c>
      <c r="AJ94" s="193">
        <f t="shared" si="91"/>
        <v>0.50704225352112675</v>
      </c>
      <c r="AK94" s="193">
        <f t="shared" si="91"/>
        <v>0.60563380281690138</v>
      </c>
      <c r="AL94" s="193">
        <f t="shared" si="91"/>
        <v>0.50704225352112675</v>
      </c>
      <c r="AM94" s="193">
        <f t="shared" si="91"/>
        <v>0.50704225352112675</v>
      </c>
      <c r="AN94" s="193">
        <f t="shared" si="91"/>
        <v>0.53521126760563376</v>
      </c>
      <c r="AO94" s="193">
        <f t="shared" si="91"/>
        <v>0.54929577464788737</v>
      </c>
      <c r="AP94" s="193">
        <f t="shared" ref="AP94" si="94">COUNTIF(AP14:AP92,"&gt;0")/$B$10</f>
        <v>0.56338028169014087</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1294</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1" t="str">
        <f t="shared" ref="Z1:AO1" si="2">Z12</f>
        <v>MAX ACC 100% PNL 86175</v>
      </c>
      <c r="AA1" s="332" t="str">
        <f t="shared" si="2"/>
        <v>RISK-ON ACC 56% PNL 9613</v>
      </c>
      <c r="AB1" s="332" t="str">
        <f t="shared" si="2"/>
        <v>RISK-OFF ACC 44% PNL -9613</v>
      </c>
      <c r="AC1" s="332" t="str">
        <f t="shared" ref="AC1" si="3">AC12</f>
        <v>Previous ACC 38% PNL -32887</v>
      </c>
      <c r="AD1" s="295" t="str">
        <f t="shared" si="2"/>
        <v>Anti-Previous ACC 62% PNL 32887</v>
      </c>
      <c r="AE1" s="333" t="str">
        <f t="shared" si="2"/>
        <v>&gt;equity ACC 56% PNL 33220</v>
      </c>
      <c r="AF1" s="333" t="str">
        <f t="shared" si="2"/>
        <v>50/50 ACC 44% PNL -32721</v>
      </c>
      <c r="AG1" s="333" t="str">
        <f t="shared" si="2"/>
        <v>&lt;equity ACC 41% PNL -35947</v>
      </c>
      <c r="AH1" s="334" t="str">
        <f t="shared" si="2"/>
        <v>SEASONALITY ACC 52% PNL -4877</v>
      </c>
      <c r="AI1" s="334" t="str">
        <f t="shared" si="2"/>
        <v>ANTI-SEASONALITY ACC 48% PNL 4877</v>
      </c>
      <c r="AJ1" s="334" t="str">
        <f t="shared" si="2"/>
        <v>ADJ_SEASONALITY ACC 37% PNL -24711</v>
      </c>
      <c r="AK1" s="335" t="str">
        <f t="shared" si="2"/>
        <v>V1 ACC 37% PNL -33567</v>
      </c>
      <c r="AL1" s="335" t="str">
        <f t="shared" si="2"/>
        <v>V2 ACC 56% PNL 16436</v>
      </c>
      <c r="AM1" s="335" t="str">
        <f t="shared" si="2"/>
        <v>V3 ACC 55% PNL 8609</v>
      </c>
      <c r="AN1" s="335" t="str">
        <f t="shared" si="2"/>
        <v>V4 ACC 51% PNL 3098</v>
      </c>
      <c r="AO1" s="335" t="str">
        <f t="shared" si="2"/>
        <v>V5 ACC 54% PNL 3119</v>
      </c>
      <c r="AP1" s="335" t="str">
        <f t="shared" ref="AP1" si="4">AP12</f>
        <v>V6 ACC 63% PNL 47089</v>
      </c>
    </row>
    <row r="2" spans="1:42" outlineLevel="1" x14ac:dyDescent="0.25">
      <c r="A2" t="s">
        <v>1121</v>
      </c>
      <c r="B2" s="95">
        <f>COUNTIF($C$14:$C$92,A2)</f>
        <v>9</v>
      </c>
      <c r="C2" s="193">
        <f>B2/$B$10</f>
        <v>0.12676056338028169</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2">
        <f t="shared" ref="K2:K9" si="9">SUMIF($C$14:$C$92,$A2,E$14:E$92)/$B2</f>
        <v>0.55555555555555558</v>
      </c>
      <c r="L2" s="342">
        <f t="shared" ref="L2:O9" si="10">SUMIF($C$14:$C$92,$A2,I$14:I$92)/$B2</f>
        <v>0.1111111111111111</v>
      </c>
      <c r="M2" s="342">
        <f t="shared" si="10"/>
        <v>-0.33333333333333331</v>
      </c>
      <c r="N2" s="342">
        <f t="shared" si="10"/>
        <v>0.55555555555555558</v>
      </c>
      <c r="O2" s="342">
        <f t="shared" si="10"/>
        <v>-0.33333333333333331</v>
      </c>
      <c r="P2" s="342">
        <f t="shared" ref="P2:T9" si="11">SUMIF($C$14:$C$92,$A2,O$14:O$92)/$B2</f>
        <v>0.33333333333333331</v>
      </c>
      <c r="Q2" s="342">
        <f t="shared" si="11"/>
        <v>0.55555555555555558</v>
      </c>
      <c r="R2" s="342">
        <f t="shared" si="11"/>
        <v>-0.55555555555555558</v>
      </c>
      <c r="S2" s="342">
        <f t="shared" si="11"/>
        <v>-0.1111111111111111</v>
      </c>
      <c r="T2" s="342">
        <f t="shared" si="11"/>
        <v>-0.1111111111111111</v>
      </c>
      <c r="U2" s="342">
        <f t="shared" ref="U2:V2" si="12">SUMIF($C$14:$C$92,$A2,T$14:T$92)/$B2</f>
        <v>-0.33333333333333331</v>
      </c>
      <c r="V2" s="342">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8.4507042253521125E-2</v>
      </c>
      <c r="F3" s="294">
        <f t="shared" si="5"/>
        <v>1</v>
      </c>
      <c r="G3" s="137">
        <f t="shared" si="6"/>
        <v>15021.200000005179</v>
      </c>
      <c r="H3" s="143">
        <f t="shared" si="7"/>
        <v>2503.5333333341964</v>
      </c>
      <c r="I3" s="186">
        <f t="shared" ref="I3:I9" si="16">SUMIF($C$14:$C$92,A3,F$14:F$92)/B3</f>
        <v>2503.5333333341964</v>
      </c>
      <c r="J3" t="str">
        <f t="shared" si="8"/>
        <v>energy</v>
      </c>
      <c r="K3" s="342">
        <f t="shared" si="9"/>
        <v>0</v>
      </c>
      <c r="L3" s="342">
        <f t="shared" si="10"/>
        <v>-0.33333333333333331</v>
      </c>
      <c r="M3" s="342">
        <f t="shared" si="10"/>
        <v>-0.33333333333333331</v>
      </c>
      <c r="N3" s="342">
        <f t="shared" si="10"/>
        <v>-0.33333333333333331</v>
      </c>
      <c r="O3" s="342">
        <f t="shared" si="10"/>
        <v>-0.33333333333333331</v>
      </c>
      <c r="P3" s="342">
        <f t="shared" si="11"/>
        <v>-0.33333333333333331</v>
      </c>
      <c r="Q3" s="342">
        <f t="shared" si="11"/>
        <v>0</v>
      </c>
      <c r="R3" s="342">
        <f t="shared" si="11"/>
        <v>-0.33333333333333331</v>
      </c>
      <c r="S3" s="342">
        <f t="shared" si="11"/>
        <v>0</v>
      </c>
      <c r="T3" s="342">
        <f t="shared" si="11"/>
        <v>0</v>
      </c>
      <c r="U3" s="342">
        <f t="shared" ref="U3:V3" si="17">SUMIF($C$14:$C$92,$A3,T$14:T$92)/$B3</f>
        <v>0.33333333333333331</v>
      </c>
      <c r="V3" s="342">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0.14084507042253522</v>
      </c>
      <c r="F4" s="294">
        <f t="shared" si="5"/>
        <v>0.6</v>
      </c>
      <c r="G4" s="137">
        <f t="shared" si="6"/>
        <v>6967.1881429628347</v>
      </c>
      <c r="H4" s="143">
        <f t="shared" si="7"/>
        <v>696.71881429628343</v>
      </c>
      <c r="I4" s="186">
        <f t="shared" si="16"/>
        <v>445.28118570524748</v>
      </c>
      <c r="J4" t="str">
        <f t="shared" si="8"/>
        <v>grain</v>
      </c>
      <c r="K4" s="342">
        <f t="shared" si="9"/>
        <v>-0.6</v>
      </c>
      <c r="L4" s="342">
        <f t="shared" si="10"/>
        <v>-0.6</v>
      </c>
      <c r="M4" s="342">
        <f t="shared" si="10"/>
        <v>1</v>
      </c>
      <c r="N4" s="342">
        <f t="shared" si="10"/>
        <v>-0.8</v>
      </c>
      <c r="O4" s="342">
        <f t="shared" si="10"/>
        <v>-0.2</v>
      </c>
      <c r="P4" s="342">
        <f t="shared" si="11"/>
        <v>-0.2</v>
      </c>
      <c r="Q4" s="342">
        <f t="shared" si="11"/>
        <v>-0.6</v>
      </c>
      <c r="R4" s="342">
        <f t="shared" si="11"/>
        <v>0.6</v>
      </c>
      <c r="S4" s="342">
        <f t="shared" si="11"/>
        <v>0</v>
      </c>
      <c r="T4" s="342">
        <f t="shared" si="11"/>
        <v>0</v>
      </c>
      <c r="U4" s="342">
        <f t="shared" ref="U4:V4" si="18">SUMIF($C$14:$C$92,$A4,T$14:T$92)/$B4</f>
        <v>0.2</v>
      </c>
      <c r="V4" s="342">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0.29577464788732394</v>
      </c>
      <c r="F5" s="294">
        <f t="shared" si="5"/>
        <v>0.42857142857142855</v>
      </c>
      <c r="G5" s="137">
        <f t="shared" si="6"/>
        <v>28529.859917961301</v>
      </c>
      <c r="H5" s="143">
        <f t="shared" si="7"/>
        <v>1358.5647579981571</v>
      </c>
      <c r="I5" s="186">
        <f t="shared" si="16"/>
        <v>-627.84435323611569</v>
      </c>
      <c r="J5" t="str">
        <f t="shared" si="8"/>
        <v>index</v>
      </c>
      <c r="K5" s="342">
        <f t="shared" si="9"/>
        <v>-0.7142857142857143</v>
      </c>
      <c r="L5" s="342">
        <f t="shared" si="10"/>
        <v>-4.7619047619047616E-2</v>
      </c>
      <c r="M5" s="342">
        <f t="shared" si="10"/>
        <v>-0.14285714285714285</v>
      </c>
      <c r="N5" s="342">
        <f t="shared" si="10"/>
        <v>-0.14285714285714285</v>
      </c>
      <c r="O5" s="342">
        <f t="shared" si="10"/>
        <v>-0.33333333333333331</v>
      </c>
      <c r="P5" s="342">
        <f t="shared" si="11"/>
        <v>-4.7619047619047616E-2</v>
      </c>
      <c r="Q5" s="342">
        <f t="shared" si="11"/>
        <v>-0.33333333333333331</v>
      </c>
      <c r="R5" s="342">
        <f t="shared" si="11"/>
        <v>0.52380952380952384</v>
      </c>
      <c r="S5" s="342">
        <f t="shared" si="11"/>
        <v>0.7142857142857143</v>
      </c>
      <c r="T5" s="342">
        <f t="shared" si="11"/>
        <v>0.52380952380952384</v>
      </c>
      <c r="U5" s="342">
        <f t="shared" ref="U5:V5" si="19">SUMIF($C$14:$C$92,$A5,T$14:T$92)/$B5</f>
        <v>-0.14285714285714285</v>
      </c>
      <c r="V5" s="342">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4.2253521126760563E-2</v>
      </c>
      <c r="F6" s="294">
        <f t="shared" si="5"/>
        <v>0.66666666666666663</v>
      </c>
      <c r="G6" s="137">
        <f t="shared" si="6"/>
        <v>4389.9999999916399</v>
      </c>
      <c r="H6" s="143">
        <f t="shared" si="7"/>
        <v>1463.3333333305466</v>
      </c>
      <c r="I6" s="186">
        <f t="shared" si="16"/>
        <v>370.00000000025062</v>
      </c>
      <c r="J6" t="str">
        <f t="shared" si="8"/>
        <v>meat</v>
      </c>
      <c r="K6" s="342">
        <f t="shared" si="9"/>
        <v>0.33333333333333331</v>
      </c>
      <c r="L6" s="342">
        <f t="shared" si="10"/>
        <v>1</v>
      </c>
      <c r="M6" s="342">
        <f t="shared" si="10"/>
        <v>0.33333333333333331</v>
      </c>
      <c r="N6" s="342">
        <f t="shared" si="10"/>
        <v>0.33333333333333331</v>
      </c>
      <c r="O6" s="342">
        <f t="shared" si="10"/>
        <v>-1</v>
      </c>
      <c r="P6" s="342">
        <f t="shared" si="11"/>
        <v>-0.33333333333333331</v>
      </c>
      <c r="Q6" s="342">
        <f t="shared" si="11"/>
        <v>1</v>
      </c>
      <c r="R6" s="342">
        <f t="shared" si="11"/>
        <v>-0.33333333333333331</v>
      </c>
      <c r="S6" s="342">
        <f t="shared" si="11"/>
        <v>1</v>
      </c>
      <c r="T6" s="342">
        <f t="shared" si="11"/>
        <v>1</v>
      </c>
      <c r="U6" s="342">
        <f t="shared" ref="U6:V6" si="20">SUMIF($C$14:$C$92,$A6,T$14:T$92)/$B6</f>
        <v>0.33333333333333331</v>
      </c>
      <c r="V6" s="342">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7.0422535211267609E-2</v>
      </c>
      <c r="F7" s="294">
        <f t="shared" si="5"/>
        <v>0</v>
      </c>
      <c r="G7" s="137">
        <f t="shared" si="6"/>
        <v>4275.0000000017299</v>
      </c>
      <c r="H7" s="143">
        <f t="shared" si="7"/>
        <v>855.00000000034595</v>
      </c>
      <c r="I7" s="186">
        <f t="shared" si="16"/>
        <v>-855.00000000034595</v>
      </c>
      <c r="J7" t="str">
        <f t="shared" si="8"/>
        <v>metal</v>
      </c>
      <c r="K7" s="342">
        <f t="shared" si="9"/>
        <v>1</v>
      </c>
      <c r="L7" s="342">
        <f t="shared" si="10"/>
        <v>0.6</v>
      </c>
      <c r="M7" s="342">
        <f t="shared" si="10"/>
        <v>-0.2</v>
      </c>
      <c r="N7" s="342">
        <f t="shared" si="10"/>
        <v>0.6</v>
      </c>
      <c r="O7" s="342">
        <f t="shared" si="10"/>
        <v>-0.6</v>
      </c>
      <c r="P7" s="342">
        <f t="shared" si="11"/>
        <v>-0.6</v>
      </c>
      <c r="Q7" s="342">
        <f t="shared" si="11"/>
        <v>1</v>
      </c>
      <c r="R7" s="342">
        <f t="shared" si="11"/>
        <v>-0.6</v>
      </c>
      <c r="S7" s="342">
        <f t="shared" si="11"/>
        <v>0.2</v>
      </c>
      <c r="T7" s="342">
        <f t="shared" si="11"/>
        <v>0.6</v>
      </c>
      <c r="U7" s="342">
        <f t="shared" ref="U7:V7" si="21">SUMIF($C$14:$C$92,$A7,T$14:T$92)/$B7</f>
        <v>1</v>
      </c>
      <c r="V7" s="342">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0.14084507042253522</v>
      </c>
      <c r="F8" s="294">
        <f t="shared" si="5"/>
        <v>0.5</v>
      </c>
      <c r="G8" s="137">
        <f t="shared" si="6"/>
        <v>7515.4194283811721</v>
      </c>
      <c r="H8" s="143">
        <f t="shared" si="7"/>
        <v>751.54194283811717</v>
      </c>
      <c r="I8" s="186">
        <f t="shared" si="16"/>
        <v>-520.51094283800421</v>
      </c>
      <c r="J8" t="str">
        <f t="shared" si="8"/>
        <v>rates</v>
      </c>
      <c r="K8" s="342">
        <f t="shared" si="9"/>
        <v>-0.4</v>
      </c>
      <c r="L8" s="342">
        <f t="shared" si="10"/>
        <v>0.2</v>
      </c>
      <c r="M8" s="342">
        <f t="shared" si="10"/>
        <v>0.2</v>
      </c>
      <c r="N8" s="342">
        <f t="shared" si="10"/>
        <v>-0.2</v>
      </c>
      <c r="O8" s="342">
        <f t="shared" si="10"/>
        <v>1</v>
      </c>
      <c r="P8" s="342">
        <f t="shared" si="11"/>
        <v>0.2</v>
      </c>
      <c r="Q8" s="342">
        <f t="shared" si="11"/>
        <v>-0.6</v>
      </c>
      <c r="R8" s="342">
        <f t="shared" si="11"/>
        <v>0.8</v>
      </c>
      <c r="S8" s="342">
        <f t="shared" si="11"/>
        <v>-0.4</v>
      </c>
      <c r="T8" s="342">
        <f t="shared" si="11"/>
        <v>0</v>
      </c>
      <c r="U8" s="342">
        <f t="shared" ref="U8:V8" si="22">SUMIF($C$14:$C$92,$A8,T$14:T$92)/$B8</f>
        <v>-0.2</v>
      </c>
      <c r="V8" s="342">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7</v>
      </c>
      <c r="C9" s="200">
        <f t="shared" si="15"/>
        <v>9.8591549295774641E-2</v>
      </c>
      <c r="D9" s="126"/>
      <c r="F9" s="294">
        <f t="shared" si="5"/>
        <v>0.7142857142857143</v>
      </c>
      <c r="G9" s="199">
        <f t="shared" si="6"/>
        <v>6008.5999999970691</v>
      </c>
      <c r="H9" s="143">
        <f t="shared" si="7"/>
        <v>858.37142857100991</v>
      </c>
      <c r="I9" s="186">
        <f t="shared" si="16"/>
        <v>666.62857142828307</v>
      </c>
      <c r="J9" t="str">
        <f t="shared" si="8"/>
        <v>soft</v>
      </c>
      <c r="K9" s="342">
        <f t="shared" si="9"/>
        <v>-0.14285714285714285</v>
      </c>
      <c r="L9" s="342">
        <f t="shared" si="10"/>
        <v>-0.14285714285714285</v>
      </c>
      <c r="M9" s="342">
        <f t="shared" si="10"/>
        <v>-0.14285714285714285</v>
      </c>
      <c r="N9" s="342">
        <f t="shared" si="10"/>
        <v>-0.42857142857142855</v>
      </c>
      <c r="O9" s="342">
        <f t="shared" si="10"/>
        <v>-0.42857142857142855</v>
      </c>
      <c r="P9" s="342">
        <f t="shared" si="11"/>
        <v>0.14285714285714285</v>
      </c>
      <c r="Q9" s="342">
        <f t="shared" si="11"/>
        <v>-0.14285714285714285</v>
      </c>
      <c r="R9" s="342">
        <f t="shared" si="11"/>
        <v>-0.14285714285714285</v>
      </c>
      <c r="S9" s="342">
        <f t="shared" si="11"/>
        <v>0.14285714285714285</v>
      </c>
      <c r="T9" s="342">
        <f t="shared" si="11"/>
        <v>0.14285714285714285</v>
      </c>
      <c r="U9" s="342">
        <f t="shared" ref="U9:V9" si="23">SUMIF($C$14:$C$92,$A9,T$14:T$92)/$B9</f>
        <v>0.14285714285714285</v>
      </c>
      <c r="V9" s="342">
        <f t="shared" si="23"/>
        <v>0.14285714285714285</v>
      </c>
      <c r="W9" s="286"/>
      <c r="X9" s="6"/>
      <c r="Y9" s="17" t="s">
        <v>304</v>
      </c>
      <c r="Z9" s="283">
        <f t="shared" si="13"/>
        <v>6008.5999999970691</v>
      </c>
      <c r="AA9" s="283">
        <f t="shared" si="13"/>
        <v>4666.3999999979815</v>
      </c>
      <c r="AB9" s="283">
        <f t="shared" si="13"/>
        <v>-4666.3999999979815</v>
      </c>
      <c r="AC9" s="283">
        <f t="shared" si="13"/>
        <v>-4593.5999999980659</v>
      </c>
      <c r="AD9" s="283">
        <f t="shared" si="13"/>
        <v>4593.5999999980659</v>
      </c>
      <c r="AE9" s="283">
        <f t="shared" si="13"/>
        <v>4938.59999999714</v>
      </c>
      <c r="AF9" s="283">
        <f t="shared" si="13"/>
        <v>-2681.3999999979656</v>
      </c>
      <c r="AG9" s="283">
        <f t="shared" si="13"/>
        <v>-4526.3999999980779</v>
      </c>
      <c r="AH9" s="283">
        <f t="shared" si="13"/>
        <v>-5801.3999999971775</v>
      </c>
      <c r="AI9" s="283">
        <f t="shared" si="13"/>
        <v>5801.3999999971775</v>
      </c>
      <c r="AJ9" s="283">
        <f t="shared" si="13"/>
        <v>4096.3999999969683</v>
      </c>
      <c r="AK9" s="283">
        <f t="shared" si="13"/>
        <v>-4593.5999999980659</v>
      </c>
      <c r="AL9" s="283">
        <f t="shared" si="13"/>
        <v>5868.5999999971655</v>
      </c>
      <c r="AM9" s="283">
        <f t="shared" si="13"/>
        <v>5868.5999999971655</v>
      </c>
      <c r="AN9" s="283">
        <f t="shared" si="13"/>
        <v>5868.5999999971655</v>
      </c>
      <c r="AO9" s="283">
        <f t="shared" si="13"/>
        <v>-4163.5999999969563</v>
      </c>
      <c r="AP9" s="283">
        <f t="shared" si="13"/>
        <v>5868.5999999971655</v>
      </c>
    </row>
    <row r="10" spans="1:42" outlineLevel="1" x14ac:dyDescent="0.25">
      <c r="B10">
        <f>SUM(B2:B9)</f>
        <v>71</v>
      </c>
      <c r="C10" s="193">
        <f t="shared" si="15"/>
        <v>1</v>
      </c>
      <c r="D10" s="126"/>
      <c r="F10" s="294">
        <f>SUMIFS(H$14:H$92,H$14:H$92,1,$C$14:$C$92,"&lt;&gt;offline")/$B10</f>
        <v>0.50704225352112675</v>
      </c>
      <c r="G10" s="167">
        <f>SUM(G2:G9)</f>
        <v>86175.267489300721</v>
      </c>
      <c r="H10" s="143">
        <f t="shared" si="7"/>
        <v>1213.7361618211369</v>
      </c>
      <c r="I10">
        <f>SUM(F14:F92)/B10</f>
        <v>-85.259563229354526</v>
      </c>
      <c r="J10" s="137"/>
      <c r="K10" s="6"/>
      <c r="L10" s="292"/>
      <c r="M10" s="286"/>
      <c r="N10" s="292"/>
      <c r="O10" s="6"/>
      <c r="R10" s="6"/>
      <c r="S10" s="286"/>
      <c r="T10" s="286"/>
      <c r="U10" s="286"/>
      <c r="V10" s="6"/>
      <c r="W10" s="286"/>
      <c r="X10" s="6"/>
      <c r="Y10" s="6" t="s">
        <v>1245</v>
      </c>
      <c r="Z10" s="284">
        <f>SUM(Z2:Z9)</f>
        <v>86175.267489300721</v>
      </c>
      <c r="AA10" s="284">
        <f t="shared" ref="AA10:AO10" si="24">SUM(AA2:AA9)</f>
        <v>9612.7898674768912</v>
      </c>
      <c r="AB10" s="284">
        <f t="shared" si="24"/>
        <v>-9612.7898674768912</v>
      </c>
      <c r="AC10" s="284">
        <f t="shared" si="24"/>
        <v>-32886.691389113905</v>
      </c>
      <c r="AD10" s="284">
        <f t="shared" si="24"/>
        <v>32886.691389113905</v>
      </c>
      <c r="AE10" s="284">
        <f t="shared" si="24"/>
        <v>33220.036625739733</v>
      </c>
      <c r="AF10" s="284">
        <f t="shared" si="24"/>
        <v>-32721.146389133581</v>
      </c>
      <c r="AG10" s="284">
        <f t="shared" si="24"/>
        <v>-35946.992389114639</v>
      </c>
      <c r="AH10" s="284">
        <f t="shared" si="24"/>
        <v>-4876.8745533767196</v>
      </c>
      <c r="AI10" s="284">
        <f t="shared" ref="AI10" si="25">SUM(AI2:AI9)</f>
        <v>4876.8745533767196</v>
      </c>
      <c r="AJ10" s="284">
        <f t="shared" si="24"/>
        <v>-24711.214933942516</v>
      </c>
      <c r="AK10" s="284">
        <f t="shared" si="24"/>
        <v>-33566.51638910656</v>
      </c>
      <c r="AL10" s="284">
        <f t="shared" si="24"/>
        <v>16436.420388418632</v>
      </c>
      <c r="AM10" s="284">
        <f t="shared" si="24"/>
        <v>8609.444553364654</v>
      </c>
      <c r="AN10" s="284">
        <f t="shared" si="24"/>
        <v>3098.0975526823249</v>
      </c>
      <c r="AO10" s="284">
        <f t="shared" si="24"/>
        <v>3119.4909339301312</v>
      </c>
      <c r="AP10" s="284">
        <f t="shared" ref="AP10" si="26">SUM(AP2:AP9)</f>
        <v>47089.367389119638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100% PNL 86175</v>
      </c>
      <c r="AA12" s="308" t="str">
        <f t="shared" si="27"/>
        <v>RISK-ON ACC 56% PNL 9613</v>
      </c>
      <c r="AB12" s="308" t="str">
        <f t="shared" si="27"/>
        <v>RISK-OFF ACC 44% PNL -9613</v>
      </c>
      <c r="AC12" s="308" t="str">
        <f t="shared" si="27"/>
        <v>Previous ACC 38% PNL -32887</v>
      </c>
      <c r="AD12" s="337" t="str">
        <f t="shared" si="27"/>
        <v>Anti-Previous ACC 62% PNL 32887</v>
      </c>
      <c r="AE12" s="338" t="str">
        <f t="shared" si="27"/>
        <v>&gt;equity ACC 56% PNL 33220</v>
      </c>
      <c r="AF12" s="338" t="str">
        <f t="shared" si="27"/>
        <v>50/50 ACC 44% PNL -32721</v>
      </c>
      <c r="AG12" s="338" t="str">
        <f t="shared" si="27"/>
        <v>&lt;equity ACC 41% PNL -35947</v>
      </c>
      <c r="AH12" s="339" t="str">
        <f t="shared" si="27"/>
        <v>SEASONALITY ACC 52% PNL -4877</v>
      </c>
      <c r="AI12" s="339" t="str">
        <f t="shared" si="27"/>
        <v>ANTI-SEASONALITY ACC 48% PNL 4877</v>
      </c>
      <c r="AJ12" s="339" t="str">
        <f t="shared" si="27"/>
        <v>ADJ_SEASONALITY ACC 37% PNL -24711</v>
      </c>
      <c r="AK12" s="340" t="str">
        <f t="shared" si="27"/>
        <v>V1 ACC 37% PNL -33567</v>
      </c>
      <c r="AL12" s="340" t="str">
        <f t="shared" si="27"/>
        <v>V2 ACC 56% PNL 16436</v>
      </c>
      <c r="AM12" s="340" t="str">
        <f t="shared" si="27"/>
        <v>V3 ACC 55% PNL 8609</v>
      </c>
      <c r="AN12" s="340" t="str">
        <f t="shared" si="27"/>
        <v>V4 ACC 51% PNL 3098</v>
      </c>
      <c r="AO12" s="340" t="str">
        <f t="shared" si="27"/>
        <v>V5 ACC 54% PNL 3119</v>
      </c>
      <c r="AP12" s="340" t="str">
        <f t="shared" ref="AP12" si="28">AP93&amp;" ACC "&amp;ROUND(AP94,2)*100&amp;"% PNL "&amp;ROUND(AP10,0)</f>
        <v>V6 ACC 63% PNL 47089</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858300.99064841692</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28" t="s">
        <v>287</v>
      </c>
      <c r="B14" s="329" t="s">
        <v>558</v>
      </c>
      <c r="C14" s="330" t="s">
        <v>1285</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7968</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H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21726.143999999997</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4685</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8889</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6</v>
      </c>
      <c r="W19">
        <v>1</v>
      </c>
      <c r="X19" s="137">
        <v>66800</v>
      </c>
      <c r="Y19" s="137">
        <v>13500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4</v>
      </c>
      <c r="W20">
        <v>1</v>
      </c>
      <c r="X20" s="137">
        <v>115840</v>
      </c>
      <c r="Y20" s="137">
        <v>9000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10428</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28" t="s">
        <v>307</v>
      </c>
      <c r="B22" s="329" t="s">
        <v>484</v>
      </c>
      <c r="C22" s="330" t="s">
        <v>1285</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9180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4503</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21792</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14804</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12992.099999999999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13327.38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28" t="s">
        <v>320</v>
      </c>
      <c r="B29" s="329" t="s">
        <v>564</v>
      </c>
      <c r="C29" s="330" t="s">
        <v>1285</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28" t="s">
        <v>323</v>
      </c>
      <c r="B30" s="329" t="s">
        <v>581</v>
      </c>
      <c r="C30" s="330" t="s">
        <v>1285</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14250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15750</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8436</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2449.7791999999999</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17434.559999999998</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28" t="s">
        <v>335</v>
      </c>
      <c r="B36" s="329" t="s">
        <v>568</v>
      </c>
      <c r="C36" s="330" t="s">
        <v>1285</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16638.4218</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15369.6543</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28" t="s">
        <v>341</v>
      </c>
      <c r="B39" s="329" t="s">
        <v>453</v>
      </c>
      <c r="C39" s="330" t="s">
        <v>1285</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7000</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11250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2</v>
      </c>
      <c r="W43">
        <v>1</v>
      </c>
      <c r="X43" s="137">
        <v>110450</v>
      </c>
      <c r="Y43" s="137">
        <v>5750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11970</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7894</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15000</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4</v>
      </c>
      <c r="W48">
        <v>1</v>
      </c>
      <c r="X48" s="137">
        <v>81300</v>
      </c>
      <c r="Y48" s="137">
        <v>7000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330" t="s">
        <v>1285</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0</v>
      </c>
      <c r="W49">
        <v>1</v>
      </c>
      <c r="X49" s="137">
        <v>103917</v>
      </c>
      <c r="Y49" s="137">
        <v>7311</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6750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10000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3</v>
      </c>
      <c r="W53">
        <v>1</v>
      </c>
      <c r="X53" s="137">
        <v>96840</v>
      </c>
      <c r="Y53" s="137">
        <v>6000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10</v>
      </c>
      <c r="W54">
        <v>1</v>
      </c>
      <c r="X54" s="137">
        <v>127820</v>
      </c>
      <c r="Y54" s="137">
        <v>15640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8312</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9572</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25145.999999999996</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18496</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17875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9054</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6495</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12500</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15000</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6750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4376</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10500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6192</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12236</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6850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17</v>
      </c>
      <c r="W70">
        <v>1</v>
      </c>
      <c r="X70" s="137">
        <v>88661.129314943217</v>
      </c>
      <c r="Y70" s="137">
        <v>4299.8239032233369</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15250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12000</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33606</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1296</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6756</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5</v>
      </c>
      <c r="W76">
        <v>1</v>
      </c>
      <c r="X76" s="137">
        <v>740406.21033102251</v>
      </c>
      <c r="Y76" s="137">
        <v>1975.1135690302192</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3</v>
      </c>
      <c r="W77">
        <v>1</v>
      </c>
      <c r="X77" s="137">
        <v>65340</v>
      </c>
      <c r="Y77" s="137">
        <v>12000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26336.136177194425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6246.24</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H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11250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16205.199999999997</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13500</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11</v>
      </c>
      <c r="W83">
        <v>1</v>
      </c>
      <c r="X83" s="137">
        <v>2408312.5</v>
      </c>
      <c r="Y83" s="137">
        <v>8244</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6248</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9124</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26148</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14000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19499.594399999998</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28" t="s">
        <v>1054</v>
      </c>
      <c r="B89" s="329" t="s">
        <v>463</v>
      </c>
      <c r="C89" s="330" t="s">
        <v>1285</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16248</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12326.4</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12518.999999999998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O94" si="93">COUNTIF(AA14:AA92,"&gt;0")/$B$10</f>
        <v>0.56338028169014087</v>
      </c>
      <c r="AB94" s="193">
        <f t="shared" si="93"/>
        <v>0.43661971830985913</v>
      </c>
      <c r="AC94" s="193">
        <f t="shared" ref="AC94" si="94">COUNTIF(AC14:AC92,"&gt;0")/$B$10</f>
        <v>0.38028169014084506</v>
      </c>
      <c r="AD94" s="193">
        <f t="shared" si="93"/>
        <v>0.61971830985915488</v>
      </c>
      <c r="AE94" s="193">
        <f t="shared" si="93"/>
        <v>0.56338028169014087</v>
      </c>
      <c r="AF94" s="193">
        <f t="shared" si="93"/>
        <v>0.43661971830985913</v>
      </c>
      <c r="AG94" s="193">
        <f t="shared" si="93"/>
        <v>0.40845070422535212</v>
      </c>
      <c r="AH94" s="193">
        <f t="shared" si="93"/>
        <v>0.52112676056338025</v>
      </c>
      <c r="AI94" s="193">
        <f t="shared" ref="AI94" si="95">COUNTIF(AI14:AI92,"&gt;0")/$B$10</f>
        <v>0.47887323943661969</v>
      </c>
      <c r="AJ94" s="193">
        <f t="shared" si="93"/>
        <v>0.36619718309859156</v>
      </c>
      <c r="AK94" s="193">
        <f t="shared" si="93"/>
        <v>0.36619718309859156</v>
      </c>
      <c r="AL94" s="193">
        <f t="shared" si="93"/>
        <v>0.56338028169014087</v>
      </c>
      <c r="AM94" s="193">
        <f t="shared" si="93"/>
        <v>0.54929577464788737</v>
      </c>
      <c r="AN94" s="193">
        <f t="shared" si="93"/>
        <v>0.50704225352112675</v>
      </c>
      <c r="AO94" s="193">
        <f t="shared" si="93"/>
        <v>0.53521126760563376</v>
      </c>
      <c r="AP94" s="193">
        <f t="shared" ref="AP94" si="96">COUNTIF(AP14:AP92,"&gt;0")/$B$10</f>
        <v>0.63380281690140849</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1294</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1" t="str">
        <f t="shared" ref="Z1:AO1" si="2">Z12</f>
        <v>MAX ACC 97% PNL 111971</v>
      </c>
      <c r="AA1" s="332" t="str">
        <f t="shared" si="2"/>
        <v>RISK-ON ACC 37% PNL -44343</v>
      </c>
      <c r="AB1" s="332" t="str">
        <f t="shared" si="2"/>
        <v>RISK-OFF ACC 61% PNL 44343</v>
      </c>
      <c r="AC1" s="332" t="str">
        <f t="shared" ref="AC1" si="3">AC12</f>
        <v>Previous ACC 52% PNL 10685</v>
      </c>
      <c r="AD1" s="295" t="str">
        <f t="shared" si="2"/>
        <v>Anti-Previous ACC 45% PNL -10685</v>
      </c>
      <c r="AE1" s="333" t="str">
        <f t="shared" si="2"/>
        <v>&gt;equity ACC 48% PNL 19472</v>
      </c>
      <c r="AF1" s="333" t="str">
        <f t="shared" si="2"/>
        <v>50/50 ACC 41% PNL -20668</v>
      </c>
      <c r="AG1" s="333" t="str">
        <f t="shared" si="2"/>
        <v>&lt;equity ACC 46% PNL -17940</v>
      </c>
      <c r="AH1" s="334" t="str">
        <f t="shared" si="2"/>
        <v>SEASONALITY ACC 52% PNL 18587</v>
      </c>
      <c r="AI1" s="334" t="str">
        <f t="shared" si="2"/>
        <v>ANTI-SEASONALITY ACC 45% PNL -18587</v>
      </c>
      <c r="AJ1" s="334" t="str">
        <f t="shared" si="2"/>
        <v>ADJ_SEASONALITY ACC 41% PNL -33719</v>
      </c>
      <c r="AK1" s="335" t="str">
        <f t="shared" si="2"/>
        <v>V1 ACC 46% PNL -16975</v>
      </c>
      <c r="AL1" s="335" t="str">
        <f t="shared" si="2"/>
        <v>V2 ACC 42% PNL -7979</v>
      </c>
      <c r="AM1" s="335" t="str">
        <f t="shared" si="2"/>
        <v>V3 ACC 46% PNL -10662</v>
      </c>
      <c r="AN1" s="335" t="str">
        <f t="shared" si="2"/>
        <v>V4 ACC 45% PNL -8604</v>
      </c>
      <c r="AO1" s="335" t="str">
        <f t="shared" si="2"/>
        <v>V5 ACC 54% PNL 27926</v>
      </c>
      <c r="AP1" s="335" t="str">
        <f t="shared" ref="AP1" si="4">AP12</f>
        <v>V6 ACC 46% PNL -2278</v>
      </c>
    </row>
    <row r="2" spans="1:42" outlineLevel="1" x14ac:dyDescent="0.25">
      <c r="A2" t="s">
        <v>1121</v>
      </c>
      <c r="B2" s="95">
        <f>COUNTIF($C$14:$C$92,A2)</f>
        <v>9</v>
      </c>
      <c r="C2" s="193">
        <f>B2/$B$10</f>
        <v>0.12676056338028169</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2">
        <f t="shared" ref="K2:K9" si="9">SUMIF($C$14:$C$92,$A2,E$14:E$92)/$B2</f>
        <v>-0.55555555555555558</v>
      </c>
      <c r="L2" s="342">
        <f t="shared" ref="L2:O9" si="10">SUMIF($C$14:$C$92,$A2,I$14:I$92)/$B2</f>
        <v>-0.1111111111111111</v>
      </c>
      <c r="M2" s="342">
        <f t="shared" si="10"/>
        <v>-0.33333333333333331</v>
      </c>
      <c r="N2" s="342">
        <f t="shared" si="10"/>
        <v>0.33333333333333331</v>
      </c>
      <c r="O2" s="342">
        <f t="shared" si="10"/>
        <v>-0.1111111111111111</v>
      </c>
      <c r="P2" s="342">
        <f t="shared" ref="P2:T9" si="11">SUMIF($C$14:$C$92,$A2,O$14:O$92)/$B2</f>
        <v>0.77777777777777779</v>
      </c>
      <c r="Q2" s="342">
        <f t="shared" si="11"/>
        <v>-0.1111111111111111</v>
      </c>
      <c r="R2" s="342">
        <f t="shared" si="11"/>
        <v>0.33333333333333331</v>
      </c>
      <c r="S2" s="342">
        <f t="shared" si="11"/>
        <v>0.55555555555555558</v>
      </c>
      <c r="T2" s="342">
        <f t="shared" si="11"/>
        <v>0.33333333333333331</v>
      </c>
      <c r="U2" s="342">
        <f t="shared" ref="U2:V2" si="12">SUMIF($C$14:$C$92,$A2,T$14:T$92)/$B2</f>
        <v>-0.77777777777777779</v>
      </c>
      <c r="V2" s="342">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8.4507042253521125E-2</v>
      </c>
      <c r="F3" s="294">
        <f t="shared" si="5"/>
        <v>0.5</v>
      </c>
      <c r="G3" s="137">
        <f t="shared" si="6"/>
        <v>3731.1823408648534</v>
      </c>
      <c r="H3" s="143">
        <f t="shared" si="7"/>
        <v>621.86372347747556</v>
      </c>
      <c r="I3" s="186">
        <f t="shared" ref="I3:I9" si="16">SUMIF($C$14:$C$92,A3,F$14:F$92)/B3</f>
        <v>-365.66213489685498</v>
      </c>
      <c r="J3" t="str">
        <f t="shared" si="8"/>
        <v>energy</v>
      </c>
      <c r="K3" s="342">
        <f t="shared" si="9"/>
        <v>-1</v>
      </c>
      <c r="L3" s="342">
        <f t="shared" si="10"/>
        <v>-0.66666666666666663</v>
      </c>
      <c r="M3" s="342">
        <f t="shared" si="10"/>
        <v>0</v>
      </c>
      <c r="N3" s="342">
        <f t="shared" si="10"/>
        <v>-0.66666666666666663</v>
      </c>
      <c r="O3" s="342">
        <f t="shared" si="10"/>
        <v>-0.33333333333333331</v>
      </c>
      <c r="P3" s="342">
        <f t="shared" si="11"/>
        <v>-0.33333333333333331</v>
      </c>
      <c r="Q3" s="342">
        <f t="shared" si="11"/>
        <v>-0.66666666666666663</v>
      </c>
      <c r="R3" s="342">
        <f t="shared" si="11"/>
        <v>0.66666666666666663</v>
      </c>
      <c r="S3" s="342">
        <f t="shared" si="11"/>
        <v>0.33333333333333331</v>
      </c>
      <c r="T3" s="342">
        <f t="shared" si="11"/>
        <v>0.33333333333333331</v>
      </c>
      <c r="U3" s="342">
        <f t="shared" ref="U3:V3" si="17">SUMIF($C$14:$C$92,$A3,T$14:T$92)/$B3</f>
        <v>0.33333333333333331</v>
      </c>
      <c r="V3" s="342">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0.14084507042253522</v>
      </c>
      <c r="F4" s="294">
        <f t="shared" si="5"/>
        <v>0.2</v>
      </c>
      <c r="G4" s="137">
        <f t="shared" si="6"/>
        <v>9795.378600757851</v>
      </c>
      <c r="H4" s="143">
        <f t="shared" si="7"/>
        <v>979.53786007578515</v>
      </c>
      <c r="I4" s="186">
        <f t="shared" si="16"/>
        <v>-697.68888493044449</v>
      </c>
      <c r="J4" t="str">
        <f t="shared" si="8"/>
        <v>grain</v>
      </c>
      <c r="K4" s="342">
        <f t="shared" si="9"/>
        <v>-0.8</v>
      </c>
      <c r="L4" s="342">
        <f t="shared" si="10"/>
        <v>0</v>
      </c>
      <c r="M4" s="342">
        <f t="shared" si="10"/>
        <v>0</v>
      </c>
      <c r="N4" s="342">
        <f t="shared" si="10"/>
        <v>-0.2</v>
      </c>
      <c r="O4" s="342">
        <f t="shared" si="10"/>
        <v>-0.2</v>
      </c>
      <c r="P4" s="342">
        <f t="shared" si="11"/>
        <v>-0.4</v>
      </c>
      <c r="Q4" s="342">
        <f t="shared" si="11"/>
        <v>-0.2</v>
      </c>
      <c r="R4" s="342">
        <f t="shared" si="11"/>
        <v>0.2</v>
      </c>
      <c r="S4" s="342">
        <f t="shared" si="11"/>
        <v>0.4</v>
      </c>
      <c r="T4" s="342">
        <f t="shared" si="11"/>
        <v>0.2</v>
      </c>
      <c r="U4" s="342">
        <f t="shared" ref="U4:V4" si="18">SUMIF($C$14:$C$92,$A4,T$14:T$92)/$B4</f>
        <v>0</v>
      </c>
      <c r="V4" s="342">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0.29577464788732394</v>
      </c>
      <c r="F5" s="294">
        <f t="shared" si="5"/>
        <v>0.14285714285714285</v>
      </c>
      <c r="G5" s="137">
        <f t="shared" si="6"/>
        <v>47577.112794275105</v>
      </c>
      <c r="H5" s="143">
        <f t="shared" si="7"/>
        <v>2265.5767997273861</v>
      </c>
      <c r="I5" s="186">
        <f t="shared" si="16"/>
        <v>-2086.5990801992339</v>
      </c>
      <c r="J5" t="str">
        <f t="shared" si="8"/>
        <v>index</v>
      </c>
      <c r="K5" s="342">
        <f t="shared" si="9"/>
        <v>4.7619047619047616E-2</v>
      </c>
      <c r="L5" s="342">
        <f t="shared" si="10"/>
        <v>0.33333333333333331</v>
      </c>
      <c r="M5" s="342">
        <f t="shared" si="10"/>
        <v>-0.42857142857142855</v>
      </c>
      <c r="N5" s="342">
        <f t="shared" si="10"/>
        <v>0.42857142857142855</v>
      </c>
      <c r="O5" s="342">
        <f t="shared" si="10"/>
        <v>-0.52380952380952384</v>
      </c>
      <c r="P5" s="342">
        <f t="shared" si="11"/>
        <v>0.33333333333333331</v>
      </c>
      <c r="Q5" s="342">
        <f t="shared" si="11"/>
        <v>0.42857142857142855</v>
      </c>
      <c r="R5" s="342">
        <f t="shared" si="11"/>
        <v>-4.7619047619047616E-2</v>
      </c>
      <c r="S5" s="342">
        <f t="shared" si="11"/>
        <v>0.42857142857142855</v>
      </c>
      <c r="T5" s="342">
        <f t="shared" si="11"/>
        <v>0.42857142857142855</v>
      </c>
      <c r="U5" s="342">
        <f t="shared" ref="U5:V5" si="19">SUMIF($C$14:$C$92,$A5,T$14:T$92)/$B5</f>
        <v>-0.23809523809523808</v>
      </c>
      <c r="V5" s="342">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4.2253521126760563E-2</v>
      </c>
      <c r="F6" s="294">
        <f t="shared" si="5"/>
        <v>0.66666666666666663</v>
      </c>
      <c r="G6" s="137">
        <f t="shared" si="6"/>
        <v>1653.4005660329469</v>
      </c>
      <c r="H6" s="143">
        <f t="shared" si="7"/>
        <v>551.13352201098235</v>
      </c>
      <c r="I6" s="186">
        <f t="shared" si="16"/>
        <v>471.2325319117295</v>
      </c>
      <c r="J6" t="str">
        <f t="shared" si="8"/>
        <v>meat</v>
      </c>
      <c r="K6" s="342">
        <f t="shared" si="9"/>
        <v>1</v>
      </c>
      <c r="L6" s="342">
        <f t="shared" si="10"/>
        <v>0.33333333333333331</v>
      </c>
      <c r="M6" s="342">
        <f t="shared" si="10"/>
        <v>-0.33333333333333331</v>
      </c>
      <c r="N6" s="342">
        <f t="shared" si="10"/>
        <v>1</v>
      </c>
      <c r="O6" s="342">
        <f t="shared" si="10"/>
        <v>-1</v>
      </c>
      <c r="P6" s="342">
        <f t="shared" si="11"/>
        <v>-0.33333333333333331</v>
      </c>
      <c r="Q6" s="342">
        <f t="shared" si="11"/>
        <v>1</v>
      </c>
      <c r="R6" s="342">
        <f t="shared" si="11"/>
        <v>-0.33333333333333331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7.0422535211267609E-2</v>
      </c>
      <c r="F7" s="294">
        <f t="shared" si="5"/>
        <v>1</v>
      </c>
      <c r="G7" s="137">
        <f t="shared" si="6"/>
        <v>5294.0097678739075</v>
      </c>
      <c r="H7" s="143">
        <f t="shared" si="7"/>
        <v>1058.8019535747815</v>
      </c>
      <c r="I7" s="186">
        <f t="shared" si="16"/>
        <v>1058.8019535747815</v>
      </c>
      <c r="J7" t="str">
        <f t="shared" si="8"/>
        <v>metal</v>
      </c>
      <c r="K7" s="342">
        <f t="shared" si="9"/>
        <v>0.6</v>
      </c>
      <c r="L7" s="342">
        <f t="shared" si="10"/>
        <v>0.6</v>
      </c>
      <c r="M7" s="342">
        <f t="shared" si="10"/>
        <v>-1</v>
      </c>
      <c r="N7" s="342">
        <f t="shared" si="10"/>
        <v>0.6</v>
      </c>
      <c r="O7" s="342">
        <f t="shared" si="10"/>
        <v>-0.6</v>
      </c>
      <c r="P7" s="342">
        <f t="shared" si="11"/>
        <v>-0.2</v>
      </c>
      <c r="Q7" s="342">
        <f t="shared" si="11"/>
        <v>0.6</v>
      </c>
      <c r="R7" s="342">
        <f t="shared" si="11"/>
        <v>-0.6</v>
      </c>
      <c r="S7" s="342">
        <f t="shared" si="11"/>
        <v>0.6</v>
      </c>
      <c r="T7" s="342">
        <f t="shared" si="11"/>
        <v>0.6</v>
      </c>
      <c r="U7" s="342">
        <f t="shared" ref="U7:V7" si="21">SUMIF($C$14:$C$92,$A7,T$14:T$92)/$B7</f>
        <v>0.2</v>
      </c>
      <c r="V7" s="342">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0.14084507042253522</v>
      </c>
      <c r="F8" s="294">
        <f t="shared" si="5"/>
        <v>0.3</v>
      </c>
      <c r="G8" s="137">
        <f t="shared" si="6"/>
        <v>17776.382000161968</v>
      </c>
      <c r="H8" s="143">
        <f t="shared" si="7"/>
        <v>1777.6382000161968</v>
      </c>
      <c r="I8" s="186">
        <f t="shared" si="16"/>
        <v>-1305.4731921539017</v>
      </c>
      <c r="J8" t="str">
        <f t="shared" si="8"/>
        <v>rates</v>
      </c>
      <c r="K8" s="342">
        <f t="shared" si="9"/>
        <v>-0.6</v>
      </c>
      <c r="L8" s="342">
        <f t="shared" si="10"/>
        <v>0.2</v>
      </c>
      <c r="M8" s="342">
        <f t="shared" si="10"/>
        <v>0</v>
      </c>
      <c r="N8" s="342">
        <f t="shared" si="10"/>
        <v>0.6</v>
      </c>
      <c r="O8" s="342">
        <f t="shared" si="10"/>
        <v>1</v>
      </c>
      <c r="P8" s="342">
        <f t="shared" si="11"/>
        <v>0.6</v>
      </c>
      <c r="Q8" s="342">
        <f t="shared" si="11"/>
        <v>-0.6</v>
      </c>
      <c r="R8" s="342">
        <f t="shared" si="11"/>
        <v>0.6</v>
      </c>
      <c r="S8" s="342">
        <f t="shared" si="11"/>
        <v>0</v>
      </c>
      <c r="T8" s="342">
        <f t="shared" si="11"/>
        <v>0.2</v>
      </c>
      <c r="U8" s="342">
        <f t="shared" ref="U8:V8" si="22">SUMIF($C$14:$C$92,$A8,T$14:T$92)/$B8</f>
        <v>-0.8</v>
      </c>
      <c r="V8" s="342">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7</v>
      </c>
      <c r="C9" s="200">
        <f t="shared" si="15"/>
        <v>9.8591549295774641E-2</v>
      </c>
      <c r="D9" s="126"/>
      <c r="F9" s="294">
        <f t="shared" si="5"/>
        <v>0.42857142857142855</v>
      </c>
      <c r="G9" s="199">
        <f t="shared" si="6"/>
        <v>10602.266294343735</v>
      </c>
      <c r="H9" s="143">
        <f t="shared" si="7"/>
        <v>1514.6094706205336</v>
      </c>
      <c r="I9" s="186">
        <f t="shared" si="16"/>
        <v>-674.05906159992821</v>
      </c>
      <c r="J9" t="str">
        <f t="shared" si="8"/>
        <v>soft</v>
      </c>
      <c r="K9" s="342">
        <f t="shared" si="9"/>
        <v>-0.14285714285714285</v>
      </c>
      <c r="L9" s="342">
        <f t="shared" si="10"/>
        <v>-0.42857142857142855</v>
      </c>
      <c r="M9" s="342">
        <f t="shared" si="10"/>
        <v>-0.42857142857142855</v>
      </c>
      <c r="N9" s="342">
        <f t="shared" si="10"/>
        <v>-0.14285714285714285</v>
      </c>
      <c r="O9" s="342">
        <f t="shared" si="10"/>
        <v>-0.42857142857142855</v>
      </c>
      <c r="P9" s="342">
        <f t="shared" si="11"/>
        <v>-0.14285714285714285</v>
      </c>
      <c r="Q9" s="342">
        <f t="shared" si="11"/>
        <v>-0.14285714285714285</v>
      </c>
      <c r="R9" s="342">
        <f t="shared" si="11"/>
        <v>-0.42857142857142855</v>
      </c>
      <c r="S9" s="342">
        <f t="shared" si="11"/>
        <v>0.14285714285714285</v>
      </c>
      <c r="T9" s="342">
        <f t="shared" si="11"/>
        <v>-0.42857142857142855</v>
      </c>
      <c r="U9" s="342">
        <f t="shared" ref="U9:V9" si="23">SUMIF($C$14:$C$92,$A9,T$14:T$92)/$B9</f>
        <v>0.14285714285714285</v>
      </c>
      <c r="V9" s="342">
        <f t="shared" si="23"/>
        <v>-0.14285714285714285</v>
      </c>
      <c r="W9" s="286"/>
      <c r="X9" s="6"/>
      <c r="Y9" s="17" t="s">
        <v>304</v>
      </c>
      <c r="Z9" s="283">
        <f t="shared" si="13"/>
        <v>10602.266294343735</v>
      </c>
      <c r="AA9" s="283">
        <f t="shared" si="13"/>
        <v>-4718.4134311994976</v>
      </c>
      <c r="AB9" s="283">
        <f t="shared" si="13"/>
        <v>4718.4134311994976</v>
      </c>
      <c r="AC9" s="283">
        <f t="shared" si="13"/>
        <v>-7352.8762629652365</v>
      </c>
      <c r="AD9" s="283">
        <f t="shared" si="13"/>
        <v>7352.8762629652365</v>
      </c>
      <c r="AE9" s="283">
        <f t="shared" si="13"/>
        <v>5468.566783052217</v>
      </c>
      <c r="AF9" s="283">
        <f t="shared" si="13"/>
        <v>2593.9518926691576</v>
      </c>
      <c r="AG9" s="283">
        <f t="shared" si="13"/>
        <v>-5908.398121156345</v>
      </c>
      <c r="AH9" s="283">
        <f t="shared" si="13"/>
        <v>2593.9518926691576</v>
      </c>
      <c r="AI9" s="283">
        <f t="shared" si="13"/>
        <v>-2593.9518926691576</v>
      </c>
      <c r="AJ9" s="283">
        <f t="shared" si="13"/>
        <v>-7352.8762629652365</v>
      </c>
      <c r="AK9" s="283">
        <f t="shared" si="13"/>
        <v>-7352.8762629652365</v>
      </c>
      <c r="AL9" s="283">
        <f t="shared" si="13"/>
        <v>5468.566783052217</v>
      </c>
      <c r="AM9" s="283">
        <f t="shared" si="13"/>
        <v>7352.8762629652365</v>
      </c>
      <c r="AN9" s="283">
        <f t="shared" si="13"/>
        <v>5468.566783052217</v>
      </c>
      <c r="AO9" s="283">
        <f t="shared" si="13"/>
        <v>5908.398121156345</v>
      </c>
      <c r="AP9" s="283">
        <f t="shared" si="13"/>
        <v>7101.9447734818796</v>
      </c>
    </row>
    <row r="10" spans="1:42" outlineLevel="1" x14ac:dyDescent="0.25">
      <c r="B10">
        <f>SUM(B2:B9)</f>
        <v>71</v>
      </c>
      <c r="C10" s="193">
        <f t="shared" si="15"/>
        <v>1</v>
      </c>
      <c r="D10" s="126"/>
      <c r="F10" s="294">
        <f>SUMIFS(H$14:H$92,H$14:H$92,1,$C$14:$C$92,"&lt;&gt;offline")/$B10</f>
        <v>0.39436619718309857</v>
      </c>
      <c r="G10" s="167">
        <f>SUM(G2:G9)</f>
        <v>111970.53791778097</v>
      </c>
      <c r="H10" s="143">
        <f t="shared" si="7"/>
        <v>1577.049829827901</v>
      </c>
      <c r="I10">
        <f>SUM(F14:F92)/B10</f>
        <v>-785.50319389929177</v>
      </c>
      <c r="J10" s="137"/>
      <c r="K10" s="6"/>
      <c r="L10" s="292"/>
      <c r="M10" s="286"/>
      <c r="N10" s="292"/>
      <c r="O10" s="6"/>
      <c r="R10" s="6"/>
      <c r="S10" s="286"/>
      <c r="T10" s="286"/>
      <c r="U10" s="286"/>
      <c r="V10" s="6"/>
      <c r="W10" s="286"/>
      <c r="X10" s="6"/>
      <c r="Y10" s="6" t="s">
        <v>1245</v>
      </c>
      <c r="Z10" s="284">
        <f>SUM(Z2:Z9)</f>
        <v>111970.53791778097</v>
      </c>
      <c r="AA10" s="284">
        <f t="shared" ref="AA10:AN10" si="24">SUM(AA2:AA9)</f>
        <v>-44342.798941205299</v>
      </c>
      <c r="AB10" s="284">
        <f t="shared" ref="AB10:AC10" si="25">SUM(AB2:AB9)</f>
        <v>44342.798941205299</v>
      </c>
      <c r="AC10" s="284">
        <f t="shared" si="25"/>
        <v>10684.713580883745</v>
      </c>
      <c r="AD10" s="284">
        <f t="shared" si="24"/>
        <v>-10684.713580883745</v>
      </c>
      <c r="AE10" s="284">
        <f t="shared" si="24"/>
        <v>19472.0788828404</v>
      </c>
      <c r="AF10" s="284">
        <f t="shared" si="24"/>
        <v>-20668.315842147447</v>
      </c>
      <c r="AG10" s="284">
        <f t="shared" si="24"/>
        <v>-17940.102605586635</v>
      </c>
      <c r="AH10" s="284">
        <f t="shared" si="24"/>
        <v>18586.611260042944</v>
      </c>
      <c r="AI10" s="284">
        <f t="shared" ref="AI10" si="26">SUM(AI2:AI9)</f>
        <v>-18586.611260042944</v>
      </c>
      <c r="AJ10" s="284">
        <f t="shared" si="24"/>
        <v>-33719.366255729365</v>
      </c>
      <c r="AK10" s="284">
        <f t="shared" si="24"/>
        <v>-16974.893730660373</v>
      </c>
      <c r="AL10" s="284">
        <f t="shared" si="24"/>
        <v>-7979.2003962904173</v>
      </c>
      <c r="AM10" s="284">
        <f t="shared" si="24"/>
        <v>-10661.904482088943</v>
      </c>
      <c r="AN10" s="284">
        <f t="shared" si="24"/>
        <v>-8604.2731044590255</v>
      </c>
      <c r="AO10" s="284">
        <f t="shared" ref="AO10:AP10" si="27">SUM(AO2:AO9)</f>
        <v>27926.028813922581</v>
      </c>
      <c r="AP10" s="284">
        <f t="shared" si="27"/>
        <v>-2277.8642679252489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8">Z93&amp;" ACC "&amp;ROUND(Z94,2)*100&amp;"% PNL "&amp;ROUND(Z10,0)</f>
        <v>MAX ACC 97% PNL 111971</v>
      </c>
      <c r="AA12" s="308" t="str">
        <f t="shared" si="28"/>
        <v>RISK-ON ACC 37% PNL -44343</v>
      </c>
      <c r="AB12" s="308" t="str">
        <f t="shared" si="28"/>
        <v>RISK-OFF ACC 61% PNL 44343</v>
      </c>
      <c r="AC12" s="308" t="str">
        <f t="shared" si="28"/>
        <v>Previous ACC 52% PNL 10685</v>
      </c>
      <c r="AD12" s="337" t="str">
        <f t="shared" si="28"/>
        <v>Anti-Previous ACC 45% PNL -10685</v>
      </c>
      <c r="AE12" s="338" t="str">
        <f t="shared" si="28"/>
        <v>&gt;equity ACC 48% PNL 19472</v>
      </c>
      <c r="AF12" s="338" t="str">
        <f t="shared" si="28"/>
        <v>50/50 ACC 41% PNL -20668</v>
      </c>
      <c r="AG12" s="338" t="str">
        <f t="shared" si="28"/>
        <v>&lt;equity ACC 46% PNL -17940</v>
      </c>
      <c r="AH12" s="339" t="str">
        <f t="shared" si="28"/>
        <v>SEASONALITY ACC 52% PNL 18587</v>
      </c>
      <c r="AI12" s="339" t="str">
        <f t="shared" si="28"/>
        <v>ANTI-SEASONALITY ACC 45% PNL -18587</v>
      </c>
      <c r="AJ12" s="339" t="str">
        <f t="shared" si="28"/>
        <v>ADJ_SEASONALITY ACC 41% PNL -33719</v>
      </c>
      <c r="AK12" s="340" t="str">
        <f t="shared" si="28"/>
        <v>V1 ACC 46% PNL -16975</v>
      </c>
      <c r="AL12" s="340" t="str">
        <f t="shared" si="28"/>
        <v>V2 ACC 42% PNL -7979</v>
      </c>
      <c r="AM12" s="340" t="str">
        <f t="shared" si="28"/>
        <v>V3 ACC 46% PNL -10662</v>
      </c>
      <c r="AN12" s="340" t="str">
        <f t="shared" si="28"/>
        <v>V4 ACC 45% PNL -8604</v>
      </c>
      <c r="AO12" s="340" t="str">
        <f t="shared" si="28"/>
        <v>V5 ACC 54% PNL 27926</v>
      </c>
      <c r="AP12" s="340" t="str">
        <f t="shared" ref="AP12" si="29">AP93&amp;" ACC "&amp;ROUND(AP94,2)*100&amp;"% PNL "&amp;ROUND(AP10,0)</f>
        <v>V6 ACC 46% PNL -2278</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858300.99064841692</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28" t="s">
        <v>287</v>
      </c>
      <c r="B14" s="329" t="s">
        <v>558</v>
      </c>
      <c r="C14" s="330" t="s">
        <v>1285</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7968</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H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21726.143999999997</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4685</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8889</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66800</v>
      </c>
      <c r="Y19" s="137">
        <v>13500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4</v>
      </c>
      <c r="W20">
        <v>1</v>
      </c>
      <c r="X20" s="137">
        <v>115840</v>
      </c>
      <c r="Y20" s="137">
        <v>9000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10428</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28" t="s">
        <v>307</v>
      </c>
      <c r="B22" s="329" t="s">
        <v>484</v>
      </c>
      <c r="C22" s="330" t="s">
        <v>1285</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9180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4503</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21792</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14804</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12992.099999999999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13327.38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28" t="s">
        <v>320</v>
      </c>
      <c r="B29" s="329" t="s">
        <v>564</v>
      </c>
      <c r="C29" s="330" t="s">
        <v>1285</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28" t="s">
        <v>323</v>
      </c>
      <c r="B30" s="329" t="s">
        <v>581</v>
      </c>
      <c r="C30" s="330" t="s">
        <v>1285</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14250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15750</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8436</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2449.7791999999999</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17434.559999999998</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28" t="s">
        <v>335</v>
      </c>
      <c r="B36" s="329" t="s">
        <v>568</v>
      </c>
      <c r="C36" s="330" t="s">
        <v>1285</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16638.4218</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15369.6543</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28" t="s">
        <v>341</v>
      </c>
      <c r="B39" s="329" t="s">
        <v>453</v>
      </c>
      <c r="C39" s="330" t="s">
        <v>1285</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7000</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11250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15115.9793814433</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2</v>
      </c>
      <c r="W43">
        <v>1</v>
      </c>
      <c r="X43" s="137">
        <v>110450</v>
      </c>
      <c r="Y43" s="137">
        <v>5750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25265.463917525773</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11970</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7894</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15000</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4</v>
      </c>
      <c r="W48">
        <v>1</v>
      </c>
      <c r="X48" s="137">
        <v>81300</v>
      </c>
      <c r="Y48" s="137">
        <v>7000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330" t="s">
        <v>1285</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0</v>
      </c>
      <c r="W49">
        <v>1</v>
      </c>
      <c r="X49" s="137">
        <v>103917</v>
      </c>
      <c r="Y49" s="137">
        <v>7311</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6750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10000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8800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3</v>
      </c>
      <c r="W53">
        <v>1</v>
      </c>
      <c r="X53" s="137">
        <v>96840</v>
      </c>
      <c r="Y53" s="137">
        <v>6000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10</v>
      </c>
      <c r="W54">
        <v>1</v>
      </c>
      <c r="X54" s="137">
        <v>127820</v>
      </c>
      <c r="Y54" s="137">
        <v>15640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8312</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9572</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25145.999999999996</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18496</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17875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9054</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6495</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12500</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15000</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6750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4376</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10500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6192</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12236</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6850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17</v>
      </c>
      <c r="W70">
        <v>1</v>
      </c>
      <c r="X70" s="137">
        <v>88661.129314943217</v>
      </c>
      <c r="Y70" s="137">
        <v>4299.8239032233369</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15250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12000</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33606</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1296</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6756</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5</v>
      </c>
      <c r="W76">
        <v>1</v>
      </c>
      <c r="X76" s="137">
        <v>740406.21033102251</v>
      </c>
      <c r="Y76" s="137">
        <v>1975.1135690302192</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3</v>
      </c>
      <c r="W77">
        <v>1</v>
      </c>
      <c r="X77" s="137">
        <v>65340</v>
      </c>
      <c r="Y77" s="137">
        <v>12000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26336.136177194425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6246.24</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H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11250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16205.199999999997</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13500</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11</v>
      </c>
      <c r="W83">
        <v>1</v>
      </c>
      <c r="X83" s="137">
        <v>2408312.5</v>
      </c>
      <c r="Y83" s="137">
        <v>8244</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6248</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9124</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26148</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14000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19499.594399999998</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28" t="s">
        <v>1054</v>
      </c>
      <c r="B89" s="329" t="s">
        <v>463</v>
      </c>
      <c r="C89" s="330" t="s">
        <v>1285</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16248</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12326.4</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12518.999999999998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O94" si="101">COUNTIF(AA14:AA92,"&gt;0")/$B$10</f>
        <v>0.36619718309859156</v>
      </c>
      <c r="AB94" s="193">
        <f t="shared" si="101"/>
        <v>0.60563380281690138</v>
      </c>
      <c r="AC94" s="193">
        <f t="shared" ref="AC94" si="102">COUNTIF(AC14:AC92,"&gt;0")/$B$10</f>
        <v>0.52112676056338025</v>
      </c>
      <c r="AD94" s="193">
        <f t="shared" si="101"/>
        <v>0.45070422535211269</v>
      </c>
      <c r="AE94" s="193">
        <f t="shared" si="101"/>
        <v>0.47887323943661969</v>
      </c>
      <c r="AF94" s="193">
        <f t="shared" si="101"/>
        <v>0.40845070422535212</v>
      </c>
      <c r="AG94" s="193">
        <f t="shared" si="101"/>
        <v>0.46478873239436619</v>
      </c>
      <c r="AH94" s="193">
        <f t="shared" si="101"/>
        <v>0.52112676056338025</v>
      </c>
      <c r="AI94" s="193">
        <f t="shared" ref="AI94" si="103">COUNTIF(AI14:AI92,"&gt;0")/$B$10</f>
        <v>0.45070422535211269</v>
      </c>
      <c r="AJ94" s="193">
        <f t="shared" si="101"/>
        <v>0.40845070422535212</v>
      </c>
      <c r="AK94" s="193">
        <f t="shared" si="101"/>
        <v>0.46478873239436619</v>
      </c>
      <c r="AL94" s="193">
        <f t="shared" si="101"/>
        <v>0.42253521126760563</v>
      </c>
      <c r="AM94" s="193">
        <f t="shared" si="101"/>
        <v>0.46478873239436619</v>
      </c>
      <c r="AN94" s="193">
        <f t="shared" si="101"/>
        <v>0.45070422535211269</v>
      </c>
      <c r="AO94" s="193">
        <f t="shared" si="101"/>
        <v>0.53521126760563376</v>
      </c>
      <c r="AP94" s="193">
        <f t="shared" ref="AP94" si="104">COUNTIF(AP14:AP92,"&gt;0")/$B$10</f>
        <v>0.46478873239436619</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I14" activePane="bottomRight" state="frozen"/>
      <selection activeCell="C49" sqref="C49"/>
      <selection pane="topRight" activeCell="C49" sqref="C49"/>
      <selection pane="bottomLeft" activeCell="C49" sqref="C49"/>
      <selection pane="bottomRight" activeCell="AV43" sqref="AV43"/>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1294</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1" t="str">
        <f t="shared" ref="Z1:AO1" si="2">Z12</f>
        <v>MAX ACC 99% PNL 107017</v>
      </c>
      <c r="AA1" s="332" t="str">
        <f t="shared" si="2"/>
        <v>RISK-ON ACC 39% PNL -9757</v>
      </c>
      <c r="AB1" s="332" t="str">
        <f t="shared" si="2"/>
        <v>RISK-OFF ACC 59% PNL 9757</v>
      </c>
      <c r="AC1" s="332" t="str">
        <f t="shared" ref="AC1" si="3">AC12</f>
        <v>Previous ACC 25% PNL -73272</v>
      </c>
      <c r="AD1" s="295" t="str">
        <f t="shared" si="2"/>
        <v>Anti-Previous ACC 73% PNL 73272</v>
      </c>
      <c r="AE1" s="333" t="str">
        <f t="shared" si="2"/>
        <v>&gt;equity ACC 45% PNL -9547</v>
      </c>
      <c r="AF1" s="333" t="str">
        <f t="shared" si="2"/>
        <v>50/50 ACC 49% PNL -4324</v>
      </c>
      <c r="AG1" s="333" t="str">
        <f t="shared" si="2"/>
        <v>&lt;equity ACC 48% PNL -11894</v>
      </c>
      <c r="AH1" s="334" t="str">
        <f t="shared" si="2"/>
        <v>SEASONALITY ACC 38% PNL -36920</v>
      </c>
      <c r="AI1" s="334" t="str">
        <f t="shared" si="2"/>
        <v>ANTI-SEASONALITY ACC 61% PNL 36920</v>
      </c>
      <c r="AJ1" s="334" t="str">
        <f t="shared" si="2"/>
        <v>ADJ_SEASONALITY ACC 45% PNL -16721</v>
      </c>
      <c r="AK1" s="335" t="str">
        <f t="shared" si="2"/>
        <v>V1 ACC 41% PNL -26402</v>
      </c>
      <c r="AL1" s="335" t="str">
        <f t="shared" si="2"/>
        <v>V2 ACC 55% PNL 23247</v>
      </c>
      <c r="AM1" s="335" t="str">
        <f t="shared" si="2"/>
        <v>V3 ACC 68% PNL 51311</v>
      </c>
      <c r="AN1" s="335" t="str">
        <f t="shared" si="2"/>
        <v>V4 ACC 59% PNL 36716</v>
      </c>
      <c r="AO1" s="335" t="str">
        <f t="shared" si="2"/>
        <v>V5 ACC 46% PNL -5682</v>
      </c>
      <c r="AP1" s="335" t="str">
        <f t="shared" ref="AP1" si="4">AP12</f>
        <v>V6 ACC 65% PNL 54253</v>
      </c>
    </row>
    <row r="2" spans="1:42" outlineLevel="1" x14ac:dyDescent="0.25">
      <c r="A2" t="s">
        <v>1121</v>
      </c>
      <c r="B2" s="95">
        <f>COUNTIF($C$14:$C$92,A2)</f>
        <v>9</v>
      </c>
      <c r="C2" s="193">
        <f>B2/$B$10</f>
        <v>0.12676056338028169</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2">
        <f t="shared" ref="K2:K9" si="9">SUMIF($C$14:$C$92,$A2,E$14:E$92)/$B2</f>
        <v>0.77777777777777779</v>
      </c>
      <c r="L2" s="342">
        <f t="shared" ref="L2:O9" si="10">SUMIF($C$14:$C$92,$A2,I$14:I$92)/$B2</f>
        <v>0.33333333333333331</v>
      </c>
      <c r="M2" s="342">
        <f t="shared" si="10"/>
        <v>0.33333333333333331</v>
      </c>
      <c r="N2" s="342">
        <f t="shared" si="10"/>
        <v>-0.33333333333333331</v>
      </c>
      <c r="O2" s="342">
        <f t="shared" si="10"/>
        <v>-0.1111111111111111</v>
      </c>
      <c r="P2" s="342">
        <f t="shared" ref="P2:T9" si="11">SUMIF($C$14:$C$92,$A2,O$14:O$92)/$B2</f>
        <v>0.55555555555555558</v>
      </c>
      <c r="Q2" s="342">
        <f t="shared" si="11"/>
        <v>0.33333333333333331</v>
      </c>
      <c r="R2" s="342">
        <f t="shared" si="11"/>
        <v>0.1111111111111111</v>
      </c>
      <c r="S2" s="342">
        <f t="shared" si="11"/>
        <v>-0.1111111111111111</v>
      </c>
      <c r="T2" s="342">
        <f t="shared" si="11"/>
        <v>0.1111111111111111</v>
      </c>
      <c r="U2" s="342">
        <f t="shared" ref="U2:V2" si="12">SUMIF($C$14:$C$92,$A2,T$14:T$92)/$B2</f>
        <v>0.1111111111111111</v>
      </c>
      <c r="V2" s="342">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8.4507042253521125E-2</v>
      </c>
      <c r="F3" s="294">
        <f t="shared" si="5"/>
        <v>0</v>
      </c>
      <c r="G3" s="137">
        <f t="shared" si="6"/>
        <v>16552.100072736099</v>
      </c>
      <c r="H3" s="143">
        <f t="shared" si="7"/>
        <v>2758.6833454560165</v>
      </c>
      <c r="I3" s="186">
        <f t="shared" ref="I3:I9" si="16">SUMIF($C$14:$C$92,A3,F$14:F$92)/B3</f>
        <v>-2758.6833454560165</v>
      </c>
      <c r="J3" t="str">
        <f t="shared" si="8"/>
        <v>energy</v>
      </c>
      <c r="K3" s="342">
        <f t="shared" si="9"/>
        <v>0.66666666666666663</v>
      </c>
      <c r="L3" s="342">
        <f t="shared" si="10"/>
        <v>-0.33333333333333331</v>
      </c>
      <c r="M3" s="342">
        <f t="shared" si="10"/>
        <v>0.33333333333333331</v>
      </c>
      <c r="N3" s="342">
        <f t="shared" si="10"/>
        <v>-0.33333333333333331</v>
      </c>
      <c r="O3" s="342">
        <f t="shared" si="10"/>
        <v>-0.33333333333333331</v>
      </c>
      <c r="P3" s="342">
        <f t="shared" si="11"/>
        <v>0</v>
      </c>
      <c r="Q3" s="342">
        <f t="shared" si="11"/>
        <v>0.33333333333333331</v>
      </c>
      <c r="R3" s="342">
        <f t="shared" si="11"/>
        <v>0</v>
      </c>
      <c r="S3" s="342">
        <f t="shared" si="11"/>
        <v>-0.33333333333333331</v>
      </c>
      <c r="T3" s="342">
        <f t="shared" si="11"/>
        <v>-0.33333333333333331</v>
      </c>
      <c r="U3" s="342">
        <f t="shared" ref="U3:V3" si="17">SUMIF($C$14:$C$92,$A3,T$14:T$92)/$B3</f>
        <v>0.33333333333333331</v>
      </c>
      <c r="V3" s="342">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0.14084507042253522</v>
      </c>
      <c r="F4" s="294">
        <f t="shared" si="5"/>
        <v>0.1</v>
      </c>
      <c r="G4" s="137">
        <f t="shared" si="6"/>
        <v>15053.972755331835</v>
      </c>
      <c r="H4" s="143">
        <f t="shared" si="7"/>
        <v>1505.3972755331836</v>
      </c>
      <c r="I4" s="186">
        <f t="shared" si="16"/>
        <v>-1505.3972755331836</v>
      </c>
      <c r="J4" t="str">
        <f t="shared" si="8"/>
        <v>grain</v>
      </c>
      <c r="K4" s="342">
        <f t="shared" si="9"/>
        <v>0.8</v>
      </c>
      <c r="L4" s="342">
        <f t="shared" si="10"/>
        <v>0.4</v>
      </c>
      <c r="M4" s="342">
        <f t="shared" si="10"/>
        <v>-0.2</v>
      </c>
      <c r="N4" s="342">
        <f t="shared" si="10"/>
        <v>0.4</v>
      </c>
      <c r="O4" s="342">
        <f t="shared" si="10"/>
        <v>0.4</v>
      </c>
      <c r="P4" s="342">
        <f t="shared" si="11"/>
        <v>0.2</v>
      </c>
      <c r="Q4" s="342">
        <f t="shared" si="11"/>
        <v>0.4</v>
      </c>
      <c r="R4" s="342">
        <f t="shared" si="11"/>
        <v>-0.4</v>
      </c>
      <c r="S4" s="342">
        <f t="shared" si="11"/>
        <v>-0.6</v>
      </c>
      <c r="T4" s="342">
        <f t="shared" si="11"/>
        <v>-0.2</v>
      </c>
      <c r="U4" s="342">
        <f t="shared" ref="U4:V4" si="18">SUMIF($C$14:$C$92,$A4,T$14:T$92)/$B4</f>
        <v>0</v>
      </c>
      <c r="V4" s="342">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0.29577464788732394</v>
      </c>
      <c r="F5" s="294">
        <f t="shared" si="5"/>
        <v>0.52380952380952384</v>
      </c>
      <c r="G5" s="137">
        <f t="shared" si="6"/>
        <v>26241.507243962842</v>
      </c>
      <c r="H5" s="143">
        <f t="shared" si="7"/>
        <v>1249.5955830458497</v>
      </c>
      <c r="I5" s="186">
        <f t="shared" si="16"/>
        <v>390.31557208142726</v>
      </c>
      <c r="J5" t="str">
        <f t="shared" si="8"/>
        <v>index</v>
      </c>
      <c r="K5" s="342">
        <f t="shared" si="9"/>
        <v>0.14285714285714285</v>
      </c>
      <c r="L5" s="342">
        <f t="shared" si="10"/>
        <v>0.33333333333333331</v>
      </c>
      <c r="M5" s="342">
        <f t="shared" si="10"/>
        <v>-0.14285714285714285</v>
      </c>
      <c r="N5" s="342">
        <f t="shared" si="10"/>
        <v>0.33333333333333331</v>
      </c>
      <c r="O5" s="342">
        <f t="shared" si="10"/>
        <v>-0.52380952380952384</v>
      </c>
      <c r="P5" s="342">
        <f t="shared" si="11"/>
        <v>0.23809523809523808</v>
      </c>
      <c r="Q5" s="342">
        <f t="shared" si="11"/>
        <v>0.33333333333333331</v>
      </c>
      <c r="R5" s="342">
        <f t="shared" si="11"/>
        <v>-0.14285714285714285</v>
      </c>
      <c r="S5" s="342">
        <f t="shared" si="11"/>
        <v>0.52380952380952384</v>
      </c>
      <c r="T5" s="342">
        <f t="shared" si="11"/>
        <v>0.52380952380952384</v>
      </c>
      <c r="U5" s="342">
        <f t="shared" ref="U5:V5" si="19">SUMIF($C$14:$C$92,$A5,T$14:T$92)/$B5</f>
        <v>-0.42857142857142855</v>
      </c>
      <c r="V5" s="342">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4.2253521126760563E-2</v>
      </c>
      <c r="F6" s="294">
        <f t="shared" si="5"/>
        <v>1</v>
      </c>
      <c r="G6" s="137">
        <f t="shared" si="6"/>
        <v>10069.003875579428</v>
      </c>
      <c r="H6" s="143">
        <f t="shared" si="7"/>
        <v>3356.334625193143</v>
      </c>
      <c r="I6" s="186">
        <f t="shared" si="16"/>
        <v>3356.334625193143</v>
      </c>
      <c r="J6" t="str">
        <f t="shared" si="8"/>
        <v>meat</v>
      </c>
      <c r="K6" s="342">
        <f t="shared" si="9"/>
        <v>-1</v>
      </c>
      <c r="L6" s="342">
        <f t="shared" si="10"/>
        <v>0.33333333333333331</v>
      </c>
      <c r="M6" s="342">
        <f t="shared" si="10"/>
        <v>1</v>
      </c>
      <c r="N6" s="342">
        <f t="shared" si="10"/>
        <v>-0.33333333333333331</v>
      </c>
      <c r="O6" s="342">
        <f t="shared" si="10"/>
        <v>-1</v>
      </c>
      <c r="P6" s="342">
        <f t="shared" si="11"/>
        <v>-0.33333333333333331</v>
      </c>
      <c r="Q6" s="342">
        <f t="shared" si="11"/>
        <v>-0.33333333333333331</v>
      </c>
      <c r="R6" s="342">
        <f t="shared" si="11"/>
        <v>1</v>
      </c>
      <c r="S6" s="342">
        <f t="shared" si="11"/>
        <v>1</v>
      </c>
      <c r="T6" s="342">
        <f t="shared" si="11"/>
        <v>1</v>
      </c>
      <c r="U6" s="342">
        <f t="shared" ref="U6:V6" si="20">SUMIF($C$14:$C$92,$A6,T$14:T$92)/$B6</f>
        <v>0.33333333333333331</v>
      </c>
      <c r="V6" s="342">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7.0422535211267609E-2</v>
      </c>
      <c r="F7" s="294">
        <f t="shared" si="5"/>
        <v>0.8</v>
      </c>
      <c r="G7" s="137">
        <f t="shared" si="6"/>
        <v>4876.4321326993522</v>
      </c>
      <c r="H7" s="143">
        <f t="shared" si="7"/>
        <v>975.28642653987049</v>
      </c>
      <c r="I7" s="186">
        <f t="shared" si="16"/>
        <v>539.64384270001074</v>
      </c>
      <c r="J7" t="str">
        <f t="shared" si="8"/>
        <v>metal</v>
      </c>
      <c r="K7" s="342">
        <f t="shared" si="9"/>
        <v>1</v>
      </c>
      <c r="L7" s="342">
        <f t="shared" si="10"/>
        <v>0.6</v>
      </c>
      <c r="M7" s="342">
        <f t="shared" si="10"/>
        <v>-0.6</v>
      </c>
      <c r="N7" s="342">
        <f t="shared" si="10"/>
        <v>0.6</v>
      </c>
      <c r="O7" s="342">
        <f t="shared" si="10"/>
        <v>-0.2</v>
      </c>
      <c r="P7" s="342">
        <f t="shared" si="11"/>
        <v>-0.6</v>
      </c>
      <c r="Q7" s="342">
        <f t="shared" si="11"/>
        <v>1</v>
      </c>
      <c r="R7" s="342">
        <f t="shared" si="11"/>
        <v>-1</v>
      </c>
      <c r="S7" s="342">
        <f t="shared" si="11"/>
        <v>-0.2</v>
      </c>
      <c r="T7" s="342">
        <f t="shared" si="11"/>
        <v>-0.2</v>
      </c>
      <c r="U7" s="342">
        <f t="shared" ref="U7:V7" si="21">SUMIF($C$14:$C$92,$A7,T$14:T$92)/$B7</f>
        <v>1</v>
      </c>
      <c r="V7" s="342">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0.14084507042253522</v>
      </c>
      <c r="F8" s="294">
        <f t="shared" si="5"/>
        <v>0.2</v>
      </c>
      <c r="G8" s="137">
        <f t="shared" si="6"/>
        <v>13435.248604081915</v>
      </c>
      <c r="H8" s="143">
        <f t="shared" si="7"/>
        <v>1343.5248604081914</v>
      </c>
      <c r="I8" s="186">
        <f t="shared" si="16"/>
        <v>-875.58035154487357</v>
      </c>
      <c r="J8" t="str">
        <f t="shared" si="8"/>
        <v>rates</v>
      </c>
      <c r="K8" s="342">
        <f t="shared" si="9"/>
        <v>0.6</v>
      </c>
      <c r="L8" s="342">
        <f t="shared" si="10"/>
        <v>0.2</v>
      </c>
      <c r="M8" s="342">
        <f t="shared" si="10"/>
        <v>0.2</v>
      </c>
      <c r="N8" s="342">
        <f t="shared" si="10"/>
        <v>0</v>
      </c>
      <c r="O8" s="342">
        <f t="shared" si="10"/>
        <v>1</v>
      </c>
      <c r="P8" s="342">
        <f t="shared" si="11"/>
        <v>0.6</v>
      </c>
      <c r="Q8" s="342">
        <f t="shared" si="11"/>
        <v>-0.2</v>
      </c>
      <c r="R8" s="342">
        <f t="shared" si="11"/>
        <v>0.2</v>
      </c>
      <c r="S8" s="342">
        <f t="shared" si="11"/>
        <v>-0.6</v>
      </c>
      <c r="T8" s="342">
        <f t="shared" si="11"/>
        <v>0</v>
      </c>
      <c r="U8" s="342">
        <f t="shared" ref="U8:V8" si="22">SUMIF($C$14:$C$92,$A8,T$14:T$92)/$B8</f>
        <v>-0.2</v>
      </c>
      <c r="V8" s="342">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7</v>
      </c>
      <c r="C9" s="200">
        <f t="shared" si="15"/>
        <v>9.8591549295774641E-2</v>
      </c>
      <c r="D9" s="126"/>
      <c r="F9" s="294">
        <f t="shared" si="5"/>
        <v>0.42857142857142855</v>
      </c>
      <c r="G9" s="199">
        <f t="shared" si="6"/>
        <v>13856.768229379384</v>
      </c>
      <c r="H9" s="143">
        <f t="shared" si="7"/>
        <v>1979.5383184827692</v>
      </c>
      <c r="I9" s="186">
        <f t="shared" si="16"/>
        <v>65.668905908958408</v>
      </c>
      <c r="J9" t="str">
        <f t="shared" si="8"/>
        <v>soft</v>
      </c>
      <c r="K9" s="342">
        <f t="shared" si="9"/>
        <v>0.42857142857142855</v>
      </c>
      <c r="L9" s="342">
        <f t="shared" si="10"/>
        <v>0.14285714285714285</v>
      </c>
      <c r="M9" s="342">
        <f t="shared" si="10"/>
        <v>0.14285714285714285</v>
      </c>
      <c r="N9" s="342">
        <f t="shared" si="10"/>
        <v>0.14285714285714285</v>
      </c>
      <c r="O9" s="342">
        <f t="shared" si="10"/>
        <v>-0.42857142857142855</v>
      </c>
      <c r="P9" s="342">
        <f t="shared" si="11"/>
        <v>0.14285714285714285</v>
      </c>
      <c r="Q9" s="342">
        <f t="shared" si="11"/>
        <v>0.7142857142857143</v>
      </c>
      <c r="R9" s="342">
        <f t="shared" si="11"/>
        <v>-0.14285714285714285</v>
      </c>
      <c r="S9" s="342">
        <f t="shared" si="11"/>
        <v>-0.14285714285714285</v>
      </c>
      <c r="T9" s="342">
        <f t="shared" si="11"/>
        <v>-0.14285714285714285</v>
      </c>
      <c r="U9" s="342">
        <f t="shared" ref="U9:V9" si="23">SUMIF($C$14:$C$92,$A9,T$14:T$92)/$B9</f>
        <v>0.14285714285714285</v>
      </c>
      <c r="V9" s="342">
        <f t="shared" si="23"/>
        <v>-0.14285714285714285</v>
      </c>
      <c r="W9" s="286"/>
      <c r="X9" s="6"/>
      <c r="Y9" s="17" t="s">
        <v>304</v>
      </c>
      <c r="Z9" s="283">
        <f t="shared" si="13"/>
        <v>13856.768229379384</v>
      </c>
      <c r="AA9" s="283">
        <f t="shared" si="13"/>
        <v>459.68234136270883</v>
      </c>
      <c r="AB9" s="283">
        <f t="shared" si="13"/>
        <v>-459.68234136270883</v>
      </c>
      <c r="AC9" s="283">
        <f t="shared" si="13"/>
        <v>-12832.08427476048</v>
      </c>
      <c r="AD9" s="283">
        <f t="shared" si="13"/>
        <v>12832.08427476048</v>
      </c>
      <c r="AE9" s="283">
        <f t="shared" si="13"/>
        <v>6517.5250928239448</v>
      </c>
      <c r="AF9" s="283">
        <f t="shared" si="13"/>
        <v>-5043.563290246233</v>
      </c>
      <c r="AG9" s="283">
        <f t="shared" si="13"/>
        <v>-5043.563290246233</v>
      </c>
      <c r="AH9" s="283">
        <f t="shared" si="13"/>
        <v>-9229.169634174661</v>
      </c>
      <c r="AI9" s="283">
        <f t="shared" si="13"/>
        <v>9229.169634174661</v>
      </c>
      <c r="AJ9" s="283">
        <f t="shared" si="13"/>
        <v>703.19858646041746</v>
      </c>
      <c r="AK9" s="283">
        <f t="shared" si="13"/>
        <v>-7053.9966709832588</v>
      </c>
      <c r="AL9" s="283">
        <f t="shared" si="13"/>
        <v>11239.603014911689</v>
      </c>
      <c r="AM9" s="283">
        <f t="shared" si="13"/>
        <v>11239.603014911689</v>
      </c>
      <c r="AN9" s="283">
        <f t="shared" si="13"/>
        <v>11239.603014911689</v>
      </c>
      <c r="AO9" s="283">
        <f t="shared" si="13"/>
        <v>321.48536815848922</v>
      </c>
      <c r="AP9" s="283">
        <f t="shared" si="13"/>
        <v>11239.603014911689</v>
      </c>
    </row>
    <row r="10" spans="1:42" outlineLevel="1" x14ac:dyDescent="0.25">
      <c r="B10">
        <f>SUM(B2:B9)</f>
        <v>71</v>
      </c>
      <c r="C10" s="193">
        <f t="shared" si="15"/>
        <v>1</v>
      </c>
      <c r="D10" s="126"/>
      <c r="F10" s="294">
        <f>SUMIFS(H$14:H$92,H$14:H$92,1,$C$14:$C$92,"&lt;&gt;offline")/$B10</f>
        <v>0.36619718309859156</v>
      </c>
      <c r="G10" s="167">
        <f>SUM(G2:G9)</f>
        <v>107016.52516299847</v>
      </c>
      <c r="H10" s="143">
        <f t="shared" si="7"/>
        <v>1507.2750022957532</v>
      </c>
      <c r="I10">
        <f>SUM(F14:F92)/B10</f>
        <v>-352.20800112955163</v>
      </c>
      <c r="J10" s="137"/>
      <c r="K10" s="6"/>
      <c r="L10" s="292"/>
      <c r="M10" s="286"/>
      <c r="N10" s="292"/>
      <c r="O10" s="6"/>
      <c r="R10" s="6"/>
      <c r="S10" s="286"/>
      <c r="T10" s="286"/>
      <c r="U10" s="286"/>
      <c r="V10" s="6"/>
      <c r="W10" s="286"/>
      <c r="X10" s="6"/>
      <c r="Y10" s="6" t="s">
        <v>1245</v>
      </c>
      <c r="Z10" s="284">
        <f>SUM(Z2:Z9)</f>
        <v>107016.52516299847</v>
      </c>
      <c r="AA10" s="284">
        <f t="shared" ref="AA10:AO10" si="24">SUM(AA2:AA9)</f>
        <v>-9756.728578419079</v>
      </c>
      <c r="AB10" s="284">
        <f t="shared" si="24"/>
        <v>9756.728578419079</v>
      </c>
      <c r="AC10" s="284">
        <f t="shared" si="24"/>
        <v>-73271.821450281393</v>
      </c>
      <c r="AD10" s="284">
        <f t="shared" si="24"/>
        <v>73271.821450281393</v>
      </c>
      <c r="AE10" s="284">
        <f t="shared" si="24"/>
        <v>-9547.081806458802</v>
      </c>
      <c r="AF10" s="284">
        <f t="shared" si="24"/>
        <v>-4324.3744460743865</v>
      </c>
      <c r="AG10" s="284">
        <f t="shared" si="24"/>
        <v>-11894.163314550568</v>
      </c>
      <c r="AH10" s="284">
        <f t="shared" si="24"/>
        <v>-36919.508396240126</v>
      </c>
      <c r="AI10" s="284">
        <f t="shared" ref="AI10" si="25">SUM(AI2:AI9)</f>
        <v>36919.508396240126</v>
      </c>
      <c r="AJ10" s="284">
        <f t="shared" si="24"/>
        <v>-16721.459963444224</v>
      </c>
      <c r="AK10" s="284">
        <f t="shared" si="24"/>
        <v>-26402.334589030703</v>
      </c>
      <c r="AL10" s="284">
        <f t="shared" si="24"/>
        <v>23247.107896215712</v>
      </c>
      <c r="AM10" s="284">
        <f t="shared" si="24"/>
        <v>51310.783349095058</v>
      </c>
      <c r="AN10" s="284">
        <f t="shared" si="24"/>
        <v>36716.290596668798</v>
      </c>
      <c r="AO10" s="284">
        <f t="shared" si="24"/>
        <v>-5682.1437228510531</v>
      </c>
      <c r="AP10" s="284">
        <f t="shared" ref="AP10" si="26">SUM(AP2:AP9)</f>
        <v>54252.856747915677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99% PNL 107017</v>
      </c>
      <c r="AA12" s="308" t="str">
        <f t="shared" si="27"/>
        <v>RISK-ON ACC 39% PNL -9757</v>
      </c>
      <c r="AB12" s="308" t="str">
        <f t="shared" si="27"/>
        <v>RISK-OFF ACC 59% PNL 9757</v>
      </c>
      <c r="AC12" s="308" t="str">
        <f t="shared" si="27"/>
        <v>Previous ACC 25% PNL -73272</v>
      </c>
      <c r="AD12" s="337" t="str">
        <f t="shared" si="27"/>
        <v>Anti-Previous ACC 73% PNL 73272</v>
      </c>
      <c r="AE12" s="338" t="str">
        <f t="shared" si="27"/>
        <v>&gt;equity ACC 45% PNL -9547</v>
      </c>
      <c r="AF12" s="338" t="str">
        <f t="shared" si="27"/>
        <v>50/50 ACC 49% PNL -4324</v>
      </c>
      <c r="AG12" s="338" t="str">
        <f t="shared" si="27"/>
        <v>&lt;equity ACC 48% PNL -11894</v>
      </c>
      <c r="AH12" s="339" t="str">
        <f t="shared" si="27"/>
        <v>SEASONALITY ACC 38% PNL -36920</v>
      </c>
      <c r="AI12" s="339" t="str">
        <f t="shared" si="27"/>
        <v>ANTI-SEASONALITY ACC 61% PNL 36920</v>
      </c>
      <c r="AJ12" s="339" t="str">
        <f t="shared" si="27"/>
        <v>ADJ_SEASONALITY ACC 45% PNL -16721</v>
      </c>
      <c r="AK12" s="340" t="str">
        <f t="shared" si="27"/>
        <v>V1 ACC 41% PNL -26402</v>
      </c>
      <c r="AL12" s="340" t="str">
        <f t="shared" si="27"/>
        <v>V2 ACC 55% PNL 23247</v>
      </c>
      <c r="AM12" s="340" t="str">
        <f t="shared" si="27"/>
        <v>V3 ACC 68% PNL 51311</v>
      </c>
      <c r="AN12" s="340" t="str">
        <f t="shared" si="27"/>
        <v>V4 ACC 59% PNL 36716</v>
      </c>
      <c r="AO12" s="340" t="str">
        <f t="shared" si="27"/>
        <v>V5 ACC 46% PNL -5682</v>
      </c>
      <c r="AP12" s="340" t="str">
        <f t="shared" ref="AP12" si="28">AP93&amp;" ACC "&amp;ROUND(AP94,2)*100&amp;"% PNL "&amp;ROUND(AP10,0)</f>
        <v>V6 ACC 65% PNL 54253</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v>24162715.832289204</v>
      </c>
      <c r="Y13" s="182">
        <v>858300.99064841692</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O13" si="37">SUM(AH14:AH92)</f>
        <v>-38222.925481672275</v>
      </c>
      <c r="AI13" s="187">
        <f t="shared" si="37"/>
        <v>38222.925481672275</v>
      </c>
      <c r="AJ13" s="187">
        <f>SUM(AJ14:AJ92)</f>
        <v>-18024.877048876358</v>
      </c>
      <c r="AK13" s="187">
        <f>SUM(AK14:AK92)</f>
        <v>-25098.917503598565</v>
      </c>
      <c r="AL13" s="187">
        <f t="shared" si="37"/>
        <v>21943.690810783566</v>
      </c>
      <c r="AM13" s="187">
        <f>SUM(AM14:AM92)</f>
        <v>52614.200434527193</v>
      </c>
      <c r="AN13" s="187">
        <f t="shared" si="37"/>
        <v>38019.707682100947</v>
      </c>
      <c r="AO13" s="187">
        <f t="shared" si="37"/>
        <v>-4378.7266374189112</v>
      </c>
      <c r="AP13" s="187">
        <f t="shared" ref="AP13" si="38">SUM(AP14:AP92)</f>
        <v>55556.273833347812</v>
      </c>
    </row>
    <row r="14" spans="1:42" ht="15.75" thickBot="1" x14ac:dyDescent="0.3">
      <c r="A14" s="328" t="s">
        <v>287</v>
      </c>
      <c r="B14" s="329" t="s">
        <v>558</v>
      </c>
      <c r="C14" s="330" t="s">
        <v>1285</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226590</v>
      </c>
      <c r="Y15" s="137">
        <v>7968</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6">IF(IF(I15=H15,1,0)=1,ABS(X15*G15),-ABS(X15*G15))</f>
        <v>-1134.2932419976248</v>
      </c>
      <c r="AG15" s="188">
        <f t="shared" ref="AG15:AG78" si="57">IF(IF(K15=H15,1,0)=1,ABS(X15*G15),-ABS(X15*G15))</f>
        <v>1134.2932419976248</v>
      </c>
      <c r="AH15" s="188">
        <f t="shared" ref="AH15:AH78" si="58">IF(IF(L15=H15,1,0)=1,ABS(X15*G15),-ABS(X15*G15))</f>
        <v>1134.2932419976248</v>
      </c>
      <c r="AI15" s="188">
        <f t="shared" ref="AI15:AI78" si="59">IF(IF(-L15=H15,1,0)=1,ABS(X15*G15),-ABS(X15*G15))</f>
        <v>-1134.2932419976248</v>
      </c>
      <c r="AJ15" s="188">
        <f t="shared" ref="AJ15:AJ78" si="60">IF(IF(O15=H15,1,0)=1,ABS(X15*G15),-ABS(X15*G15))</f>
        <v>1134.2932419976248</v>
      </c>
      <c r="AK15" s="188">
        <f t="shared" si="48"/>
        <v>-1134.2932419976248</v>
      </c>
      <c r="AL15" s="188">
        <f t="shared" si="49"/>
        <v>1134.2932419976248</v>
      </c>
      <c r="AM15" s="188">
        <f t="shared" si="50"/>
        <v>-1134.2932419976248</v>
      </c>
      <c r="AN15" s="188">
        <f t="shared" si="51"/>
        <v>-1134.2932419976248</v>
      </c>
      <c r="AO15" s="188">
        <f t="shared" si="52"/>
        <v>-1134.2932419976248</v>
      </c>
      <c r="AP15" s="188">
        <f t="shared" si="53"/>
        <v>-1134.2932419976248</v>
      </c>
    </row>
    <row r="16" spans="1:42"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197112.576</v>
      </c>
      <c r="Y16" s="137">
        <v>21726.143999999997</v>
      </c>
      <c r="Z16" s="188">
        <f t="shared" si="45"/>
        <v>2163.1615283234541</v>
      </c>
      <c r="AA16" s="188">
        <f>IF(IF(sym!$Q5=H16,1,0)=1,ABS(X16*G16),-ABS(X16*G16))</f>
        <v>-2163.1615283234541</v>
      </c>
      <c r="AB16" s="188">
        <f>IF(IF(sym!$P5=$H16,1,0)=1,ABS($X16*$G16),-ABS($X16*$G16))</f>
        <v>2163.1615283234541</v>
      </c>
      <c r="AC16" s="188">
        <f t="shared" ref="AC16:AC79" si="61">IF(IF(E16=H16,1,0)=1,ABS(X16*G16),-ABS(X16*G16))</f>
        <v>-2163.1615283234541</v>
      </c>
      <c r="AD16" s="188">
        <f t="shared" si="46"/>
        <v>2163.1615283234541</v>
      </c>
      <c r="AE16" s="188">
        <f t="shared" si="47"/>
        <v>2163.1615283234541</v>
      </c>
      <c r="AF16" s="188">
        <f t="shared" si="56"/>
        <v>-2163.1615283234541</v>
      </c>
      <c r="AG16" s="188">
        <f t="shared" si="57"/>
        <v>-2163.1615283234541</v>
      </c>
      <c r="AH16" s="188">
        <f t="shared" si="58"/>
        <v>2163.1615283234541</v>
      </c>
      <c r="AI16" s="188">
        <f t="shared" si="59"/>
        <v>-2163.1615283234541</v>
      </c>
      <c r="AJ16" s="188">
        <f t="shared" si="60"/>
        <v>-2163.1615283234541</v>
      </c>
      <c r="AK16" s="188">
        <f t="shared" si="48"/>
        <v>-2163.1615283234541</v>
      </c>
      <c r="AL16" s="188">
        <f t="shared" si="49"/>
        <v>2163.1615283234541</v>
      </c>
      <c r="AM16" s="188">
        <f t="shared" si="50"/>
        <v>-2163.1615283234541</v>
      </c>
      <c r="AN16" s="188">
        <f>IF(IF(S16=H16,1,0)=1,ABS(X16*G16),-ABS(X16*G16))</f>
        <v>-2163.1615283234541</v>
      </c>
      <c r="AO16" s="188">
        <f t="shared" si="52"/>
        <v>2163.1615283234541</v>
      </c>
      <c r="AP16" s="188">
        <f t="shared" si="53"/>
        <v>2163.1615283234541</v>
      </c>
    </row>
    <row r="17" spans="1:42"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90660</v>
      </c>
      <c r="Y17" s="137">
        <v>4685</v>
      </c>
      <c r="Z17" s="188">
        <f t="shared" si="45"/>
        <v>1851.4035656431922</v>
      </c>
      <c r="AA17" s="188">
        <f>IF(IF(sym!$Q6=H17,1,0)=1,ABS(X17*G17),-ABS(X17*G17))</f>
        <v>-1851.4035656431922</v>
      </c>
      <c r="AB17" s="188">
        <f>IF(IF(sym!$P6=$H17,1,0)=1,ABS($X17*$G17),-ABS($X17*$G17))</f>
        <v>1851.4035656431922</v>
      </c>
      <c r="AC17" s="188">
        <f t="shared" si="61"/>
        <v>-1851.4035656431922</v>
      </c>
      <c r="AD17" s="188">
        <f t="shared" si="46"/>
        <v>1851.4035656431922</v>
      </c>
      <c r="AE17" s="188">
        <f t="shared" si="47"/>
        <v>-1851.4035656431922</v>
      </c>
      <c r="AF17" s="188">
        <f t="shared" si="56"/>
        <v>-1851.4035656431922</v>
      </c>
      <c r="AG17" s="188">
        <f t="shared" si="57"/>
        <v>-1851.4035656431922</v>
      </c>
      <c r="AH17" s="188">
        <f t="shared" si="58"/>
        <v>-1851.4035656431922</v>
      </c>
      <c r="AI17" s="188">
        <f t="shared" si="59"/>
        <v>1851.4035656431922</v>
      </c>
      <c r="AJ17" s="188">
        <f t="shared" si="60"/>
        <v>-1851.4035656431922</v>
      </c>
      <c r="AK17" s="188">
        <f t="shared" si="48"/>
        <v>-1851.4035656431922</v>
      </c>
      <c r="AL17" s="188">
        <f t="shared" si="49"/>
        <v>-1851.4035656431922</v>
      </c>
      <c r="AM17" s="188">
        <f t="shared" si="50"/>
        <v>1851.4035656431922</v>
      </c>
      <c r="AN17" s="188">
        <f t="shared" si="51"/>
        <v>-1851.4035656431922</v>
      </c>
      <c r="AO17" s="188">
        <f t="shared" si="52"/>
        <v>1851.4035656431922</v>
      </c>
      <c r="AP17" s="188">
        <f t="shared" si="53"/>
        <v>1851.4035656431922</v>
      </c>
    </row>
    <row r="18" spans="1:42"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165000</v>
      </c>
      <c r="Y18" s="137">
        <v>8889</v>
      </c>
      <c r="Z18" s="188">
        <f t="shared" si="45"/>
        <v>585.41556578835002</v>
      </c>
      <c r="AA18" s="188">
        <f>IF(IF(sym!$Q7=H18,1,0)=1,ABS(X18*G18),-ABS(X18*G18))</f>
        <v>-585.41556578835002</v>
      </c>
      <c r="AB18" s="188">
        <f>IF(IF(sym!$P7=$H18,1,0)=1,ABS($X18*$G18),-ABS($X18*$G18))</f>
        <v>585.41556578835002</v>
      </c>
      <c r="AC18" s="188">
        <f t="shared" si="61"/>
        <v>-585.41556578835002</v>
      </c>
      <c r="AD18" s="188">
        <f t="shared" si="46"/>
        <v>585.41556578835002</v>
      </c>
      <c r="AE18" s="188">
        <f t="shared" si="47"/>
        <v>-585.41556578835002</v>
      </c>
      <c r="AF18" s="188">
        <f t="shared" si="56"/>
        <v>585.41556578835002</v>
      </c>
      <c r="AG18" s="188">
        <f t="shared" si="57"/>
        <v>585.41556578835002</v>
      </c>
      <c r="AH18" s="188">
        <f t="shared" si="58"/>
        <v>585.41556578835002</v>
      </c>
      <c r="AI18" s="188">
        <f t="shared" si="59"/>
        <v>-585.41556578835002</v>
      </c>
      <c r="AJ18" s="188">
        <f t="shared" si="60"/>
        <v>-585.41556578835002</v>
      </c>
      <c r="AK18" s="188">
        <f t="shared" si="48"/>
        <v>-585.41556578835002</v>
      </c>
      <c r="AL18" s="188">
        <f t="shared" si="49"/>
        <v>-585.41556578835002</v>
      </c>
      <c r="AM18" s="188">
        <f t="shared" si="50"/>
        <v>585.41556578835002</v>
      </c>
      <c r="AN18" s="188">
        <f t="shared" si="51"/>
        <v>-585.41556578835002</v>
      </c>
      <c r="AO18" s="188">
        <f t="shared" si="52"/>
        <v>-585.41556578835002</v>
      </c>
      <c r="AP18" s="188">
        <f t="shared" si="53"/>
        <v>-585.41556578835002</v>
      </c>
    </row>
    <row r="19" spans="1:42"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4"/>
        <v>1</v>
      </c>
      <c r="Q19">
        <f t="shared" si="41"/>
        <v>1</v>
      </c>
      <c r="R19">
        <f t="shared" si="42"/>
        <v>-1</v>
      </c>
      <c r="S19">
        <f t="shared" si="43"/>
        <v>1</v>
      </c>
      <c r="T19">
        <f t="shared" si="44"/>
        <v>-1</v>
      </c>
      <c r="U19">
        <f t="shared" si="55"/>
        <v>-1</v>
      </c>
      <c r="V19">
        <f>VLOOKUP($A19,'FuturesInfo (3)'!$A$2:$V$80,22)</f>
        <v>6</v>
      </c>
      <c r="W19">
        <v>1</v>
      </c>
      <c r="X19" s="137">
        <v>66850</v>
      </c>
      <c r="Y19" s="137">
        <v>13500</v>
      </c>
      <c r="Z19" s="188">
        <f t="shared" si="45"/>
        <v>1657.8409919754552</v>
      </c>
      <c r="AA19" s="188">
        <f>IF(IF(sym!$Q8=H19,1,0)=1,ABS(X19*G19),-ABS(X19*G19))</f>
        <v>-1657.8409919754552</v>
      </c>
      <c r="AB19" s="188">
        <f>IF(IF(sym!$P8=$H19,1,0)=1,ABS($X19*$G19),-ABS($X19*$G19))</f>
        <v>1657.8409919754552</v>
      </c>
      <c r="AC19" s="188">
        <f t="shared" si="61"/>
        <v>-1657.8409919754552</v>
      </c>
      <c r="AD19" s="188">
        <f t="shared" si="46"/>
        <v>1657.8409919754552</v>
      </c>
      <c r="AE19" s="188">
        <f t="shared" si="47"/>
        <v>-1657.8409919754552</v>
      </c>
      <c r="AF19" s="188">
        <f t="shared" si="56"/>
        <v>-1657.8409919754552</v>
      </c>
      <c r="AG19" s="188">
        <f t="shared" si="57"/>
        <v>-1657.8409919754552</v>
      </c>
      <c r="AH19" s="188">
        <f t="shared" si="58"/>
        <v>-1657.8409919754552</v>
      </c>
      <c r="AI19" s="188">
        <f t="shared" si="59"/>
        <v>1657.8409919754552</v>
      </c>
      <c r="AJ19" s="188">
        <f t="shared" si="60"/>
        <v>-1657.8409919754552</v>
      </c>
      <c r="AK19" s="188">
        <f t="shared" si="48"/>
        <v>-1657.8409919754552</v>
      </c>
      <c r="AL19" s="188">
        <f t="shared" si="49"/>
        <v>-1657.8409919754552</v>
      </c>
      <c r="AM19" s="188">
        <f t="shared" si="50"/>
        <v>1657.8409919754552</v>
      </c>
      <c r="AN19" s="188">
        <f t="shared" si="51"/>
        <v>-1657.8409919754552</v>
      </c>
      <c r="AO19" s="188">
        <f t="shared" si="52"/>
        <v>1657.8409919754552</v>
      </c>
      <c r="AP19" s="188">
        <f t="shared" si="53"/>
        <v>1657.8409919754552</v>
      </c>
    </row>
    <row r="20" spans="1:42"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4"/>
        <v>-1</v>
      </c>
      <c r="Q20">
        <f t="shared" si="41"/>
        <v>1</v>
      </c>
      <c r="R20">
        <f t="shared" si="42"/>
        <v>1</v>
      </c>
      <c r="S20">
        <f t="shared" si="43"/>
        <v>1</v>
      </c>
      <c r="T20">
        <f t="shared" si="44"/>
        <v>1</v>
      </c>
      <c r="U20">
        <f t="shared" si="55"/>
        <v>1</v>
      </c>
      <c r="V20">
        <f>VLOOKUP($A20,'FuturesInfo (3)'!$A$2:$V$80,22)</f>
        <v>4</v>
      </c>
      <c r="W20">
        <v>1</v>
      </c>
      <c r="X20" s="137">
        <v>117040</v>
      </c>
      <c r="Y20" s="137">
        <v>9000</v>
      </c>
      <c r="Z20" s="188">
        <f t="shared" si="45"/>
        <v>3756.8395061729843</v>
      </c>
      <c r="AA20" s="188">
        <f>IF(IF(sym!$Q9=H20,1,0)=1,ABS(X20*G20),-ABS(X20*G20))</f>
        <v>3756.8395061729843</v>
      </c>
      <c r="AB20" s="188">
        <f>IF(IF(sym!$P9=$H20,1,0)=1,ABS($X20*$G20),-ABS($X20*$G20))</f>
        <v>-3756.8395061729843</v>
      </c>
      <c r="AC20" s="188">
        <f t="shared" si="61"/>
        <v>-3756.8395061729843</v>
      </c>
      <c r="AD20" s="188">
        <f t="shared" si="46"/>
        <v>3756.8395061729843</v>
      </c>
      <c r="AE20" s="188">
        <f t="shared" si="47"/>
        <v>3756.8395061729843</v>
      </c>
      <c r="AF20" s="188">
        <f t="shared" si="56"/>
        <v>-3756.8395061729843</v>
      </c>
      <c r="AG20" s="188">
        <f t="shared" si="57"/>
        <v>-3756.8395061729843</v>
      </c>
      <c r="AH20" s="188">
        <f t="shared" si="58"/>
        <v>-3756.8395061729843</v>
      </c>
      <c r="AI20" s="188">
        <f t="shared" si="59"/>
        <v>3756.8395061729843</v>
      </c>
      <c r="AJ20" s="188">
        <f t="shared" si="60"/>
        <v>-3756.8395061729843</v>
      </c>
      <c r="AK20" s="188">
        <f t="shared" si="48"/>
        <v>-3756.8395061729843</v>
      </c>
      <c r="AL20" s="188">
        <f t="shared" si="49"/>
        <v>3756.8395061729843</v>
      </c>
      <c r="AM20" s="188">
        <f t="shared" si="50"/>
        <v>3756.8395061729843</v>
      </c>
      <c r="AN20" s="188">
        <f t="shared" si="51"/>
        <v>3756.8395061729843</v>
      </c>
      <c r="AO20" s="188">
        <f t="shared" si="52"/>
        <v>3756.8395061729843</v>
      </c>
      <c r="AP20" s="188">
        <f t="shared" si="53"/>
        <v>3756.8395061729843</v>
      </c>
    </row>
    <row r="21" spans="1:42"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305440</v>
      </c>
      <c r="Y21" s="137">
        <v>10428</v>
      </c>
      <c r="Z21" s="188">
        <f t="shared" si="45"/>
        <v>1294.4904479368431</v>
      </c>
      <c r="AA21" s="188">
        <f>IF(IF(sym!$Q10=H21,1,0)=1,ABS(X21*G21),-ABS(X21*G21))</f>
        <v>-1294.4904479368431</v>
      </c>
      <c r="AB21" s="188">
        <f>IF(IF(sym!$P10=$H21,1,0)=1,ABS($X21*$G21),-ABS($X21*$G21))</f>
        <v>1294.4904479368431</v>
      </c>
      <c r="AC21" s="188">
        <f t="shared" si="61"/>
        <v>-1294.4904479368431</v>
      </c>
      <c r="AD21" s="188">
        <f t="shared" si="46"/>
        <v>1294.4904479368431</v>
      </c>
      <c r="AE21" s="188">
        <f t="shared" si="47"/>
        <v>1294.4904479368431</v>
      </c>
      <c r="AF21" s="188">
        <f t="shared" si="56"/>
        <v>-1294.4904479368431</v>
      </c>
      <c r="AG21" s="188">
        <f t="shared" si="57"/>
        <v>-1294.4904479368431</v>
      </c>
      <c r="AH21" s="188">
        <f t="shared" si="58"/>
        <v>1294.4904479368431</v>
      </c>
      <c r="AI21" s="188">
        <f t="shared" si="59"/>
        <v>-1294.4904479368431</v>
      </c>
      <c r="AJ21" s="188">
        <f t="shared" si="60"/>
        <v>-1294.4904479368431</v>
      </c>
      <c r="AK21" s="188">
        <f t="shared" si="48"/>
        <v>-1294.4904479368431</v>
      </c>
      <c r="AL21" s="188">
        <f t="shared" si="49"/>
        <v>1294.4904479368431</v>
      </c>
      <c r="AM21" s="188">
        <f t="shared" si="50"/>
        <v>-1294.4904479368431</v>
      </c>
      <c r="AN21" s="188">
        <f t="shared" si="51"/>
        <v>-1294.4904479368431</v>
      </c>
      <c r="AO21" s="188">
        <f t="shared" si="52"/>
        <v>1294.4904479368431</v>
      </c>
      <c r="AP21" s="188">
        <f t="shared" si="53"/>
        <v>1294.4904479368431</v>
      </c>
    </row>
    <row r="22" spans="1:42" ht="15.75" thickBot="1" x14ac:dyDescent="0.3">
      <c r="A22" s="328" t="s">
        <v>307</v>
      </c>
      <c r="B22" s="329" t="s">
        <v>484</v>
      </c>
      <c r="C22" s="330" t="s">
        <v>1285</v>
      </c>
      <c r="E22" s="201">
        <v>1</v>
      </c>
      <c r="F22" s="186">
        <f t="shared" si="39"/>
        <v>0</v>
      </c>
      <c r="G22" s="202"/>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80120</v>
      </c>
      <c r="Y23" s="137">
        <v>9180</v>
      </c>
      <c r="Z23" s="188">
        <f t="shared" si="45"/>
        <v>2965.9807692283043</v>
      </c>
      <c r="AA23" s="188">
        <f>IF(IF(sym!$Q12=H23,1,0)=1,ABS(X23*G23),-ABS(X23*G23))</f>
        <v>-2965.9807692283043</v>
      </c>
      <c r="AB23" s="188">
        <f>IF(IF(sym!$P12=$H23,1,0)=1,ABS($X23*$G23),-ABS($X23*$G23))</f>
        <v>2965.9807692283043</v>
      </c>
      <c r="AC23" s="188">
        <f t="shared" si="61"/>
        <v>-2965.9807692283043</v>
      </c>
      <c r="AD23" s="188">
        <f t="shared" si="46"/>
        <v>2965.9807692283043</v>
      </c>
      <c r="AE23" s="188">
        <f t="shared" si="47"/>
        <v>2965.9807692283043</v>
      </c>
      <c r="AF23" s="188">
        <f t="shared" si="56"/>
        <v>2965.9807692283043</v>
      </c>
      <c r="AG23" s="188">
        <f t="shared" si="57"/>
        <v>2965.9807692283043</v>
      </c>
      <c r="AH23" s="188">
        <f t="shared" si="58"/>
        <v>2965.9807692283043</v>
      </c>
      <c r="AI23" s="188">
        <f t="shared" si="59"/>
        <v>-2965.9807692283043</v>
      </c>
      <c r="AJ23" s="188">
        <f t="shared" si="60"/>
        <v>2965.9807692283043</v>
      </c>
      <c r="AK23" s="188">
        <f t="shared" si="48"/>
        <v>-2965.9807692283043</v>
      </c>
      <c r="AL23" s="188">
        <f t="shared" si="49"/>
        <v>2965.9807692283043</v>
      </c>
      <c r="AM23" s="188">
        <f t="shared" si="50"/>
        <v>2965.9807692283043</v>
      </c>
      <c r="AN23" s="188">
        <f t="shared" si="51"/>
        <v>2965.9807692283043</v>
      </c>
      <c r="AO23" s="188">
        <f t="shared" si="52"/>
        <v>-2965.9807692283043</v>
      </c>
      <c r="AP23" s="188">
        <f t="shared" si="53"/>
        <v>2965.9807692283043</v>
      </c>
    </row>
    <row r="24" spans="1:42"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111570</v>
      </c>
      <c r="Y24" s="137">
        <v>4503</v>
      </c>
      <c r="Z24" s="188">
        <f t="shared" si="45"/>
        <v>512.34197730945323</v>
      </c>
      <c r="AA24" s="188">
        <f>IF(IF(sym!$Q13=H24,1,0)=1,ABS(X24*G24),-ABS(X24*G24))</f>
        <v>512.34197730945323</v>
      </c>
      <c r="AB24" s="188">
        <f>IF(IF(sym!$P13=$H24,1,0)=1,ABS($X24*$G24),-ABS($X24*$G24))</f>
        <v>-512.34197730945323</v>
      </c>
      <c r="AC24" s="188">
        <f t="shared" si="61"/>
        <v>512.34197730945323</v>
      </c>
      <c r="AD24" s="188">
        <f t="shared" si="46"/>
        <v>-512.34197730945323</v>
      </c>
      <c r="AE24" s="188">
        <f t="shared" si="47"/>
        <v>-512.34197730945323</v>
      </c>
      <c r="AF24" s="188">
        <f t="shared" si="56"/>
        <v>-512.34197730945323</v>
      </c>
      <c r="AG24" s="188">
        <f t="shared" si="57"/>
        <v>-512.34197730945323</v>
      </c>
      <c r="AH24" s="188">
        <f t="shared" si="58"/>
        <v>-512.34197730945323</v>
      </c>
      <c r="AI24" s="188">
        <f t="shared" si="59"/>
        <v>512.34197730945323</v>
      </c>
      <c r="AJ24" s="188">
        <f t="shared" si="60"/>
        <v>512.34197730945323</v>
      </c>
      <c r="AK24" s="188">
        <f t="shared" si="48"/>
        <v>512.34197730945323</v>
      </c>
      <c r="AL24" s="188">
        <f t="shared" si="49"/>
        <v>-512.34197730945323</v>
      </c>
      <c r="AM24" s="188">
        <f t="shared" si="50"/>
        <v>-512.34197730945323</v>
      </c>
      <c r="AN24" s="188">
        <f t="shared" si="51"/>
        <v>-512.34197730945323</v>
      </c>
      <c r="AO24" s="188">
        <f t="shared" si="52"/>
        <v>512.34197730945323</v>
      </c>
      <c r="AP24" s="188">
        <f t="shared" si="53"/>
        <v>-512.34197730945323</v>
      </c>
    </row>
    <row r="25" spans="1:42"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419662.5</v>
      </c>
      <c r="Y25" s="137">
        <v>21792</v>
      </c>
      <c r="Z25" s="188">
        <f t="shared" si="45"/>
        <v>393.38090880692243</v>
      </c>
      <c r="AA25" s="188">
        <f>IF(IF(sym!$Q14=H25,1,0)=1,ABS(X25*G25),-ABS(X25*G25))</f>
        <v>-393.38090880692243</v>
      </c>
      <c r="AB25" s="188">
        <f>IF(IF(sym!$P14=$H25,1,0)=1,ABS($X25*$G25),-ABS($X25*$G25))</f>
        <v>393.38090880692243</v>
      </c>
      <c r="AC25" s="188">
        <f t="shared" si="61"/>
        <v>-393.38090880692243</v>
      </c>
      <c r="AD25" s="188">
        <f t="shared" si="46"/>
        <v>393.38090880692243</v>
      </c>
      <c r="AE25" s="188">
        <f t="shared" si="47"/>
        <v>-393.38090880692243</v>
      </c>
      <c r="AF25" s="188">
        <f t="shared" si="56"/>
        <v>393.38090880692243</v>
      </c>
      <c r="AG25" s="188">
        <f t="shared" si="57"/>
        <v>393.38090880692243</v>
      </c>
      <c r="AH25" s="188">
        <f t="shared" si="58"/>
        <v>-393.38090880692243</v>
      </c>
      <c r="AI25" s="188">
        <f t="shared" si="59"/>
        <v>393.38090880692243</v>
      </c>
      <c r="AJ25" s="188">
        <f t="shared" si="60"/>
        <v>-393.38090880692243</v>
      </c>
      <c r="AK25" s="188">
        <f t="shared" si="48"/>
        <v>393.38090880692243</v>
      </c>
      <c r="AL25" s="188">
        <f t="shared" si="49"/>
        <v>-393.38090880692243</v>
      </c>
      <c r="AM25" s="188">
        <f t="shared" si="50"/>
        <v>393.38090880692243</v>
      </c>
      <c r="AN25" s="188">
        <f t="shared" si="51"/>
        <v>393.38090880692243</v>
      </c>
      <c r="AO25" s="188">
        <f t="shared" si="52"/>
        <v>-393.38090880692243</v>
      </c>
      <c r="AP25" s="188">
        <f t="shared" si="53"/>
        <v>393.38090880692243</v>
      </c>
    </row>
    <row r="26" spans="1:42"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382708</v>
      </c>
      <c r="Y26" s="137">
        <v>14804</v>
      </c>
      <c r="Z26" s="188">
        <f t="shared" si="45"/>
        <v>745.44918369384368</v>
      </c>
      <c r="AA26" s="188">
        <f>IF(IF(sym!$Q15=H26,1,0)=1,ABS(X26*G26),-ABS(X26*G26))</f>
        <v>-745.44918369384368</v>
      </c>
      <c r="AB26" s="188">
        <f>IF(IF(sym!$P15=$H26,1,0)=1,ABS($X26*$G26),-ABS($X26*$G26))</f>
        <v>745.44918369384368</v>
      </c>
      <c r="AC26" s="188">
        <f t="shared" si="61"/>
        <v>-745.44918369384368</v>
      </c>
      <c r="AD26" s="188">
        <f t="shared" si="46"/>
        <v>745.44918369384368</v>
      </c>
      <c r="AE26" s="188">
        <f t="shared" si="47"/>
        <v>-745.44918369384368</v>
      </c>
      <c r="AF26" s="188">
        <f t="shared" si="56"/>
        <v>-745.44918369384368</v>
      </c>
      <c r="AG26" s="188">
        <f t="shared" si="57"/>
        <v>-745.44918369384368</v>
      </c>
      <c r="AH26" s="188">
        <f t="shared" si="58"/>
        <v>745.44918369384368</v>
      </c>
      <c r="AI26" s="188">
        <f t="shared" si="59"/>
        <v>-745.44918369384368</v>
      </c>
      <c r="AJ26" s="188">
        <f t="shared" si="60"/>
        <v>745.44918369384368</v>
      </c>
      <c r="AK26" s="188">
        <f t="shared" si="48"/>
        <v>-745.44918369384368</v>
      </c>
      <c r="AL26" s="188">
        <f t="shared" si="49"/>
        <v>745.44918369384368</v>
      </c>
      <c r="AM26" s="188">
        <f t="shared" si="50"/>
        <v>-745.44918369384368</v>
      </c>
      <c r="AN26" s="188">
        <f t="shared" si="51"/>
        <v>-745.44918369384368</v>
      </c>
      <c r="AO26" s="188">
        <f t="shared" si="52"/>
        <v>-745.44918369384368</v>
      </c>
      <c r="AP26" s="188">
        <f t="shared" si="53"/>
        <v>-745.44918369384368</v>
      </c>
    </row>
    <row r="27" spans="1:42"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560572.36499999999</v>
      </c>
      <c r="Y27" s="137">
        <v>12992.099999999999</v>
      </c>
      <c r="Z27" s="188">
        <f t="shared" si="45"/>
        <v>1202.5865645689598</v>
      </c>
      <c r="AA27" s="188">
        <f>IF(IF(sym!$Q16=H27,1,0)=1,ABS(X27*G27),-ABS(X27*G27))</f>
        <v>1202.5865645689598</v>
      </c>
      <c r="AB27" s="188">
        <f>IF(IF(sym!$P16=$H27,1,0)=1,ABS($X27*$G27),-ABS($X27*$G27))</f>
        <v>-1202.5865645689598</v>
      </c>
      <c r="AC27" s="188">
        <f t="shared" si="61"/>
        <v>-1202.5865645689598</v>
      </c>
      <c r="AD27" s="188">
        <f t="shared" si="46"/>
        <v>1202.5865645689598</v>
      </c>
      <c r="AE27" s="188">
        <f t="shared" si="47"/>
        <v>-1202.5865645689598</v>
      </c>
      <c r="AF27" s="188">
        <f t="shared" si="56"/>
        <v>-1202.5865645689598</v>
      </c>
      <c r="AG27" s="188">
        <f t="shared" si="57"/>
        <v>1202.5865645689598</v>
      </c>
      <c r="AH27" s="188">
        <f t="shared" si="58"/>
        <v>-1202.5865645689598</v>
      </c>
      <c r="AI27" s="188">
        <f t="shared" si="59"/>
        <v>1202.5865645689598</v>
      </c>
      <c r="AJ27" s="188">
        <f t="shared" si="60"/>
        <v>-1202.5865645689598</v>
      </c>
      <c r="AK27" s="188">
        <f t="shared" si="48"/>
        <v>1202.5865645689598</v>
      </c>
      <c r="AL27" s="188">
        <f t="shared" si="49"/>
        <v>-1202.5865645689598</v>
      </c>
      <c r="AM27" s="188">
        <f t="shared" si="50"/>
        <v>1202.5865645689598</v>
      </c>
      <c r="AN27" s="188">
        <f t="shared" si="51"/>
        <v>1202.5865645689598</v>
      </c>
      <c r="AO27" s="188">
        <f t="shared" si="52"/>
        <v>-1202.5865645689598</v>
      </c>
      <c r="AP27" s="188">
        <f t="shared" si="53"/>
        <v>1202.5865645689598</v>
      </c>
    </row>
    <row r="28" spans="1:42"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1490507.63</v>
      </c>
      <c r="Y28" s="137">
        <v>13327.38</v>
      </c>
      <c r="Z28" s="188">
        <f t="shared" si="45"/>
        <v>1115.0651829126675</v>
      </c>
      <c r="AA28" s="188">
        <f>IF(IF(sym!$Q17=H28,1,0)=1,ABS(X28*G28),-ABS(X28*G28))</f>
        <v>1115.0651829126675</v>
      </c>
      <c r="AB28" s="188">
        <f>IF(IF(sym!$P17=$H28,1,0)=1,ABS($X28*$G28),-ABS($X28*$G28))</f>
        <v>-1115.0651829126675</v>
      </c>
      <c r="AC28" s="188">
        <f t="shared" si="61"/>
        <v>-1115.0651829126675</v>
      </c>
      <c r="AD28" s="188">
        <f t="shared" si="46"/>
        <v>1115.0651829126675</v>
      </c>
      <c r="AE28" s="188">
        <f t="shared" si="47"/>
        <v>1115.0651829126675</v>
      </c>
      <c r="AF28" s="188">
        <f t="shared" si="56"/>
        <v>1115.0651829126675</v>
      </c>
      <c r="AG28" s="188">
        <f t="shared" si="57"/>
        <v>1115.0651829126675</v>
      </c>
      <c r="AH28" s="188">
        <f t="shared" si="58"/>
        <v>-1115.0651829126675</v>
      </c>
      <c r="AI28" s="188">
        <f t="shared" si="59"/>
        <v>1115.0651829126675</v>
      </c>
      <c r="AJ28" s="188">
        <f t="shared" si="60"/>
        <v>1115.0651829126675</v>
      </c>
      <c r="AK28" s="188">
        <f t="shared" si="48"/>
        <v>1115.0651829126675</v>
      </c>
      <c r="AL28" s="188">
        <f t="shared" si="49"/>
        <v>1115.0651829126675</v>
      </c>
      <c r="AM28" s="188">
        <f t="shared" si="50"/>
        <v>1115.0651829126675</v>
      </c>
      <c r="AN28" s="188">
        <f t="shared" si="51"/>
        <v>1115.0651829126675</v>
      </c>
      <c r="AO28" s="188">
        <f t="shared" si="52"/>
        <v>-1115.0651829126675</v>
      </c>
      <c r="AP28" s="188">
        <f t="shared" si="53"/>
        <v>1115.0651829126675</v>
      </c>
    </row>
    <row r="29" spans="1:42" ht="15.75" thickBot="1" x14ac:dyDescent="0.3">
      <c r="A29" s="328" t="s">
        <v>320</v>
      </c>
      <c r="B29" s="329" t="s">
        <v>564</v>
      </c>
      <c r="C29" s="330" t="s">
        <v>1285</v>
      </c>
      <c r="E29" s="201">
        <v>1</v>
      </c>
      <c r="F29" s="186">
        <f t="shared" si="39"/>
        <v>0</v>
      </c>
      <c r="G29" s="202">
        <v>-2.6780931976399998E-4</v>
      </c>
      <c r="H29" s="202">
        <v>-1</v>
      </c>
      <c r="I29" s="227">
        <v>-1</v>
      </c>
      <c r="J29" s="227">
        <v>1</v>
      </c>
      <c r="K29" s="227">
        <v>-1</v>
      </c>
      <c r="L29" s="202">
        <v>1</v>
      </c>
      <c r="M29" s="228">
        <v>-14</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28" t="s">
        <v>323</v>
      </c>
      <c r="B30" s="329" t="s">
        <v>581</v>
      </c>
      <c r="C30" s="330" t="s">
        <v>1285</v>
      </c>
      <c r="E30" s="201">
        <v>1</v>
      </c>
      <c r="F30" s="186">
        <f t="shared" si="39"/>
        <v>0</v>
      </c>
      <c r="G30" s="202">
        <v>-1.0084203095900001E-4</v>
      </c>
      <c r="H30" s="202">
        <v>-1</v>
      </c>
      <c r="I30" s="227">
        <v>1</v>
      </c>
      <c r="J30" s="227">
        <v>1</v>
      </c>
      <c r="K30" s="227">
        <v>1</v>
      </c>
      <c r="L30" s="202">
        <v>1</v>
      </c>
      <c r="M30" s="228">
        <v>4</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310520</v>
      </c>
      <c r="Y31" s="137">
        <v>14250</v>
      </c>
      <c r="Z31" s="188">
        <f t="shared" si="45"/>
        <v>857.62476716466483</v>
      </c>
      <c r="AA31" s="188">
        <f>IF(IF(sym!$Q20=H31,1,0)=1,ABS(X31*G31),-ABS(X31*G31))</f>
        <v>-857.62476716466483</v>
      </c>
      <c r="AB31" s="188">
        <f>IF(IF(sym!$P20=$H31,1,0)=1,ABS($X31*$G31),-ABS($X31*$G31))</f>
        <v>857.62476716466483</v>
      </c>
      <c r="AC31" s="188">
        <f t="shared" si="61"/>
        <v>-857.62476716466483</v>
      </c>
      <c r="AD31" s="188">
        <f t="shared" si="46"/>
        <v>857.62476716466483</v>
      </c>
      <c r="AE31" s="188">
        <f t="shared" si="47"/>
        <v>-857.62476716466483</v>
      </c>
      <c r="AF31" s="188">
        <f t="shared" si="56"/>
        <v>-857.62476716466483</v>
      </c>
      <c r="AG31" s="188">
        <f t="shared" si="57"/>
        <v>-857.62476716466483</v>
      </c>
      <c r="AH31" s="188">
        <f t="shared" si="58"/>
        <v>-857.62476716466483</v>
      </c>
      <c r="AI31" s="188">
        <f t="shared" si="59"/>
        <v>857.62476716466483</v>
      </c>
      <c r="AJ31" s="188">
        <f t="shared" si="60"/>
        <v>857.62476716466483</v>
      </c>
      <c r="AK31" s="188">
        <f t="shared" si="48"/>
        <v>-857.62476716466483</v>
      </c>
      <c r="AL31" s="188">
        <f t="shared" si="49"/>
        <v>857.62476716466483</v>
      </c>
      <c r="AM31" s="188">
        <f t="shared" si="50"/>
        <v>857.62476716466483</v>
      </c>
      <c r="AN31" s="188">
        <f t="shared" si="51"/>
        <v>857.62476716466483</v>
      </c>
      <c r="AO31" s="188">
        <f t="shared" si="52"/>
        <v>-857.62476716466483</v>
      </c>
      <c r="AP31" s="188">
        <f t="shared" si="53"/>
        <v>857.62476716466483</v>
      </c>
    </row>
    <row r="32" spans="1:42"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324675</v>
      </c>
      <c r="Y32" s="137">
        <v>15750</v>
      </c>
      <c r="Z32" s="188">
        <f t="shared" si="45"/>
        <v>561.52715323527229</v>
      </c>
      <c r="AA32" s="188">
        <f>IF(IF(sym!$Q21=H32,1,0)=1,ABS(X32*G32),-ABS(X32*G32))</f>
        <v>-561.52715323527229</v>
      </c>
      <c r="AB32" s="188">
        <f>IF(IF(sym!$P21=$H32,1,0)=1,ABS($X32*$G32),-ABS($X32*$G32))</f>
        <v>561.52715323527229</v>
      </c>
      <c r="AC32" s="188">
        <f t="shared" si="61"/>
        <v>-561.52715323527229</v>
      </c>
      <c r="AD32" s="188">
        <f t="shared" si="46"/>
        <v>561.52715323527229</v>
      </c>
      <c r="AE32" s="188">
        <f t="shared" si="47"/>
        <v>561.52715323527229</v>
      </c>
      <c r="AF32" s="188">
        <f t="shared" si="56"/>
        <v>-561.52715323527229</v>
      </c>
      <c r="AG32" s="188">
        <f t="shared" si="57"/>
        <v>-561.52715323527229</v>
      </c>
      <c r="AH32" s="188">
        <f t="shared" si="58"/>
        <v>561.52715323527229</v>
      </c>
      <c r="AI32" s="188">
        <f t="shared" si="59"/>
        <v>-561.52715323527229</v>
      </c>
      <c r="AJ32" s="188">
        <f t="shared" si="60"/>
        <v>-561.52715323527229</v>
      </c>
      <c r="AK32" s="188">
        <f t="shared" si="48"/>
        <v>-561.52715323527229</v>
      </c>
      <c r="AL32" s="188">
        <f t="shared" si="49"/>
        <v>561.52715323527229</v>
      </c>
      <c r="AM32" s="188">
        <f t="shared" si="50"/>
        <v>-561.52715323527229</v>
      </c>
      <c r="AN32" s="188">
        <f t="shared" si="51"/>
        <v>-561.52715323527229</v>
      </c>
      <c r="AO32" s="188">
        <f t="shared" si="52"/>
        <v>561.52715323527229</v>
      </c>
      <c r="AP32" s="188">
        <f t="shared" si="53"/>
        <v>561.52715323527229</v>
      </c>
    </row>
    <row r="33" spans="1:42"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144550</v>
      </c>
      <c r="Y33" s="137">
        <v>8436</v>
      </c>
      <c r="Z33" s="188">
        <f t="shared" si="45"/>
        <v>4644.5912174207697</v>
      </c>
      <c r="AA33" s="188">
        <f>IF(IF(sym!$Q22=H33,1,0)=1,ABS(X33*G33),-ABS(X33*G33))</f>
        <v>4644.5912174207697</v>
      </c>
      <c r="AB33" s="188">
        <f>IF(IF(sym!$P22=$H33,1,0)=1,ABS($X33*$G33),-ABS($X33*$G33))</f>
        <v>-4644.5912174207697</v>
      </c>
      <c r="AC33" s="188">
        <f t="shared" si="61"/>
        <v>-4644.5912174207697</v>
      </c>
      <c r="AD33" s="188">
        <f t="shared" si="46"/>
        <v>4644.5912174207697</v>
      </c>
      <c r="AE33" s="188">
        <f t="shared" si="47"/>
        <v>4644.5912174207697</v>
      </c>
      <c r="AF33" s="188">
        <f t="shared" si="56"/>
        <v>4644.5912174207697</v>
      </c>
      <c r="AG33" s="188">
        <f t="shared" si="57"/>
        <v>-4644.5912174207697</v>
      </c>
      <c r="AH33" s="188">
        <f t="shared" si="58"/>
        <v>-4644.5912174207697</v>
      </c>
      <c r="AI33" s="188">
        <f t="shared" si="59"/>
        <v>4644.5912174207697</v>
      </c>
      <c r="AJ33" s="188">
        <f t="shared" si="60"/>
        <v>-4644.5912174207697</v>
      </c>
      <c r="AK33" s="188">
        <f t="shared" si="48"/>
        <v>-4644.5912174207697</v>
      </c>
      <c r="AL33" s="188">
        <f t="shared" si="49"/>
        <v>4644.5912174207697</v>
      </c>
      <c r="AM33" s="188">
        <f t="shared" si="50"/>
        <v>4644.5912174207697</v>
      </c>
      <c r="AN33" s="188">
        <f t="shared" si="51"/>
        <v>4644.5912174207697</v>
      </c>
      <c r="AO33" s="188">
        <f t="shared" si="52"/>
        <v>4644.5912174207697</v>
      </c>
      <c r="AP33" s="188">
        <f t="shared" si="53"/>
        <v>4644.5912174207697</v>
      </c>
    </row>
    <row r="34" spans="1:42"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147583.35449999999</v>
      </c>
      <c r="Y34" s="137">
        <v>2449.7791999999999</v>
      </c>
      <c r="Z34" s="188">
        <f t="shared" si="45"/>
        <v>1030.5403738038187</v>
      </c>
      <c r="AA34" s="188">
        <f>IF(IF(sym!$Q23=H34,1,0)=1,ABS(X34*G34),-ABS(X34*G34))</f>
        <v>-1030.5403738038187</v>
      </c>
      <c r="AB34" s="188">
        <f>IF(IF(sym!$P23=$H34,1,0)=1,ABS($X34*$G34),-ABS($X34*$G34))</f>
        <v>1030.5403738038187</v>
      </c>
      <c r="AC34" s="188">
        <f t="shared" si="61"/>
        <v>-1030.5403738038187</v>
      </c>
      <c r="AD34" s="188">
        <f t="shared" si="46"/>
        <v>1030.5403738038187</v>
      </c>
      <c r="AE34" s="188">
        <f t="shared" si="47"/>
        <v>-1030.5403738038187</v>
      </c>
      <c r="AF34" s="188">
        <f t="shared" si="56"/>
        <v>-1030.5403738038187</v>
      </c>
      <c r="AG34" s="188">
        <f t="shared" si="57"/>
        <v>-1030.5403738038187</v>
      </c>
      <c r="AH34" s="188">
        <f t="shared" si="58"/>
        <v>1030.5403738038187</v>
      </c>
      <c r="AI34" s="188">
        <f t="shared" si="59"/>
        <v>-1030.5403738038187</v>
      </c>
      <c r="AJ34" s="188">
        <f t="shared" si="60"/>
        <v>-1030.5403738038187</v>
      </c>
      <c r="AK34" s="188">
        <f t="shared" si="48"/>
        <v>-1030.5403738038187</v>
      </c>
      <c r="AL34" s="188">
        <f t="shared" si="49"/>
        <v>-1030.5403738038187</v>
      </c>
      <c r="AM34" s="188">
        <f t="shared" si="50"/>
        <v>-1030.5403738038187</v>
      </c>
      <c r="AN34" s="188">
        <f t="shared" si="51"/>
        <v>-1030.5403738038187</v>
      </c>
      <c r="AO34" s="188">
        <f t="shared" si="52"/>
        <v>1030.5403738038187</v>
      </c>
      <c r="AP34" s="188">
        <f t="shared" si="53"/>
        <v>-1030.5403738038187</v>
      </c>
    </row>
    <row r="35" spans="1:42"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173017.50524999999</v>
      </c>
      <c r="Y35" s="137">
        <v>17434.559999999998</v>
      </c>
      <c r="Z35" s="188">
        <f t="shared" si="45"/>
        <v>175.93296582721985</v>
      </c>
      <c r="AA35" s="188">
        <f>IF(IF(sym!$Q24=H35,1,0)=1,ABS(X35*G35),-ABS(X35*G35))</f>
        <v>175.93296582721985</v>
      </c>
      <c r="AB35" s="188">
        <f>IF(IF(sym!$P24=$H35,1,0)=1,ABS($X35*$G35),-ABS($X35*$G35))</f>
        <v>-175.93296582721985</v>
      </c>
      <c r="AC35" s="188">
        <f t="shared" si="61"/>
        <v>175.93296582721985</v>
      </c>
      <c r="AD35" s="188">
        <f t="shared" si="46"/>
        <v>-175.93296582721985</v>
      </c>
      <c r="AE35" s="188">
        <f t="shared" si="47"/>
        <v>-175.93296582721985</v>
      </c>
      <c r="AF35" s="188">
        <f t="shared" si="56"/>
        <v>175.93296582721985</v>
      </c>
      <c r="AG35" s="188">
        <f t="shared" si="57"/>
        <v>175.93296582721985</v>
      </c>
      <c r="AH35" s="188">
        <f t="shared" si="58"/>
        <v>-175.93296582721985</v>
      </c>
      <c r="AI35" s="188">
        <f t="shared" si="59"/>
        <v>175.93296582721985</v>
      </c>
      <c r="AJ35" s="188">
        <f t="shared" si="60"/>
        <v>175.93296582721985</v>
      </c>
      <c r="AK35" s="188">
        <f t="shared" si="48"/>
        <v>175.93296582721985</v>
      </c>
      <c r="AL35" s="188">
        <f t="shared" si="49"/>
        <v>-175.93296582721985</v>
      </c>
      <c r="AM35" s="188">
        <f t="shared" si="50"/>
        <v>175.93296582721985</v>
      </c>
      <c r="AN35" s="188">
        <f t="shared" si="51"/>
        <v>175.93296582721985</v>
      </c>
      <c r="AO35" s="188">
        <f t="shared" si="52"/>
        <v>-175.93296582721985</v>
      </c>
      <c r="AP35" s="188">
        <f t="shared" si="53"/>
        <v>-175.93296582721985</v>
      </c>
    </row>
    <row r="36" spans="1:42" ht="15.75" thickBot="1" x14ac:dyDescent="0.3">
      <c r="A36" s="328" t="s">
        <v>335</v>
      </c>
      <c r="B36" s="329" t="s">
        <v>568</v>
      </c>
      <c r="C36" s="330" t="s">
        <v>1285</v>
      </c>
      <c r="E36" s="201">
        <v>1</v>
      </c>
      <c r="F36" s="186">
        <f t="shared" si="39"/>
        <v>0</v>
      </c>
      <c r="G36" s="291">
        <v>4.9838026414000002E-5</v>
      </c>
      <c r="H36" s="202">
        <v>1</v>
      </c>
      <c r="I36" s="227">
        <v>-1</v>
      </c>
      <c r="J36" s="227">
        <v>1</v>
      </c>
      <c r="K36" s="227">
        <v>-1</v>
      </c>
      <c r="L36" s="202">
        <v>1</v>
      </c>
      <c r="M36" s="228">
        <v>-6</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262841.799</v>
      </c>
      <c r="Y37" s="137">
        <v>16638.4218</v>
      </c>
      <c r="Z37" s="188">
        <f t="shared" si="45"/>
        <v>1102.3096490684522</v>
      </c>
      <c r="AA37" s="188">
        <f>IF(IF(sym!$Q26=H37,1,0)=1,ABS(X37*G37),-ABS(X37*G37))</f>
        <v>-1102.3096490684522</v>
      </c>
      <c r="AB37" s="188">
        <f>IF(IF(sym!$P26=$H37,1,0)=1,ABS($X37*$G37),-ABS($X37*$G37))</f>
        <v>1102.3096490684522</v>
      </c>
      <c r="AC37" s="188">
        <f t="shared" si="61"/>
        <v>1102.3096490684522</v>
      </c>
      <c r="AD37" s="188">
        <f t="shared" si="46"/>
        <v>-1102.3096490684522</v>
      </c>
      <c r="AE37" s="188">
        <f t="shared" si="47"/>
        <v>1102.3096490684522</v>
      </c>
      <c r="AF37" s="188">
        <f t="shared" si="56"/>
        <v>-1102.3096490684522</v>
      </c>
      <c r="AG37" s="188">
        <f t="shared" si="57"/>
        <v>-1102.3096490684522</v>
      </c>
      <c r="AH37" s="188">
        <f t="shared" si="58"/>
        <v>-1102.3096490684522</v>
      </c>
      <c r="AI37" s="188">
        <f t="shared" si="59"/>
        <v>1102.3096490684522</v>
      </c>
      <c r="AJ37" s="188">
        <f t="shared" si="60"/>
        <v>1102.3096490684522</v>
      </c>
      <c r="AK37" s="188">
        <f t="shared" si="48"/>
        <v>1102.3096490684522</v>
      </c>
      <c r="AL37" s="188">
        <f t="shared" si="49"/>
        <v>1102.3096490684522</v>
      </c>
      <c r="AM37" s="188">
        <f t="shared" si="50"/>
        <v>-1102.3096490684522</v>
      </c>
      <c r="AN37" s="188">
        <f t="shared" si="51"/>
        <v>1102.3096490684522</v>
      </c>
      <c r="AO37" s="188">
        <f t="shared" si="52"/>
        <v>1102.3096490684522</v>
      </c>
      <c r="AP37" s="188">
        <f t="shared" si="53"/>
        <v>1102.3096490684522</v>
      </c>
    </row>
    <row r="38" spans="1:42"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515641.96200000006</v>
      </c>
      <c r="Y38" s="137">
        <v>15369.6543</v>
      </c>
      <c r="Z38" s="188">
        <f t="shared" si="45"/>
        <v>2047.604583734807</v>
      </c>
      <c r="AA38" s="188">
        <f>IF(IF(sym!$Q27=H38,1,0)=1,ABS(X38*G38),-ABS(X38*G38))</f>
        <v>2047.604583734807</v>
      </c>
      <c r="AB38" s="188">
        <f>IF(IF(sym!$P27=$H38,1,0)=1,ABS($X38*$G38),-ABS($X38*$G38))</f>
        <v>-2047.604583734807</v>
      </c>
      <c r="AC38" s="188">
        <f t="shared" si="61"/>
        <v>-2047.604583734807</v>
      </c>
      <c r="AD38" s="188">
        <f t="shared" si="46"/>
        <v>2047.604583734807</v>
      </c>
      <c r="AE38" s="188">
        <f t="shared" si="47"/>
        <v>-2047.604583734807</v>
      </c>
      <c r="AF38" s="188">
        <f t="shared" si="56"/>
        <v>-2047.604583734807</v>
      </c>
      <c r="AG38" s="188">
        <f t="shared" si="57"/>
        <v>-2047.604583734807</v>
      </c>
      <c r="AH38" s="188">
        <f t="shared" si="58"/>
        <v>-2047.604583734807</v>
      </c>
      <c r="AI38" s="188">
        <f t="shared" si="59"/>
        <v>2047.604583734807</v>
      </c>
      <c r="AJ38" s="188">
        <f t="shared" si="60"/>
        <v>-2047.604583734807</v>
      </c>
      <c r="AK38" s="188">
        <f t="shared" si="48"/>
        <v>-2047.604583734807</v>
      </c>
      <c r="AL38" s="188">
        <f t="shared" si="49"/>
        <v>-2047.604583734807</v>
      </c>
      <c r="AM38" s="188">
        <f t="shared" si="50"/>
        <v>2047.604583734807</v>
      </c>
      <c r="AN38" s="188">
        <f t="shared" si="51"/>
        <v>-2047.604583734807</v>
      </c>
      <c r="AO38" s="188">
        <f t="shared" si="52"/>
        <v>2047.604583734807</v>
      </c>
      <c r="AP38" s="188">
        <f t="shared" si="53"/>
        <v>2047.604583734807</v>
      </c>
    </row>
    <row r="39" spans="1:42" ht="15.75" thickBot="1" x14ac:dyDescent="0.3">
      <c r="A39" s="328" t="s">
        <v>341</v>
      </c>
      <c r="B39" s="329" t="s">
        <v>453</v>
      </c>
      <c r="C39" s="330" t="s">
        <v>1285</v>
      </c>
      <c r="E39" s="201">
        <v>1</v>
      </c>
      <c r="F39" s="186">
        <f t="shared" si="39"/>
        <v>0</v>
      </c>
      <c r="G39" s="202">
        <v>-1.00290843446E-4</v>
      </c>
      <c r="H39" s="202">
        <v>-1</v>
      </c>
      <c r="I39" s="227">
        <v>1</v>
      </c>
      <c r="J39" s="227">
        <v>-1</v>
      </c>
      <c r="K39" s="227">
        <v>1</v>
      </c>
      <c r="L39" s="202">
        <v>-1</v>
      </c>
      <c r="M39" s="228">
        <v>-11</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731625</v>
      </c>
      <c r="Y40" s="137">
        <v>7000</v>
      </c>
      <c r="Z40" s="188">
        <f t="shared" si="45"/>
        <v>468.4498655396655</v>
      </c>
      <c r="AA40" s="188">
        <f>IF(IF(sym!$Q29=H40,1,0)=1,ABS(X40*G40),-ABS(X40*G40))</f>
        <v>468.4498655396655</v>
      </c>
      <c r="AB40" s="188">
        <f>IF(IF(sym!$P29=$H40,1,0)=1,ABS($X40*$G40),-ABS($X40*$G40))</f>
        <v>-468.4498655396655</v>
      </c>
      <c r="AC40" s="188">
        <f t="shared" si="61"/>
        <v>-468.4498655396655</v>
      </c>
      <c r="AD40" s="188">
        <f t="shared" si="46"/>
        <v>468.4498655396655</v>
      </c>
      <c r="AE40" s="188">
        <f t="shared" si="47"/>
        <v>-468.4498655396655</v>
      </c>
      <c r="AF40" s="188">
        <f t="shared" si="56"/>
        <v>-468.4498655396655</v>
      </c>
      <c r="AG40" s="188">
        <f t="shared" si="57"/>
        <v>-468.4498655396655</v>
      </c>
      <c r="AH40" s="188">
        <f t="shared" si="58"/>
        <v>-468.4498655396655</v>
      </c>
      <c r="AI40" s="188">
        <f t="shared" si="59"/>
        <v>468.4498655396655</v>
      </c>
      <c r="AJ40" s="188">
        <f t="shared" si="60"/>
        <v>-468.4498655396655</v>
      </c>
      <c r="AK40" s="188">
        <f t="shared" si="48"/>
        <v>-468.4498655396655</v>
      </c>
      <c r="AL40" s="188">
        <f t="shared" si="49"/>
        <v>-468.4498655396655</v>
      </c>
      <c r="AM40" s="188">
        <f t="shared" si="50"/>
        <v>468.4498655396655</v>
      </c>
      <c r="AN40" s="188">
        <f t="shared" si="51"/>
        <v>-468.4498655396655</v>
      </c>
      <c r="AO40" s="188">
        <f t="shared" si="52"/>
        <v>468.4498655396655</v>
      </c>
      <c r="AP40" s="188">
        <f t="shared" si="53"/>
        <v>468.4498655396655</v>
      </c>
    </row>
    <row r="41" spans="1:42"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271920</v>
      </c>
      <c r="Y41" s="137">
        <v>11250</v>
      </c>
      <c r="Z41" s="188">
        <f t="shared" si="45"/>
        <v>420.64972375776239</v>
      </c>
      <c r="AA41" s="188">
        <f>IF(IF(sym!$Q30=H41,1,0)=1,ABS(X41*G41),-ABS(X41*G41))</f>
        <v>-420.64972375776239</v>
      </c>
      <c r="AB41" s="188">
        <f>IF(IF(sym!$P30=$H41,1,0)=1,ABS($X41*$G41),-ABS($X41*$G41))</f>
        <v>420.64972375776239</v>
      </c>
      <c r="AC41" s="188">
        <f t="shared" si="61"/>
        <v>420.64972375776239</v>
      </c>
      <c r="AD41" s="188">
        <f t="shared" si="46"/>
        <v>-420.64972375776239</v>
      </c>
      <c r="AE41" s="188">
        <f t="shared" si="47"/>
        <v>-420.64972375776239</v>
      </c>
      <c r="AF41" s="188">
        <f t="shared" si="56"/>
        <v>420.64972375776239</v>
      </c>
      <c r="AG41" s="188">
        <f t="shared" si="57"/>
        <v>420.64972375776239</v>
      </c>
      <c r="AH41" s="188">
        <f t="shared" si="58"/>
        <v>420.64972375776239</v>
      </c>
      <c r="AI41" s="188">
        <f t="shared" si="59"/>
        <v>-420.64972375776239</v>
      </c>
      <c r="AJ41" s="188">
        <f t="shared" si="60"/>
        <v>-420.64972375776239</v>
      </c>
      <c r="AK41" s="188">
        <f t="shared" si="48"/>
        <v>420.64972375776239</v>
      </c>
      <c r="AL41" s="188">
        <f t="shared" si="49"/>
        <v>-420.64972375776239</v>
      </c>
      <c r="AM41" s="188">
        <f t="shared" si="50"/>
        <v>-420.64972375776239</v>
      </c>
      <c r="AN41" s="188">
        <f t="shared" si="51"/>
        <v>-420.64972375776239</v>
      </c>
      <c r="AO41" s="188">
        <f t="shared" si="52"/>
        <v>420.64972375776239</v>
      </c>
      <c r="AP41" s="188">
        <f t="shared" si="53"/>
        <v>-420.64972375776239</v>
      </c>
    </row>
    <row r="42" spans="1:42"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3484.3913981388996</v>
      </c>
      <c r="AA42" s="188">
        <f>IF(IF(sym!$Q31=H42,1,0)=1,ABS(X42*G42),-ABS(X42*G42))</f>
        <v>3484.3913981388996</v>
      </c>
      <c r="AB42" s="188">
        <f>IF(IF(sym!$P31=$H42,1,0)=1,ABS($X42*$G42),-ABS($X42*$G42))</f>
        <v>-3484.3913981388996</v>
      </c>
      <c r="AC42" s="188">
        <f t="shared" si="61"/>
        <v>-3484.3913981388996</v>
      </c>
      <c r="AD42" s="188">
        <f t="shared" si="46"/>
        <v>3484.3913981388996</v>
      </c>
      <c r="AE42" s="188">
        <f t="shared" si="47"/>
        <v>-3484.3913981388996</v>
      </c>
      <c r="AF42" s="188">
        <f t="shared" si="56"/>
        <v>3484.3913981388996</v>
      </c>
      <c r="AG42" s="188">
        <f t="shared" si="57"/>
        <v>3484.3913981388996</v>
      </c>
      <c r="AH42" s="188">
        <f t="shared" si="58"/>
        <v>-3484.3913981388996</v>
      </c>
      <c r="AI42" s="188">
        <f t="shared" si="59"/>
        <v>3484.3913981388996</v>
      </c>
      <c r="AJ42" s="188">
        <f t="shared" si="60"/>
        <v>-3484.3913981388996</v>
      </c>
      <c r="AK42" s="188">
        <f t="shared" si="48"/>
        <v>3484.3913981388996</v>
      </c>
      <c r="AL42" s="188">
        <f t="shared" si="49"/>
        <v>-3484.3913981388996</v>
      </c>
      <c r="AM42" s="188">
        <f t="shared" si="50"/>
        <v>3484.3913981388996</v>
      </c>
      <c r="AN42" s="188">
        <f t="shared" si="51"/>
        <v>3484.3913981388996</v>
      </c>
      <c r="AO42" s="188">
        <f t="shared" si="52"/>
        <v>-3484.3913981388996</v>
      </c>
      <c r="AP42" s="188">
        <f t="shared" si="53"/>
        <v>3484.3913981388996</v>
      </c>
    </row>
    <row r="43" spans="1:42"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4"/>
        <v>1</v>
      </c>
      <c r="Q43">
        <f t="shared" si="41"/>
        <v>-1</v>
      </c>
      <c r="R43">
        <f t="shared" si="42"/>
        <v>-1</v>
      </c>
      <c r="S43">
        <f t="shared" si="43"/>
        <v>-1</v>
      </c>
      <c r="T43">
        <f t="shared" si="44"/>
        <v>1</v>
      </c>
      <c r="U43">
        <f t="shared" si="55"/>
        <v>-1</v>
      </c>
      <c r="V43">
        <f>VLOOKUP($A43,'FuturesInfo (3)'!$A$2:$V$80,22)</f>
        <v>2</v>
      </c>
      <c r="W43">
        <v>1</v>
      </c>
      <c r="X43" s="137">
        <v>109975</v>
      </c>
      <c r="Y43" s="137">
        <v>5750</v>
      </c>
      <c r="Z43" s="188">
        <f t="shared" si="45"/>
        <v>1089.1064595996493</v>
      </c>
      <c r="AA43" s="188">
        <f>IF(IF(sym!$Q32=H43,1,0)=1,ABS(X43*G43),-ABS(X43*G43))</f>
        <v>-1089.1064595996493</v>
      </c>
      <c r="AB43" s="188">
        <f>IF(IF(sym!$P32=$H43,1,0)=1,ABS($X43*$G43),-ABS($X43*$G43))</f>
        <v>1089.1064595996493</v>
      </c>
      <c r="AC43" s="188">
        <f t="shared" si="61"/>
        <v>-1089.1064595996493</v>
      </c>
      <c r="AD43" s="188">
        <f t="shared" si="46"/>
        <v>1089.1064595996493</v>
      </c>
      <c r="AE43" s="188">
        <f t="shared" si="47"/>
        <v>1089.1064595996493</v>
      </c>
      <c r="AF43" s="188">
        <f t="shared" si="56"/>
        <v>1089.1064595996493</v>
      </c>
      <c r="AG43" s="188">
        <f t="shared" si="57"/>
        <v>1089.1064595996493</v>
      </c>
      <c r="AH43" s="188">
        <f t="shared" si="58"/>
        <v>1089.1064595996493</v>
      </c>
      <c r="AI43" s="188">
        <f t="shared" si="59"/>
        <v>-1089.1064595996493</v>
      </c>
      <c r="AJ43" s="188">
        <f t="shared" si="60"/>
        <v>-1089.1064595996493</v>
      </c>
      <c r="AK43" s="188">
        <f t="shared" si="48"/>
        <v>-1089.1064595996493</v>
      </c>
      <c r="AL43" s="188">
        <f t="shared" si="49"/>
        <v>1089.1064595996493</v>
      </c>
      <c r="AM43" s="188">
        <f t="shared" si="50"/>
        <v>1089.1064595996493</v>
      </c>
      <c r="AN43" s="188">
        <f t="shared" si="51"/>
        <v>1089.1064595996493</v>
      </c>
      <c r="AO43" s="188">
        <f t="shared" si="52"/>
        <v>-1089.1064595996493</v>
      </c>
      <c r="AP43" s="188">
        <f t="shared" si="53"/>
        <v>1089.1064595996493</v>
      </c>
    </row>
    <row r="44" spans="1:42"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4523.7852898472065</v>
      </c>
      <c r="AA44" s="188">
        <f>IF(IF(sym!$Q33=H44,1,0)=1,ABS(X44*G44),-ABS(X44*G44))</f>
        <v>4523.7852898472065</v>
      </c>
      <c r="AB44" s="188">
        <f>IF(IF(sym!$P33=$H44,1,0)=1,ABS($X44*$G44),-ABS($X44*$G44))</f>
        <v>-4523.7852898472065</v>
      </c>
      <c r="AC44" s="188">
        <f t="shared" si="61"/>
        <v>-4523.7852898472065</v>
      </c>
      <c r="AD44" s="188">
        <f t="shared" si="46"/>
        <v>4523.7852898472065</v>
      </c>
      <c r="AE44" s="188">
        <f t="shared" si="47"/>
        <v>-4523.7852898472065</v>
      </c>
      <c r="AF44" s="188">
        <f t="shared" si="56"/>
        <v>4523.7852898472065</v>
      </c>
      <c r="AG44" s="188">
        <f t="shared" si="57"/>
        <v>4523.7852898472065</v>
      </c>
      <c r="AH44" s="188">
        <f t="shared" si="58"/>
        <v>-4523.7852898472065</v>
      </c>
      <c r="AI44" s="188">
        <f t="shared" si="59"/>
        <v>4523.7852898472065</v>
      </c>
      <c r="AJ44" s="188">
        <f t="shared" si="60"/>
        <v>-4523.7852898472065</v>
      </c>
      <c r="AK44" s="188">
        <f t="shared" si="48"/>
        <v>4523.7852898472065</v>
      </c>
      <c r="AL44" s="188">
        <f t="shared" si="49"/>
        <v>-4523.7852898472065</v>
      </c>
      <c r="AM44" s="188">
        <f t="shared" si="50"/>
        <v>4523.7852898472065</v>
      </c>
      <c r="AN44" s="188">
        <f t="shared" si="51"/>
        <v>4523.7852898472065</v>
      </c>
      <c r="AO44" s="188">
        <f t="shared" si="52"/>
        <v>-4523.7852898472065</v>
      </c>
      <c r="AP44" s="188">
        <f t="shared" si="53"/>
        <v>4523.7852898472065</v>
      </c>
    </row>
    <row r="45" spans="1:42"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105663.6</v>
      </c>
      <c r="Y45" s="137">
        <v>11970</v>
      </c>
      <c r="Z45" s="188">
        <f t="shared" si="45"/>
        <v>4008.3476558348511</v>
      </c>
      <c r="AA45" s="188">
        <f>IF(IF(sym!$Q34=H45,1,0)=1,ABS(X45*G45),-ABS(X45*G45))</f>
        <v>-4008.3476558348511</v>
      </c>
      <c r="AB45" s="188">
        <f>IF(IF(sym!$P34=$H45,1,0)=1,ABS($X45*$G45),-ABS($X45*$G45))</f>
        <v>4008.3476558348511</v>
      </c>
      <c r="AC45" s="188">
        <f t="shared" si="61"/>
        <v>-4008.3476558348511</v>
      </c>
      <c r="AD45" s="188">
        <f t="shared" si="46"/>
        <v>4008.3476558348511</v>
      </c>
      <c r="AE45" s="188">
        <f t="shared" si="47"/>
        <v>-4008.3476558348511</v>
      </c>
      <c r="AF45" s="188">
        <f t="shared" si="56"/>
        <v>4008.3476558348511</v>
      </c>
      <c r="AG45" s="188">
        <f t="shared" si="57"/>
        <v>4008.3476558348511</v>
      </c>
      <c r="AH45" s="188">
        <f t="shared" si="58"/>
        <v>-4008.3476558348511</v>
      </c>
      <c r="AI45" s="188">
        <f t="shared" si="59"/>
        <v>4008.3476558348511</v>
      </c>
      <c r="AJ45" s="188">
        <f t="shared" si="60"/>
        <v>-4008.3476558348511</v>
      </c>
      <c r="AK45" s="188">
        <f t="shared" si="48"/>
        <v>4008.3476558348511</v>
      </c>
      <c r="AL45" s="188">
        <f t="shared" si="49"/>
        <v>-4008.3476558348511</v>
      </c>
      <c r="AM45" s="188">
        <f t="shared" si="50"/>
        <v>4008.3476558348511</v>
      </c>
      <c r="AN45" s="188">
        <f t="shared" si="51"/>
        <v>4008.3476558348511</v>
      </c>
      <c r="AO45" s="188">
        <f t="shared" si="52"/>
        <v>-4008.3476558348511</v>
      </c>
      <c r="AP45" s="188">
        <f t="shared" si="53"/>
        <v>4008.3476558348511</v>
      </c>
    </row>
    <row r="46" spans="1:42" ht="15.75" thickBot="1" x14ac:dyDescent="0.3">
      <c r="A46" s="1" t="s">
        <v>355</v>
      </c>
      <c r="B46" s="149" t="s">
        <v>623</v>
      </c>
      <c r="C46" s="192" t="s">
        <v>1121</v>
      </c>
      <c r="E46" s="201">
        <v>1</v>
      </c>
      <c r="F46" s="186">
        <f t="shared" ref="F46:F77" si="62">G46*X46</f>
        <v>-847.05687662203297</v>
      </c>
      <c r="G46" s="202">
        <v>-3.4624980905300002E-3</v>
      </c>
      <c r="H46" s="202">
        <v>-1</v>
      </c>
      <c r="I46" s="227">
        <v>1</v>
      </c>
      <c r="J46" s="227">
        <v>-1</v>
      </c>
      <c r="K46" s="227">
        <v>1</v>
      </c>
      <c r="L46" s="202">
        <v>1</v>
      </c>
      <c r="M46" s="228">
        <v>7</v>
      </c>
      <c r="N46" s="288"/>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244637.5</v>
      </c>
      <c r="Y46" s="137">
        <v>7894</v>
      </c>
      <c r="Z46" s="188">
        <f t="shared" si="45"/>
        <v>847.05687662203297</v>
      </c>
      <c r="AA46" s="188">
        <f>IF(IF(sym!$Q35=H46,1,0)=1,ABS(X46*G46),-ABS(X46*G46))</f>
        <v>847.05687662203297</v>
      </c>
      <c r="AB46" s="188">
        <f>IF(IF(sym!$P35=$H46,1,0)=1,ABS($X46*$G46),-ABS($X46*$G46))</f>
        <v>-847.05687662203297</v>
      </c>
      <c r="AC46" s="188">
        <f t="shared" si="61"/>
        <v>-847.05687662203297</v>
      </c>
      <c r="AD46" s="188">
        <f t="shared" ref="AD46:AD77" si="66">IF(IF(-E46=H46,1,0)=1,ABS(X46*G46),-ABS(X46*G46))</f>
        <v>847.05687662203297</v>
      </c>
      <c r="AE46" s="188">
        <f t="shared" si="47"/>
        <v>847.05687662203297</v>
      </c>
      <c r="AF46" s="188">
        <f t="shared" si="56"/>
        <v>-847.05687662203297</v>
      </c>
      <c r="AG46" s="188">
        <f t="shared" si="57"/>
        <v>-847.05687662203297</v>
      </c>
      <c r="AH46" s="188">
        <f t="shared" si="58"/>
        <v>-847.05687662203297</v>
      </c>
      <c r="AI46" s="188">
        <f t="shared" si="59"/>
        <v>847.05687662203297</v>
      </c>
      <c r="AJ46" s="188">
        <f t="shared" si="60"/>
        <v>-847.05687662203297</v>
      </c>
      <c r="AK46" s="188">
        <f t="shared" si="48"/>
        <v>-847.05687662203297</v>
      </c>
      <c r="AL46" s="188">
        <f t="shared" si="49"/>
        <v>847.05687662203297</v>
      </c>
      <c r="AM46" s="188">
        <f t="shared" si="50"/>
        <v>847.05687662203297</v>
      </c>
      <c r="AN46" s="188">
        <f t="shared" ref="AN46:AN77" si="67">IF(IF(S46=H46,1,0)=1,ABS(X46*G46),-ABS(X46*G46))</f>
        <v>847.05687662203297</v>
      </c>
      <c r="AO46" s="188">
        <f t="shared" ref="AO46:AO77" si="68">IF(IF(T46=$H46,1,0)=1,ABS($X46*$G46),-ABS($X46*$G46))</f>
        <v>847.05687662203297</v>
      </c>
      <c r="AP46" s="188">
        <f t="shared" ref="AP46:AP77" si="69">IF(IF(U46=$H46,1,0)=1,ABS($X46*$G46),-ABS($X46*$G46))</f>
        <v>847.05687662203297</v>
      </c>
    </row>
    <row r="47" spans="1:42" ht="15.75" thickBot="1" x14ac:dyDescent="0.3">
      <c r="A47" s="1" t="s">
        <v>357</v>
      </c>
      <c r="B47" s="149" t="s">
        <v>513</v>
      </c>
      <c r="C47" s="192" t="s">
        <v>304</v>
      </c>
      <c r="E47" s="201">
        <v>1</v>
      </c>
      <c r="F47" s="186">
        <f t="shared" si="62"/>
        <v>-2023.7046853621048</v>
      </c>
      <c r="G47" s="202">
        <v>-1.88098495212E-2</v>
      </c>
      <c r="H47" s="202">
        <v>-1</v>
      </c>
      <c r="I47" s="227">
        <v>1</v>
      </c>
      <c r="J47" s="227">
        <v>-1</v>
      </c>
      <c r="K47" s="227">
        <v>1</v>
      </c>
      <c r="L47" s="202">
        <v>1</v>
      </c>
      <c r="M47" s="228">
        <v>9</v>
      </c>
      <c r="N47" s="288"/>
      <c r="O47">
        <f t="shared" si="40"/>
        <v>1</v>
      </c>
      <c r="P47">
        <f t="shared" si="54"/>
        <v>1</v>
      </c>
      <c r="Q47">
        <f t="shared" si="63"/>
        <v>-1</v>
      </c>
      <c r="R47">
        <f t="shared" si="64"/>
        <v>-1</v>
      </c>
      <c r="S47">
        <f t="shared" si="43"/>
        <v>-1</v>
      </c>
      <c r="T47">
        <f t="shared" si="65"/>
        <v>-1</v>
      </c>
      <c r="U47">
        <f t="shared" si="55"/>
        <v>-1</v>
      </c>
      <c r="V47">
        <f>VLOOKUP($A47,'FuturesInfo (3)'!$A$2:$V$80,22)</f>
        <v>2</v>
      </c>
      <c r="W47">
        <v>1</v>
      </c>
      <c r="X47" s="137">
        <v>107587.49999999999</v>
      </c>
      <c r="Y47" s="137">
        <v>15000</v>
      </c>
      <c r="Z47" s="188">
        <f t="shared" si="45"/>
        <v>2023.7046853621048</v>
      </c>
      <c r="AA47" s="188">
        <f>IF(IF(sym!$Q36=H47,1,0)=1,ABS(X47*G47),-ABS(X47*G47))</f>
        <v>-2023.7046853621048</v>
      </c>
      <c r="AB47" s="188">
        <f>IF(IF(sym!$P36=$H47,1,0)=1,ABS($X47*$G47),-ABS($X47*$G47))</f>
        <v>2023.7046853621048</v>
      </c>
      <c r="AC47" s="188">
        <f t="shared" si="61"/>
        <v>-2023.7046853621048</v>
      </c>
      <c r="AD47" s="188">
        <f t="shared" si="66"/>
        <v>2023.7046853621048</v>
      </c>
      <c r="AE47" s="188">
        <f t="shared" si="47"/>
        <v>2023.7046853621048</v>
      </c>
      <c r="AF47" s="188">
        <f t="shared" si="56"/>
        <v>-2023.7046853621048</v>
      </c>
      <c r="AG47" s="188">
        <f t="shared" si="57"/>
        <v>-2023.7046853621048</v>
      </c>
      <c r="AH47" s="188">
        <f t="shared" si="58"/>
        <v>-2023.7046853621048</v>
      </c>
      <c r="AI47" s="188">
        <f t="shared" si="59"/>
        <v>2023.7046853621048</v>
      </c>
      <c r="AJ47" s="188">
        <f t="shared" si="60"/>
        <v>-2023.7046853621048</v>
      </c>
      <c r="AK47" s="188">
        <f t="shared" si="48"/>
        <v>-2023.7046853621048</v>
      </c>
      <c r="AL47" s="188">
        <f t="shared" si="49"/>
        <v>2023.7046853621048</v>
      </c>
      <c r="AM47" s="188">
        <f t="shared" si="50"/>
        <v>2023.7046853621048</v>
      </c>
      <c r="AN47" s="188">
        <f t="shared" si="67"/>
        <v>2023.7046853621048</v>
      </c>
      <c r="AO47" s="188">
        <f t="shared" si="68"/>
        <v>2023.7046853621048</v>
      </c>
      <c r="AP47" s="188">
        <f t="shared" si="69"/>
        <v>2023.7046853621048</v>
      </c>
    </row>
    <row r="48" spans="1:42" ht="15.75" thickBot="1" x14ac:dyDescent="0.3">
      <c r="A48" s="1" t="s">
        <v>1051</v>
      </c>
      <c r="B48" s="149" t="s">
        <v>614</v>
      </c>
      <c r="C48" s="192" t="s">
        <v>297</v>
      </c>
      <c r="E48" s="201">
        <v>1</v>
      </c>
      <c r="F48" s="186">
        <f t="shared" si="62"/>
        <v>-99.877974374348497</v>
      </c>
      <c r="G48" s="202">
        <v>-1.22025625381E-3</v>
      </c>
      <c r="H48" s="202">
        <v>-1</v>
      </c>
      <c r="I48" s="227">
        <v>1</v>
      </c>
      <c r="J48" s="227">
        <v>1</v>
      </c>
      <c r="K48" s="227">
        <v>-1</v>
      </c>
      <c r="L48" s="202">
        <v>1</v>
      </c>
      <c r="M48" s="228">
        <v>4</v>
      </c>
      <c r="N48" s="288"/>
      <c r="O48">
        <f t="shared" si="40"/>
        <v>1</v>
      </c>
      <c r="P48">
        <f t="shared" si="54"/>
        <v>-1</v>
      </c>
      <c r="Q48">
        <f t="shared" si="63"/>
        <v>1</v>
      </c>
      <c r="R48">
        <f t="shared" si="64"/>
        <v>-1</v>
      </c>
      <c r="S48">
        <f t="shared" si="43"/>
        <v>-1</v>
      </c>
      <c r="T48">
        <f t="shared" si="65"/>
        <v>1</v>
      </c>
      <c r="U48">
        <f t="shared" si="55"/>
        <v>-1</v>
      </c>
      <c r="V48">
        <f>VLOOKUP($A48,'FuturesInfo (3)'!$A$2:$V$80,22)</f>
        <v>4</v>
      </c>
      <c r="W48">
        <v>1</v>
      </c>
      <c r="X48" s="137">
        <v>81850</v>
      </c>
      <c r="Y48" s="137">
        <v>7000</v>
      </c>
      <c r="Z48" s="188">
        <f t="shared" si="45"/>
        <v>99.877974374348497</v>
      </c>
      <c r="AA48" s="188">
        <f>IF(IF(sym!$Q37=H48,1,0)=1,ABS(X48*G48),-ABS(X48*G48))</f>
        <v>-99.877974374348497</v>
      </c>
      <c r="AB48" s="188">
        <f>IF(IF(sym!$P37=$H48,1,0)=1,ABS($X48*$G48),-ABS($X48*$G48))</f>
        <v>99.877974374348497</v>
      </c>
      <c r="AC48" s="188">
        <f t="shared" si="61"/>
        <v>-99.877974374348497</v>
      </c>
      <c r="AD48" s="188">
        <f t="shared" si="66"/>
        <v>99.877974374348497</v>
      </c>
      <c r="AE48" s="188">
        <f t="shared" si="47"/>
        <v>-99.877974374348497</v>
      </c>
      <c r="AF48" s="188">
        <f t="shared" si="56"/>
        <v>-99.877974374348497</v>
      </c>
      <c r="AG48" s="188">
        <f t="shared" si="57"/>
        <v>99.877974374348497</v>
      </c>
      <c r="AH48" s="188">
        <f t="shared" si="58"/>
        <v>-99.877974374348497</v>
      </c>
      <c r="AI48" s="188">
        <f t="shared" si="59"/>
        <v>99.877974374348497</v>
      </c>
      <c r="AJ48" s="188">
        <f t="shared" si="60"/>
        <v>-99.877974374348497</v>
      </c>
      <c r="AK48" s="188">
        <f t="shared" si="48"/>
        <v>99.877974374348497</v>
      </c>
      <c r="AL48" s="188">
        <f t="shared" si="49"/>
        <v>-99.877974374348497</v>
      </c>
      <c r="AM48" s="188">
        <f t="shared" si="50"/>
        <v>99.877974374348497</v>
      </c>
      <c r="AN48" s="188">
        <f t="shared" si="67"/>
        <v>99.877974374348497</v>
      </c>
      <c r="AO48" s="188">
        <f t="shared" si="68"/>
        <v>-99.877974374348497</v>
      </c>
      <c r="AP48" s="188">
        <f t="shared" si="69"/>
        <v>99.877974374348497</v>
      </c>
    </row>
    <row r="49" spans="1:42" ht="15.75" thickBot="1" x14ac:dyDescent="0.3">
      <c r="A49" s="4" t="s">
        <v>359</v>
      </c>
      <c r="B49" s="149" t="s">
        <v>708</v>
      </c>
      <c r="C49" s="330" t="s">
        <v>1285</v>
      </c>
      <c r="E49" s="201">
        <v>-1</v>
      </c>
      <c r="F49" s="186">
        <f t="shared" si="62"/>
        <v>-1303.4170854321408</v>
      </c>
      <c r="G49" s="202">
        <v>-1.25628140704E-2</v>
      </c>
      <c r="H49" s="234">
        <v>-1</v>
      </c>
      <c r="I49" s="230">
        <v>-1</v>
      </c>
      <c r="J49" s="230">
        <v>-1</v>
      </c>
      <c r="K49" s="230">
        <v>-1</v>
      </c>
      <c r="L49" s="202">
        <v>1</v>
      </c>
      <c r="M49" s="228">
        <v>10</v>
      </c>
      <c r="N49" s="288"/>
      <c r="O49">
        <f t="shared" si="40"/>
        <v>1</v>
      </c>
      <c r="P49">
        <f t="shared" si="54"/>
        <v>-1</v>
      </c>
      <c r="Q49">
        <f t="shared" si="63"/>
        <v>1</v>
      </c>
      <c r="R49">
        <f t="shared" si="64"/>
        <v>-1</v>
      </c>
      <c r="S49">
        <f t="shared" si="43"/>
        <v>-1</v>
      </c>
      <c r="T49">
        <f t="shared" si="65"/>
        <v>-1</v>
      </c>
      <c r="U49">
        <f t="shared" si="55"/>
        <v>-1</v>
      </c>
      <c r="V49">
        <f>VLOOKUP($A49,'FuturesInfo (3)'!$A$2:$V$80,22)</f>
        <v>0</v>
      </c>
      <c r="W49">
        <v>1</v>
      </c>
      <c r="X49" s="137">
        <v>103752</v>
      </c>
      <c r="Y49" s="137">
        <v>7311</v>
      </c>
      <c r="Z49" s="188">
        <f t="shared" si="45"/>
        <v>1303.4170854321408</v>
      </c>
      <c r="AA49" s="188">
        <f>IF(IF(sym!$Q38=H49,1,0)=1,ABS(X49*G49),-ABS(X49*G49))</f>
        <v>-1303.4170854321408</v>
      </c>
      <c r="AB49" s="188">
        <f>IF(IF(sym!$P38=$H49,1,0)=1,ABS($X49*$G49),-ABS($X49*$G49))</f>
        <v>1303.4170854321408</v>
      </c>
      <c r="AC49" s="188">
        <f t="shared" si="61"/>
        <v>1303.4170854321408</v>
      </c>
      <c r="AD49" s="188">
        <f t="shared" si="66"/>
        <v>-1303.4170854321408</v>
      </c>
      <c r="AE49" s="188">
        <f t="shared" si="47"/>
        <v>1303.4170854321408</v>
      </c>
      <c r="AF49" s="188">
        <f t="shared" si="56"/>
        <v>1303.4170854321408</v>
      </c>
      <c r="AG49" s="188">
        <f t="shared" si="57"/>
        <v>1303.4170854321408</v>
      </c>
      <c r="AH49" s="188">
        <f t="shared" si="58"/>
        <v>-1303.4170854321408</v>
      </c>
      <c r="AI49" s="188">
        <f t="shared" si="59"/>
        <v>1303.4170854321408</v>
      </c>
      <c r="AJ49" s="188">
        <f t="shared" si="60"/>
        <v>-1303.4170854321408</v>
      </c>
      <c r="AK49" s="188">
        <f t="shared" si="48"/>
        <v>1303.4170854321408</v>
      </c>
      <c r="AL49" s="188">
        <f t="shared" si="49"/>
        <v>-1303.4170854321408</v>
      </c>
      <c r="AM49" s="188">
        <f t="shared" si="50"/>
        <v>1303.4170854321408</v>
      </c>
      <c r="AN49" s="188">
        <f t="shared" si="67"/>
        <v>1303.4170854321408</v>
      </c>
      <c r="AO49" s="188">
        <f t="shared" si="68"/>
        <v>1303.4170854321408</v>
      </c>
      <c r="AP49" s="188">
        <f t="shared" si="69"/>
        <v>1303.4170854321408</v>
      </c>
    </row>
    <row r="50" spans="1:42" ht="15.75" thickBot="1" x14ac:dyDescent="0.3">
      <c r="A50" s="1" t="s">
        <v>361</v>
      </c>
      <c r="B50" s="149" t="s">
        <v>631</v>
      </c>
      <c r="C50" s="192" t="s">
        <v>313</v>
      </c>
      <c r="E50" s="201">
        <v>-1</v>
      </c>
      <c r="F50" s="186">
        <f t="shared" si="62"/>
        <v>2879.3152830563549</v>
      </c>
      <c r="G50" s="202">
        <v>2.1033788319500001E-2</v>
      </c>
      <c r="H50" s="202">
        <v>1</v>
      </c>
      <c r="I50" s="227">
        <v>-1</v>
      </c>
      <c r="J50" s="227">
        <v>1</v>
      </c>
      <c r="K50" s="227">
        <v>-1</v>
      </c>
      <c r="L50" s="202">
        <v>-1</v>
      </c>
      <c r="M50" s="228">
        <v>6</v>
      </c>
      <c r="N50" s="288"/>
      <c r="O50">
        <f t="shared" si="40"/>
        <v>-1</v>
      </c>
      <c r="P50">
        <f t="shared" si="54"/>
        <v>-1</v>
      </c>
      <c r="Q50">
        <f t="shared" si="63"/>
        <v>1</v>
      </c>
      <c r="R50">
        <f t="shared" si="64"/>
        <v>1</v>
      </c>
      <c r="S50">
        <f t="shared" si="43"/>
        <v>1</v>
      </c>
      <c r="T50">
        <f t="shared" si="65"/>
        <v>1</v>
      </c>
      <c r="U50">
        <f t="shared" si="55"/>
        <v>1</v>
      </c>
      <c r="V50">
        <f>VLOOKUP($A50,'FuturesInfo (3)'!$A$2:$V$80,22)</f>
        <v>3</v>
      </c>
      <c r="W50">
        <v>1</v>
      </c>
      <c r="X50" s="137">
        <v>136890</v>
      </c>
      <c r="Y50" s="137">
        <v>6750</v>
      </c>
      <c r="Z50" s="188">
        <f t="shared" si="45"/>
        <v>2879.3152830563549</v>
      </c>
      <c r="AA50" s="188">
        <f>IF(IF(sym!$Q39=H50,1,0)=1,ABS(X50*G50),-ABS(X50*G50))</f>
        <v>2879.3152830563549</v>
      </c>
      <c r="AB50" s="188">
        <f>IF(IF(sym!$P39=$H50,1,0)=1,ABS($X50*$G50),-ABS($X50*$G50))</f>
        <v>-2879.3152830563549</v>
      </c>
      <c r="AC50" s="188">
        <f t="shared" si="61"/>
        <v>-2879.3152830563549</v>
      </c>
      <c r="AD50" s="188">
        <f t="shared" si="66"/>
        <v>2879.3152830563549</v>
      </c>
      <c r="AE50" s="188">
        <f t="shared" si="47"/>
        <v>2879.3152830563549</v>
      </c>
      <c r="AF50" s="188">
        <f t="shared" si="56"/>
        <v>-2879.3152830563549</v>
      </c>
      <c r="AG50" s="188">
        <f t="shared" si="57"/>
        <v>-2879.3152830563549</v>
      </c>
      <c r="AH50" s="188">
        <f t="shared" si="58"/>
        <v>-2879.3152830563549</v>
      </c>
      <c r="AI50" s="188">
        <f t="shared" si="59"/>
        <v>2879.3152830563549</v>
      </c>
      <c r="AJ50" s="188">
        <f t="shared" si="60"/>
        <v>-2879.3152830563549</v>
      </c>
      <c r="AK50" s="188">
        <f t="shared" si="48"/>
        <v>-2879.3152830563549</v>
      </c>
      <c r="AL50" s="188">
        <f t="shared" si="49"/>
        <v>2879.3152830563549</v>
      </c>
      <c r="AM50" s="188">
        <f t="shared" si="50"/>
        <v>2879.3152830563549</v>
      </c>
      <c r="AN50" s="188">
        <f t="shared" si="67"/>
        <v>2879.3152830563549</v>
      </c>
      <c r="AO50" s="188">
        <f t="shared" si="68"/>
        <v>2879.3152830563549</v>
      </c>
      <c r="AP50" s="188">
        <f t="shared" si="69"/>
        <v>2879.3152830563549</v>
      </c>
    </row>
    <row r="51" spans="1:42" ht="15.75" thickBot="1" x14ac:dyDescent="0.3">
      <c r="A51" s="1" t="s">
        <v>363</v>
      </c>
      <c r="B51" s="149" t="s">
        <v>476</v>
      </c>
      <c r="C51" s="192" t="s">
        <v>288</v>
      </c>
      <c r="E51" s="201">
        <v>1</v>
      </c>
      <c r="F51" s="186">
        <f t="shared" si="62"/>
        <v>-2674.5434148489139</v>
      </c>
      <c r="G51" s="202">
        <v>-3.0962530850299999E-2</v>
      </c>
      <c r="H51" s="202">
        <v>-1</v>
      </c>
      <c r="I51" s="227">
        <v>-1</v>
      </c>
      <c r="J51" s="227">
        <v>1</v>
      </c>
      <c r="K51" s="227">
        <v>-1</v>
      </c>
      <c r="L51" s="202">
        <v>-1</v>
      </c>
      <c r="M51" s="228">
        <v>12</v>
      </c>
      <c r="N51" s="288"/>
      <c r="O51">
        <f t="shared" si="40"/>
        <v>-1</v>
      </c>
      <c r="P51">
        <f t="shared" si="54"/>
        <v>1</v>
      </c>
      <c r="Q51">
        <f t="shared" si="63"/>
        <v>-1</v>
      </c>
      <c r="R51">
        <f t="shared" si="64"/>
        <v>-1</v>
      </c>
      <c r="S51">
        <f t="shared" si="43"/>
        <v>-1</v>
      </c>
      <c r="T51">
        <f t="shared" si="65"/>
        <v>1</v>
      </c>
      <c r="U51">
        <f t="shared" si="55"/>
        <v>1</v>
      </c>
      <c r="V51">
        <f>VLOOKUP($A51,'FuturesInfo (3)'!$A$2:$V$80,22)</f>
        <v>2</v>
      </c>
      <c r="W51">
        <v>1</v>
      </c>
      <c r="X51" s="137">
        <v>86380</v>
      </c>
      <c r="Y51" s="137">
        <v>10000</v>
      </c>
      <c r="Z51" s="188">
        <f t="shared" si="45"/>
        <v>2674.5434148489139</v>
      </c>
      <c r="AA51" s="188">
        <f>IF(IF(sym!$Q40=H51,1,0)=1,ABS(X51*G51),-ABS(X51*G51))</f>
        <v>-2674.5434148489139</v>
      </c>
      <c r="AB51" s="188">
        <f>IF(IF(sym!$P40=$H51,1,0)=1,ABS($X51*$G51),-ABS($X51*$G51))</f>
        <v>2674.5434148489139</v>
      </c>
      <c r="AC51" s="188">
        <f t="shared" si="61"/>
        <v>-2674.5434148489139</v>
      </c>
      <c r="AD51" s="188">
        <f t="shared" si="66"/>
        <v>2674.5434148489139</v>
      </c>
      <c r="AE51" s="188">
        <f t="shared" si="47"/>
        <v>-2674.5434148489139</v>
      </c>
      <c r="AF51" s="188">
        <f t="shared" si="56"/>
        <v>2674.5434148489139</v>
      </c>
      <c r="AG51" s="188">
        <f t="shared" si="57"/>
        <v>2674.5434148489139</v>
      </c>
      <c r="AH51" s="188">
        <f t="shared" si="58"/>
        <v>2674.5434148489139</v>
      </c>
      <c r="AI51" s="188">
        <f t="shared" si="59"/>
        <v>-2674.5434148489139</v>
      </c>
      <c r="AJ51" s="188">
        <f t="shared" si="60"/>
        <v>2674.5434148489139</v>
      </c>
      <c r="AK51" s="188">
        <f t="shared" si="48"/>
        <v>-2674.5434148489139</v>
      </c>
      <c r="AL51" s="188">
        <f t="shared" si="49"/>
        <v>2674.5434148489139</v>
      </c>
      <c r="AM51" s="188">
        <f t="shared" si="50"/>
        <v>2674.5434148489139</v>
      </c>
      <c r="AN51" s="188">
        <f t="shared" si="67"/>
        <v>2674.5434148489139</v>
      </c>
      <c r="AO51" s="188">
        <f t="shared" si="68"/>
        <v>-2674.5434148489139</v>
      </c>
      <c r="AP51" s="188">
        <f t="shared" si="69"/>
        <v>-2674.5434148489139</v>
      </c>
    </row>
    <row r="52" spans="1:42" ht="15.75" thickBot="1" x14ac:dyDescent="0.3">
      <c r="A52" s="1" t="s">
        <v>365</v>
      </c>
      <c r="B52" s="149" t="s">
        <v>1097</v>
      </c>
      <c r="C52" s="192" t="s">
        <v>288</v>
      </c>
      <c r="E52" s="201">
        <v>-1</v>
      </c>
      <c r="F52" s="186">
        <f t="shared" si="62"/>
        <v>-2556.9251159743199</v>
      </c>
      <c r="G52" s="202">
        <v>-3.5122597746899999E-2</v>
      </c>
      <c r="H52" s="202">
        <v>-1</v>
      </c>
      <c r="I52" s="227">
        <v>-1</v>
      </c>
      <c r="J52" s="227">
        <v>1</v>
      </c>
      <c r="K52" s="227">
        <v>-1</v>
      </c>
      <c r="L52" s="202">
        <v>1</v>
      </c>
      <c r="M52" s="228">
        <v>-22</v>
      </c>
      <c r="N52" s="288"/>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2556.9251159743199</v>
      </c>
      <c r="AA52" s="188">
        <f>IF(IF(sym!$Q41=H52,1,0)=1,ABS(X52*G52),-ABS(X52*G52))</f>
        <v>-2556.9251159743199</v>
      </c>
      <c r="AB52" s="188">
        <f>IF(IF(sym!$P41=$H52,1,0)=1,ABS($X52*$G52),-ABS($X52*$G52))</f>
        <v>2556.9251159743199</v>
      </c>
      <c r="AC52" s="188">
        <f t="shared" si="61"/>
        <v>2556.9251159743199</v>
      </c>
      <c r="AD52" s="188">
        <f t="shared" si="66"/>
        <v>-2556.9251159743199</v>
      </c>
      <c r="AE52" s="188">
        <f t="shared" si="47"/>
        <v>-2556.9251159743199</v>
      </c>
      <c r="AF52" s="188">
        <f t="shared" si="56"/>
        <v>2556.9251159743199</v>
      </c>
      <c r="AG52" s="188">
        <f t="shared" si="57"/>
        <v>2556.9251159743199</v>
      </c>
      <c r="AH52" s="188">
        <f t="shared" si="58"/>
        <v>-2556.9251159743199</v>
      </c>
      <c r="AI52" s="188">
        <f t="shared" si="59"/>
        <v>2556.9251159743199</v>
      </c>
      <c r="AJ52" s="188">
        <f t="shared" si="60"/>
        <v>2556.9251159743199</v>
      </c>
      <c r="AK52" s="188">
        <f t="shared" si="48"/>
        <v>2556.9251159743199</v>
      </c>
      <c r="AL52" s="188">
        <f t="shared" si="49"/>
        <v>-2556.9251159743199</v>
      </c>
      <c r="AM52" s="188">
        <f t="shared" si="50"/>
        <v>2556.9251159743199</v>
      </c>
      <c r="AN52" s="188">
        <f t="shared" si="67"/>
        <v>2556.9251159743199</v>
      </c>
      <c r="AO52" s="188">
        <f t="shared" si="68"/>
        <v>-2556.9251159743199</v>
      </c>
      <c r="AP52" s="188">
        <f t="shared" si="69"/>
        <v>-2556.9251159743199</v>
      </c>
    </row>
    <row r="53" spans="1:42" ht="15.75" thickBot="1" x14ac:dyDescent="0.3">
      <c r="A53" s="1" t="s">
        <v>367</v>
      </c>
      <c r="B53" s="149" t="s">
        <v>625</v>
      </c>
      <c r="C53" s="192" t="s">
        <v>313</v>
      </c>
      <c r="E53" s="201">
        <v>-1</v>
      </c>
      <c r="F53" s="186">
        <f t="shared" si="62"/>
        <v>2545.0973751023039</v>
      </c>
      <c r="G53" s="202">
        <v>2.62489415749E-2</v>
      </c>
      <c r="H53" s="202">
        <v>1</v>
      </c>
      <c r="I53" s="227">
        <v>1</v>
      </c>
      <c r="J53" s="227">
        <v>1</v>
      </c>
      <c r="K53" s="227">
        <v>1</v>
      </c>
      <c r="L53" s="202">
        <v>-1</v>
      </c>
      <c r="M53" s="228">
        <v>-11</v>
      </c>
      <c r="N53" s="288"/>
      <c r="O53">
        <f t="shared" si="40"/>
        <v>1</v>
      </c>
      <c r="P53">
        <f t="shared" si="54"/>
        <v>1</v>
      </c>
      <c r="Q53">
        <f t="shared" si="63"/>
        <v>1</v>
      </c>
      <c r="R53">
        <f t="shared" si="64"/>
        <v>1</v>
      </c>
      <c r="S53">
        <f t="shared" si="43"/>
        <v>1</v>
      </c>
      <c r="T53">
        <f t="shared" si="65"/>
        <v>-1</v>
      </c>
      <c r="U53">
        <f t="shared" si="55"/>
        <v>1</v>
      </c>
      <c r="V53">
        <f>VLOOKUP($A53,'FuturesInfo (3)'!$A$2:$V$80,22)</f>
        <v>3</v>
      </c>
      <c r="W53">
        <v>1</v>
      </c>
      <c r="X53" s="137">
        <v>96960</v>
      </c>
      <c r="Y53" s="137">
        <v>6000</v>
      </c>
      <c r="Z53" s="188">
        <f t="shared" si="45"/>
        <v>2545.0973751023039</v>
      </c>
      <c r="AA53" s="188">
        <f>IF(IF(sym!$Q42=H53,1,0)=1,ABS(X53*G53),-ABS(X53*G53))</f>
        <v>2545.0973751023039</v>
      </c>
      <c r="AB53" s="188">
        <f>IF(IF(sym!$P42=$H53,1,0)=1,ABS($X53*$G53),-ABS($X53*$G53))</f>
        <v>-2545.0973751023039</v>
      </c>
      <c r="AC53" s="188">
        <f t="shared" si="61"/>
        <v>-2545.0973751023039</v>
      </c>
      <c r="AD53" s="188">
        <f t="shared" si="66"/>
        <v>2545.0973751023039</v>
      </c>
      <c r="AE53" s="188">
        <f t="shared" si="47"/>
        <v>2545.0973751023039</v>
      </c>
      <c r="AF53" s="188">
        <f t="shared" si="56"/>
        <v>2545.0973751023039</v>
      </c>
      <c r="AG53" s="188">
        <f t="shared" si="57"/>
        <v>2545.0973751023039</v>
      </c>
      <c r="AH53" s="188">
        <f t="shared" si="58"/>
        <v>-2545.0973751023039</v>
      </c>
      <c r="AI53" s="188">
        <f t="shared" si="59"/>
        <v>2545.0973751023039</v>
      </c>
      <c r="AJ53" s="188">
        <f t="shared" si="60"/>
        <v>2545.0973751023039</v>
      </c>
      <c r="AK53" s="188">
        <f t="shared" si="48"/>
        <v>2545.0973751023039</v>
      </c>
      <c r="AL53" s="188">
        <f t="shared" si="49"/>
        <v>2545.0973751023039</v>
      </c>
      <c r="AM53" s="188">
        <f t="shared" si="50"/>
        <v>2545.0973751023039</v>
      </c>
      <c r="AN53" s="188">
        <f t="shared" si="67"/>
        <v>2545.0973751023039</v>
      </c>
      <c r="AO53" s="188">
        <f t="shared" si="68"/>
        <v>-2545.0973751023039</v>
      </c>
      <c r="AP53" s="188">
        <f t="shared" si="69"/>
        <v>2545.0973751023039</v>
      </c>
    </row>
    <row r="54" spans="1:42" ht="15.75" thickBot="1" x14ac:dyDescent="0.3">
      <c r="A54" s="1" t="s">
        <v>511</v>
      </c>
      <c r="B54" s="149" t="s">
        <v>511</v>
      </c>
      <c r="C54" s="192" t="s">
        <v>304</v>
      </c>
      <c r="E54" s="201">
        <v>1</v>
      </c>
      <c r="F54" s="186">
        <f t="shared" si="62"/>
        <v>-2361.038961043872</v>
      </c>
      <c r="G54" s="202">
        <v>-1.62337662338E-2</v>
      </c>
      <c r="H54" s="202">
        <v>-1</v>
      </c>
      <c r="I54" s="227">
        <v>1</v>
      </c>
      <c r="J54" s="227">
        <v>1</v>
      </c>
      <c r="K54" s="227">
        <v>1</v>
      </c>
      <c r="L54" s="202">
        <v>1</v>
      </c>
      <c r="M54" s="228">
        <v>-4</v>
      </c>
      <c r="N54" s="288"/>
      <c r="O54">
        <f t="shared" si="40"/>
        <v>-1</v>
      </c>
      <c r="P54">
        <f t="shared" si="54"/>
        <v>1</v>
      </c>
      <c r="Q54">
        <f t="shared" si="63"/>
        <v>-1</v>
      </c>
      <c r="R54">
        <f t="shared" si="64"/>
        <v>-1</v>
      </c>
      <c r="S54">
        <f t="shared" si="43"/>
        <v>-1</v>
      </c>
      <c r="T54">
        <f t="shared" si="65"/>
        <v>1</v>
      </c>
      <c r="U54">
        <f t="shared" si="55"/>
        <v>-1</v>
      </c>
      <c r="V54">
        <f>VLOOKUP($A54,'FuturesInfo (3)'!$A$2:$V$80,22)</f>
        <v>10</v>
      </c>
      <c r="W54">
        <v>1</v>
      </c>
      <c r="X54" s="137">
        <v>145440</v>
      </c>
      <c r="Y54" s="137">
        <v>15640</v>
      </c>
      <c r="Z54" s="188">
        <f t="shared" si="45"/>
        <v>2361.038961043872</v>
      </c>
      <c r="AA54" s="188">
        <f>IF(IF(sym!$Q43=H54,1,0)=1,ABS(X54*G54),-ABS(X54*G54))</f>
        <v>-2361.038961043872</v>
      </c>
      <c r="AB54" s="188">
        <f>IF(IF(sym!$P43=$H54,1,0)=1,ABS($X54*$G54),-ABS($X54*$G54))</f>
        <v>2361.038961043872</v>
      </c>
      <c r="AC54" s="188">
        <f t="shared" si="61"/>
        <v>-2361.038961043872</v>
      </c>
      <c r="AD54" s="188">
        <f t="shared" si="66"/>
        <v>2361.038961043872</v>
      </c>
      <c r="AE54" s="188">
        <f t="shared" si="47"/>
        <v>-2361.038961043872</v>
      </c>
      <c r="AF54" s="188">
        <f t="shared" si="56"/>
        <v>-2361.038961043872</v>
      </c>
      <c r="AG54" s="188">
        <f t="shared" si="57"/>
        <v>-2361.038961043872</v>
      </c>
      <c r="AH54" s="188">
        <f t="shared" si="58"/>
        <v>-2361.038961043872</v>
      </c>
      <c r="AI54" s="188">
        <f t="shared" si="59"/>
        <v>2361.038961043872</v>
      </c>
      <c r="AJ54" s="188">
        <f t="shared" si="60"/>
        <v>2361.038961043872</v>
      </c>
      <c r="AK54" s="188">
        <f t="shared" si="48"/>
        <v>-2361.038961043872</v>
      </c>
      <c r="AL54" s="188">
        <f t="shared" si="49"/>
        <v>2361.038961043872</v>
      </c>
      <c r="AM54" s="188">
        <f t="shared" si="50"/>
        <v>2361.038961043872</v>
      </c>
      <c r="AN54" s="188">
        <f t="shared" si="67"/>
        <v>2361.038961043872</v>
      </c>
      <c r="AO54" s="188">
        <f t="shared" si="68"/>
        <v>-2361.038961043872</v>
      </c>
      <c r="AP54" s="188">
        <f t="shared" si="69"/>
        <v>2361.038961043872</v>
      </c>
    </row>
    <row r="55" spans="1:42" ht="15.75" thickBot="1" x14ac:dyDescent="0.3">
      <c r="A55" s="1" t="s">
        <v>988</v>
      </c>
      <c r="B55" s="149" t="s">
        <v>629</v>
      </c>
      <c r="C55" s="192" t="s">
        <v>304</v>
      </c>
      <c r="E55" s="201">
        <v>1</v>
      </c>
      <c r="F55" s="186">
        <f t="shared" si="62"/>
        <v>-1517.5586676779662</v>
      </c>
      <c r="G55" s="202">
        <v>-1.4572293716899999E-2</v>
      </c>
      <c r="H55" s="202">
        <v>-1</v>
      </c>
      <c r="I55" s="227">
        <v>-1</v>
      </c>
      <c r="J55" s="227">
        <v>-1</v>
      </c>
      <c r="K55" s="227">
        <v>-1</v>
      </c>
      <c r="L55" s="202">
        <v>-1</v>
      </c>
      <c r="M55" s="228">
        <v>22</v>
      </c>
      <c r="N55" s="288"/>
      <c r="O55">
        <f t="shared" si="40"/>
        <v>-1</v>
      </c>
      <c r="P55">
        <f t="shared" si="54"/>
        <v>1</v>
      </c>
      <c r="Q55">
        <f t="shared" si="63"/>
        <v>-1</v>
      </c>
      <c r="R55">
        <f t="shared" si="64"/>
        <v>-1</v>
      </c>
      <c r="S55">
        <f t="shared" si="43"/>
        <v>-1</v>
      </c>
      <c r="T55">
        <f t="shared" si="65"/>
        <v>1</v>
      </c>
      <c r="U55">
        <f t="shared" si="55"/>
        <v>-1</v>
      </c>
      <c r="V55">
        <f>VLOOKUP($A55,'FuturesInfo (3)'!$A$2:$V$80,22)</f>
        <v>4</v>
      </c>
      <c r="W55">
        <v>1</v>
      </c>
      <c r="X55" s="137">
        <v>104140.00000000001</v>
      </c>
      <c r="Y55" s="137">
        <v>8312</v>
      </c>
      <c r="Z55" s="188">
        <f t="shared" si="45"/>
        <v>1517.5586676779662</v>
      </c>
      <c r="AA55" s="188">
        <f>IF(IF(sym!$Q44=H55,1,0)=1,ABS(X55*G55),-ABS(X55*G55))</f>
        <v>-1517.5586676779662</v>
      </c>
      <c r="AB55" s="188">
        <f>IF(IF(sym!$P44=$H55,1,0)=1,ABS($X55*$G55),-ABS($X55*$G55))</f>
        <v>1517.5586676779662</v>
      </c>
      <c r="AC55" s="188">
        <f t="shared" si="61"/>
        <v>-1517.5586676779662</v>
      </c>
      <c r="AD55" s="188">
        <f t="shared" si="66"/>
        <v>1517.5586676779662</v>
      </c>
      <c r="AE55" s="188">
        <f t="shared" si="47"/>
        <v>1517.5586676779662</v>
      </c>
      <c r="AF55" s="188">
        <f t="shared" si="56"/>
        <v>1517.5586676779662</v>
      </c>
      <c r="AG55" s="188">
        <f t="shared" si="57"/>
        <v>1517.5586676779662</v>
      </c>
      <c r="AH55" s="188">
        <f t="shared" si="58"/>
        <v>1517.5586676779662</v>
      </c>
      <c r="AI55" s="188">
        <f t="shared" si="59"/>
        <v>-1517.5586676779662</v>
      </c>
      <c r="AJ55" s="188">
        <f t="shared" si="60"/>
        <v>1517.5586676779662</v>
      </c>
      <c r="AK55" s="188">
        <f t="shared" si="48"/>
        <v>-1517.5586676779662</v>
      </c>
      <c r="AL55" s="188">
        <f t="shared" si="49"/>
        <v>1517.5586676779662</v>
      </c>
      <c r="AM55" s="188">
        <f t="shared" si="50"/>
        <v>1517.5586676779662</v>
      </c>
      <c r="AN55" s="188">
        <f t="shared" si="67"/>
        <v>1517.5586676779662</v>
      </c>
      <c r="AO55" s="188">
        <f t="shared" si="68"/>
        <v>-1517.5586676779662</v>
      </c>
      <c r="AP55" s="188">
        <f t="shared" si="69"/>
        <v>1517.5586676779662</v>
      </c>
    </row>
    <row r="56" spans="1:42" ht="15.75" thickBot="1" x14ac:dyDescent="0.3">
      <c r="A56" s="1" t="s">
        <v>989</v>
      </c>
      <c r="B56" s="149" t="s">
        <v>655</v>
      </c>
      <c r="C56" s="192" t="s">
        <v>294</v>
      </c>
      <c r="E56" s="201">
        <v>1</v>
      </c>
      <c r="F56" s="186">
        <f t="shared" si="62"/>
        <v>-458.79977311462557</v>
      </c>
      <c r="G56" s="202">
        <v>-2.6091888825899999E-3</v>
      </c>
      <c r="H56" s="202">
        <v>-1</v>
      </c>
      <c r="I56" s="227">
        <v>-1</v>
      </c>
      <c r="J56" s="227">
        <v>-1</v>
      </c>
      <c r="K56" s="227">
        <v>-1</v>
      </c>
      <c r="L56" s="202">
        <v>1</v>
      </c>
      <c r="M56" s="228">
        <v>-9</v>
      </c>
      <c r="N56" s="288"/>
      <c r="O56">
        <f t="shared" si="40"/>
        <v>-1</v>
      </c>
      <c r="P56">
        <f t="shared" si="54"/>
        <v>-1</v>
      </c>
      <c r="Q56">
        <f t="shared" si="63"/>
        <v>-1</v>
      </c>
      <c r="R56">
        <f t="shared" si="64"/>
        <v>-1</v>
      </c>
      <c r="S56">
        <f t="shared" si="43"/>
        <v>-1</v>
      </c>
      <c r="T56">
        <f t="shared" si="65"/>
        <v>1</v>
      </c>
      <c r="U56">
        <f t="shared" si="55"/>
        <v>-1</v>
      </c>
      <c r="V56">
        <f>VLOOKUP($A56,'FuturesInfo (3)'!$A$2:$V$80,22)</f>
        <v>4</v>
      </c>
      <c r="W56">
        <v>1</v>
      </c>
      <c r="X56" s="137">
        <v>175840</v>
      </c>
      <c r="Y56" s="137">
        <v>9572</v>
      </c>
      <c r="Z56" s="188">
        <f t="shared" si="45"/>
        <v>458.79977311462557</v>
      </c>
      <c r="AA56" s="188">
        <f>IF(IF(sym!$Q45=H56,1,0)=1,ABS(X56*G56),-ABS(X56*G56))</f>
        <v>-458.79977311462557</v>
      </c>
      <c r="AB56" s="188">
        <f>IF(IF(sym!$P45=$H56,1,0)=1,ABS($X56*$G56),-ABS($X56*$G56))</f>
        <v>458.79977311462557</v>
      </c>
      <c r="AC56" s="188">
        <f t="shared" si="61"/>
        <v>-458.79977311462557</v>
      </c>
      <c r="AD56" s="188">
        <f t="shared" si="66"/>
        <v>458.79977311462557</v>
      </c>
      <c r="AE56" s="188">
        <f t="shared" si="47"/>
        <v>458.79977311462557</v>
      </c>
      <c r="AF56" s="188">
        <f t="shared" si="56"/>
        <v>458.79977311462557</v>
      </c>
      <c r="AG56" s="188">
        <f t="shared" si="57"/>
        <v>458.79977311462557</v>
      </c>
      <c r="AH56" s="188">
        <f t="shared" si="58"/>
        <v>-458.79977311462557</v>
      </c>
      <c r="AI56" s="188">
        <f t="shared" si="59"/>
        <v>458.79977311462557</v>
      </c>
      <c r="AJ56" s="188">
        <f t="shared" si="60"/>
        <v>458.79977311462557</v>
      </c>
      <c r="AK56" s="188">
        <f t="shared" si="48"/>
        <v>458.79977311462557</v>
      </c>
      <c r="AL56" s="188">
        <f t="shared" si="49"/>
        <v>458.79977311462557</v>
      </c>
      <c r="AM56" s="188">
        <f t="shared" si="50"/>
        <v>458.79977311462557</v>
      </c>
      <c r="AN56" s="188">
        <f t="shared" si="67"/>
        <v>458.79977311462557</v>
      </c>
      <c r="AO56" s="188">
        <f t="shared" si="68"/>
        <v>-458.79977311462557</v>
      </c>
      <c r="AP56" s="188">
        <f t="shared" si="69"/>
        <v>458.79977311462557</v>
      </c>
    </row>
    <row r="57" spans="1:42" ht="15.75" thickBot="1" x14ac:dyDescent="0.3">
      <c r="A57" s="1" t="s">
        <v>369</v>
      </c>
      <c r="B57" s="149" t="s">
        <v>620</v>
      </c>
      <c r="C57" s="192" t="s">
        <v>294</v>
      </c>
      <c r="E57" s="201">
        <v>1</v>
      </c>
      <c r="F57" s="186">
        <f t="shared" si="62"/>
        <v>-1007.8701519444874</v>
      </c>
      <c r="G57" s="202">
        <v>-5.2969315132400004E-3</v>
      </c>
      <c r="H57" s="202">
        <v>-1</v>
      </c>
      <c r="I57" s="227">
        <v>-1</v>
      </c>
      <c r="J57" s="227">
        <v>1</v>
      </c>
      <c r="K57" s="227">
        <v>-1</v>
      </c>
      <c r="L57" s="202">
        <v>-1</v>
      </c>
      <c r="M57" s="228">
        <v>-1</v>
      </c>
      <c r="N57" s="288"/>
      <c r="O57">
        <f t="shared" si="40"/>
        <v>1</v>
      </c>
      <c r="P57">
        <f t="shared" si="54"/>
        <v>1</v>
      </c>
      <c r="Q57">
        <f t="shared" si="63"/>
        <v>1</v>
      </c>
      <c r="R57">
        <f t="shared" si="64"/>
        <v>-1</v>
      </c>
      <c r="S57">
        <f t="shared" si="43"/>
        <v>1</v>
      </c>
      <c r="T57">
        <f t="shared" si="65"/>
        <v>1</v>
      </c>
      <c r="U57">
        <f t="shared" si="55"/>
        <v>1</v>
      </c>
      <c r="V57">
        <f>VLOOKUP($A57,'FuturesInfo (3)'!$A$2:$V$80,22)</f>
        <v>2</v>
      </c>
      <c r="W57">
        <v>1</v>
      </c>
      <c r="X57" s="137">
        <v>190274.34079999998</v>
      </c>
      <c r="Y57" s="137">
        <v>25145.999999999996</v>
      </c>
      <c r="Z57" s="188">
        <f t="shared" si="45"/>
        <v>1007.8701519444874</v>
      </c>
      <c r="AA57" s="188">
        <f>IF(IF(sym!$Q46=H57,1,0)=1,ABS(X57*G57),-ABS(X57*G57))</f>
        <v>-1007.8701519444874</v>
      </c>
      <c r="AB57" s="188">
        <f>IF(IF(sym!$P46=$H57,1,0)=1,ABS($X57*$G57),-ABS($X57*$G57))</f>
        <v>1007.8701519444874</v>
      </c>
      <c r="AC57" s="188">
        <f t="shared" si="61"/>
        <v>-1007.8701519444874</v>
      </c>
      <c r="AD57" s="188">
        <f t="shared" si="66"/>
        <v>1007.8701519444874</v>
      </c>
      <c r="AE57" s="188">
        <f t="shared" si="47"/>
        <v>-1007.8701519444874</v>
      </c>
      <c r="AF57" s="188">
        <f t="shared" si="56"/>
        <v>1007.8701519444874</v>
      </c>
      <c r="AG57" s="188">
        <f t="shared" si="57"/>
        <v>1007.8701519444874</v>
      </c>
      <c r="AH57" s="188">
        <f t="shared" si="58"/>
        <v>1007.8701519444874</v>
      </c>
      <c r="AI57" s="188">
        <f t="shared" si="59"/>
        <v>-1007.8701519444874</v>
      </c>
      <c r="AJ57" s="188">
        <f t="shared" si="60"/>
        <v>-1007.8701519444874</v>
      </c>
      <c r="AK57" s="188">
        <f t="shared" si="48"/>
        <v>-1007.8701519444874</v>
      </c>
      <c r="AL57" s="188">
        <f t="shared" si="49"/>
        <v>-1007.8701519444874</v>
      </c>
      <c r="AM57" s="188">
        <f t="shared" si="50"/>
        <v>1007.8701519444874</v>
      </c>
      <c r="AN57" s="188">
        <f t="shared" si="67"/>
        <v>-1007.8701519444874</v>
      </c>
      <c r="AO57" s="188">
        <f t="shared" si="68"/>
        <v>-1007.8701519444874</v>
      </c>
      <c r="AP57" s="188">
        <f t="shared" si="69"/>
        <v>-1007.8701519444874</v>
      </c>
    </row>
    <row r="58" spans="1:42" ht="15.75" thickBot="1" x14ac:dyDescent="0.3">
      <c r="A58" s="1" t="s">
        <v>371</v>
      </c>
      <c r="B58" s="149" t="s">
        <v>635</v>
      </c>
      <c r="C58" s="192" t="s">
        <v>1121</v>
      </c>
      <c r="E58" s="201">
        <v>1</v>
      </c>
      <c r="F58" s="186">
        <f t="shared" si="62"/>
        <v>-697.35898886963469</v>
      </c>
      <c r="G58" s="202">
        <v>-3.7728730428200001E-3</v>
      </c>
      <c r="H58" s="202">
        <v>-1</v>
      </c>
      <c r="I58" s="227">
        <v>1</v>
      </c>
      <c r="J58" s="227">
        <v>1</v>
      </c>
      <c r="K58" s="227">
        <v>-1</v>
      </c>
      <c r="L58" s="202">
        <v>-1</v>
      </c>
      <c r="M58" s="228">
        <v>6</v>
      </c>
      <c r="N58" s="288"/>
      <c r="O58">
        <f t="shared" si="40"/>
        <v>-1</v>
      </c>
      <c r="P58">
        <f t="shared" si="54"/>
        <v>1</v>
      </c>
      <c r="Q58">
        <f t="shared" si="63"/>
        <v>-1</v>
      </c>
      <c r="R58">
        <f t="shared" si="64"/>
        <v>1</v>
      </c>
      <c r="S58">
        <f t="shared" si="43"/>
        <v>1</v>
      </c>
      <c r="T58">
        <f t="shared" si="65"/>
        <v>1</v>
      </c>
      <c r="U58">
        <f t="shared" si="55"/>
        <v>1</v>
      </c>
      <c r="V58">
        <f>VLOOKUP($A58,'FuturesInfo (3)'!$A$2:$V$80,22)</f>
        <v>8</v>
      </c>
      <c r="W58">
        <v>1</v>
      </c>
      <c r="X58" s="137">
        <v>184835</v>
      </c>
      <c r="Y58" s="137">
        <v>18496</v>
      </c>
      <c r="Z58" s="188">
        <f t="shared" si="45"/>
        <v>697.35898886963469</v>
      </c>
      <c r="AA58" s="188">
        <f>IF(IF(sym!$Q47=H58,1,0)=1,ABS(X58*G58),-ABS(X58*G58))</f>
        <v>-697.35898886963469</v>
      </c>
      <c r="AB58" s="188">
        <f>IF(IF(sym!$P47=$H58,1,0)=1,ABS($X58*$G58),-ABS($X58*$G58))</f>
        <v>697.35898886963469</v>
      </c>
      <c r="AC58" s="188">
        <f t="shared" si="61"/>
        <v>-697.35898886963469</v>
      </c>
      <c r="AD58" s="188">
        <f t="shared" si="66"/>
        <v>697.35898886963469</v>
      </c>
      <c r="AE58" s="188">
        <f t="shared" si="47"/>
        <v>-697.35898886963469</v>
      </c>
      <c r="AF58" s="188">
        <f t="shared" si="56"/>
        <v>-697.35898886963469</v>
      </c>
      <c r="AG58" s="188">
        <f t="shared" si="57"/>
        <v>697.35898886963469</v>
      </c>
      <c r="AH58" s="188">
        <f t="shared" si="58"/>
        <v>697.35898886963469</v>
      </c>
      <c r="AI58" s="188">
        <f t="shared" si="59"/>
        <v>-697.35898886963469</v>
      </c>
      <c r="AJ58" s="188">
        <f t="shared" si="60"/>
        <v>697.35898886963469</v>
      </c>
      <c r="AK58" s="188">
        <f t="shared" si="48"/>
        <v>-697.35898886963469</v>
      </c>
      <c r="AL58" s="188">
        <f t="shared" si="49"/>
        <v>697.35898886963469</v>
      </c>
      <c r="AM58" s="188">
        <f t="shared" si="50"/>
        <v>-697.35898886963469</v>
      </c>
      <c r="AN58" s="188">
        <f t="shared" si="67"/>
        <v>-697.35898886963469</v>
      </c>
      <c r="AO58" s="188">
        <f t="shared" si="68"/>
        <v>-697.35898886963469</v>
      </c>
      <c r="AP58" s="188">
        <f t="shared" si="69"/>
        <v>-697.35898886963469</v>
      </c>
    </row>
    <row r="59" spans="1:42" ht="15.75" thickBot="1" x14ac:dyDescent="0.3">
      <c r="A59" s="1" t="s">
        <v>1052</v>
      </c>
      <c r="B59" s="149" t="s">
        <v>611</v>
      </c>
      <c r="C59" s="192" t="s">
        <v>297</v>
      </c>
      <c r="E59" s="201">
        <v>1</v>
      </c>
      <c r="F59" s="186">
        <f t="shared" si="62"/>
        <v>-868.72759856606501</v>
      </c>
      <c r="G59" s="202">
        <v>-7.1684587813600001E-3</v>
      </c>
      <c r="H59" s="202">
        <v>-1</v>
      </c>
      <c r="I59" s="227">
        <v>-1</v>
      </c>
      <c r="J59" s="227">
        <v>-1</v>
      </c>
      <c r="K59" s="227">
        <v>1</v>
      </c>
      <c r="L59" s="202">
        <v>-1</v>
      </c>
      <c r="M59" s="228">
        <v>-7</v>
      </c>
      <c r="N59" s="288"/>
      <c r="O59">
        <f t="shared" si="40"/>
        <v>1</v>
      </c>
      <c r="P59">
        <f t="shared" si="54"/>
        <v>1</v>
      </c>
      <c r="Q59">
        <f t="shared" si="63"/>
        <v>-1</v>
      </c>
      <c r="R59">
        <f t="shared" si="64"/>
        <v>-1</v>
      </c>
      <c r="S59">
        <f t="shared" si="43"/>
        <v>-1</v>
      </c>
      <c r="T59">
        <f t="shared" si="65"/>
        <v>-1</v>
      </c>
      <c r="U59">
        <f t="shared" si="55"/>
        <v>-1</v>
      </c>
      <c r="V59">
        <f>VLOOKUP($A59,'FuturesInfo (3)'!$A$2:$V$80,22)</f>
        <v>5</v>
      </c>
      <c r="W59">
        <v>1</v>
      </c>
      <c r="X59" s="137">
        <v>121187.5</v>
      </c>
      <c r="Y59" s="137">
        <v>17875</v>
      </c>
      <c r="Z59" s="188">
        <f t="shared" si="45"/>
        <v>868.72759856606501</v>
      </c>
      <c r="AA59" s="188">
        <f>IF(IF(sym!$Q48=H59,1,0)=1,ABS(X59*G59),-ABS(X59*G59))</f>
        <v>-868.72759856606501</v>
      </c>
      <c r="AB59" s="188">
        <f>IF(IF(sym!$P48=$H59,1,0)=1,ABS($X59*$G59),-ABS($X59*$G59))</f>
        <v>868.72759856606501</v>
      </c>
      <c r="AC59" s="188">
        <f t="shared" si="61"/>
        <v>-868.72759856606501</v>
      </c>
      <c r="AD59" s="188">
        <f t="shared" si="66"/>
        <v>868.72759856606501</v>
      </c>
      <c r="AE59" s="188">
        <f t="shared" si="47"/>
        <v>868.72759856606501</v>
      </c>
      <c r="AF59" s="188">
        <f t="shared" si="56"/>
        <v>868.72759856606501</v>
      </c>
      <c r="AG59" s="188">
        <f t="shared" si="57"/>
        <v>-868.72759856606501</v>
      </c>
      <c r="AH59" s="188">
        <f t="shared" si="58"/>
        <v>868.72759856606501</v>
      </c>
      <c r="AI59" s="188">
        <f t="shared" si="59"/>
        <v>-868.72759856606501</v>
      </c>
      <c r="AJ59" s="188">
        <f t="shared" si="60"/>
        <v>-868.72759856606501</v>
      </c>
      <c r="AK59" s="188">
        <f t="shared" si="48"/>
        <v>-868.72759856606501</v>
      </c>
      <c r="AL59" s="188">
        <f t="shared" si="49"/>
        <v>868.72759856606501</v>
      </c>
      <c r="AM59" s="188">
        <f t="shared" si="50"/>
        <v>868.72759856606501</v>
      </c>
      <c r="AN59" s="188">
        <f t="shared" si="67"/>
        <v>868.72759856606501</v>
      </c>
      <c r="AO59" s="188">
        <f t="shared" si="68"/>
        <v>868.72759856606501</v>
      </c>
      <c r="AP59" s="188">
        <f t="shared" si="69"/>
        <v>868.72759856606501</v>
      </c>
    </row>
    <row r="60" spans="1:42" ht="15.75" thickBot="1" x14ac:dyDescent="0.3">
      <c r="A60" s="1" t="s">
        <v>373</v>
      </c>
      <c r="B60" s="149" t="s">
        <v>692</v>
      </c>
      <c r="C60" s="192" t="s">
        <v>1121</v>
      </c>
      <c r="E60" s="201">
        <v>1</v>
      </c>
      <c r="F60" s="186">
        <f t="shared" si="62"/>
        <v>-896.25364229314914</v>
      </c>
      <c r="G60" s="202">
        <v>-4.1626196753199998E-3</v>
      </c>
      <c r="H60" s="202">
        <v>-1</v>
      </c>
      <c r="I60" s="227">
        <v>1</v>
      </c>
      <c r="J60" s="227">
        <v>1</v>
      </c>
      <c r="K60" s="227">
        <v>1</v>
      </c>
      <c r="L60" s="202">
        <v>-1</v>
      </c>
      <c r="M60" s="228">
        <v>-6</v>
      </c>
      <c r="N60" s="288"/>
      <c r="O60">
        <f t="shared" si="40"/>
        <v>1</v>
      </c>
      <c r="P60">
        <f t="shared" si="54"/>
        <v>1</v>
      </c>
      <c r="Q60">
        <f t="shared" si="63"/>
        <v>1</v>
      </c>
      <c r="R60">
        <f t="shared" si="64"/>
        <v>1</v>
      </c>
      <c r="S60">
        <f t="shared" si="43"/>
        <v>1</v>
      </c>
      <c r="T60">
        <f t="shared" si="65"/>
        <v>-1</v>
      </c>
      <c r="U60">
        <f t="shared" si="55"/>
        <v>1</v>
      </c>
      <c r="V60">
        <f>VLOOKUP($A60,'FuturesInfo (3)'!$A$2:$V$80,22)</f>
        <v>3</v>
      </c>
      <c r="W60">
        <v>1</v>
      </c>
      <c r="X60" s="137">
        <v>215310</v>
      </c>
      <c r="Y60" s="137">
        <v>9054</v>
      </c>
      <c r="Z60" s="188">
        <f t="shared" si="45"/>
        <v>896.25364229314914</v>
      </c>
      <c r="AA60" s="188">
        <f>IF(IF(sym!$Q49=H60,1,0)=1,ABS(X60*G60),-ABS(X60*G60))</f>
        <v>-896.25364229314914</v>
      </c>
      <c r="AB60" s="188">
        <f>IF(IF(sym!$P49=$H60,1,0)=1,ABS($X60*$G60),-ABS($X60*$G60))</f>
        <v>896.25364229314914</v>
      </c>
      <c r="AC60" s="188">
        <f t="shared" si="61"/>
        <v>-896.25364229314914</v>
      </c>
      <c r="AD60" s="188">
        <f t="shared" si="66"/>
        <v>896.25364229314914</v>
      </c>
      <c r="AE60" s="188">
        <f t="shared" si="47"/>
        <v>-896.25364229314914</v>
      </c>
      <c r="AF60" s="188">
        <f t="shared" si="56"/>
        <v>-896.25364229314914</v>
      </c>
      <c r="AG60" s="188">
        <f t="shared" si="57"/>
        <v>-896.25364229314914</v>
      </c>
      <c r="AH60" s="188">
        <f t="shared" si="58"/>
        <v>896.25364229314914</v>
      </c>
      <c r="AI60" s="188">
        <f t="shared" si="59"/>
        <v>-896.25364229314914</v>
      </c>
      <c r="AJ60" s="188">
        <f t="shared" si="60"/>
        <v>-896.25364229314914</v>
      </c>
      <c r="AK60" s="188">
        <f t="shared" si="48"/>
        <v>-896.25364229314914</v>
      </c>
      <c r="AL60" s="188">
        <f t="shared" si="49"/>
        <v>-896.25364229314914</v>
      </c>
      <c r="AM60" s="188">
        <f t="shared" si="50"/>
        <v>-896.25364229314914</v>
      </c>
      <c r="AN60" s="188">
        <f t="shared" si="67"/>
        <v>-896.25364229314914</v>
      </c>
      <c r="AO60" s="188">
        <f t="shared" si="68"/>
        <v>896.25364229314914</v>
      </c>
      <c r="AP60" s="188">
        <f t="shared" si="69"/>
        <v>-896.25364229314914</v>
      </c>
    </row>
    <row r="61" spans="1:42" ht="15.75" thickBot="1" x14ac:dyDescent="0.3">
      <c r="A61" s="1" t="s">
        <v>375</v>
      </c>
      <c r="B61" s="149" t="s">
        <v>690</v>
      </c>
      <c r="C61" s="192" t="s">
        <v>288</v>
      </c>
      <c r="E61" s="201">
        <v>1</v>
      </c>
      <c r="F61" s="186">
        <f t="shared" si="62"/>
        <v>-3034.9965229487939</v>
      </c>
      <c r="G61" s="202">
        <v>-3.6509040333800001E-2</v>
      </c>
      <c r="H61" s="202">
        <v>-1</v>
      </c>
      <c r="I61" s="227">
        <v>1</v>
      </c>
      <c r="J61" s="227">
        <v>1</v>
      </c>
      <c r="K61" s="227">
        <v>1</v>
      </c>
      <c r="L61" s="202">
        <v>-1</v>
      </c>
      <c r="M61" s="228">
        <v>-7</v>
      </c>
      <c r="N61" s="288"/>
      <c r="O61">
        <f t="shared" si="40"/>
        <v>1</v>
      </c>
      <c r="P61">
        <f t="shared" si="54"/>
        <v>1</v>
      </c>
      <c r="Q61">
        <f t="shared" si="63"/>
        <v>1</v>
      </c>
      <c r="R61">
        <f t="shared" si="64"/>
        <v>1</v>
      </c>
      <c r="S61">
        <f t="shared" si="43"/>
        <v>1</v>
      </c>
      <c r="T61">
        <f t="shared" si="65"/>
        <v>-1</v>
      </c>
      <c r="U61">
        <f t="shared" si="55"/>
        <v>1</v>
      </c>
      <c r="V61">
        <f>VLOOKUP($A61,'FuturesInfo (3)'!$A$2:$V$80,22)</f>
        <v>3</v>
      </c>
      <c r="W61">
        <v>1</v>
      </c>
      <c r="X61" s="137">
        <v>83130</v>
      </c>
      <c r="Y61" s="137">
        <v>6495</v>
      </c>
      <c r="Z61" s="188">
        <f t="shared" si="45"/>
        <v>3034.9965229487939</v>
      </c>
      <c r="AA61" s="188">
        <f>IF(IF(sym!$Q50=H61,1,0)=1,ABS(X61*G61),-ABS(X61*G61))</f>
        <v>-3034.9965229487939</v>
      </c>
      <c r="AB61" s="188">
        <f>IF(IF(sym!$P50=$H61,1,0)=1,ABS($X61*$G61),-ABS($X61*$G61))</f>
        <v>3034.9965229487939</v>
      </c>
      <c r="AC61" s="188">
        <f t="shared" si="61"/>
        <v>-3034.9965229487939</v>
      </c>
      <c r="AD61" s="188">
        <f t="shared" si="66"/>
        <v>3034.9965229487939</v>
      </c>
      <c r="AE61" s="188">
        <f t="shared" si="47"/>
        <v>-3034.9965229487939</v>
      </c>
      <c r="AF61" s="188">
        <f t="shared" si="56"/>
        <v>-3034.9965229487939</v>
      </c>
      <c r="AG61" s="188">
        <f t="shared" si="57"/>
        <v>-3034.9965229487939</v>
      </c>
      <c r="AH61" s="188">
        <f t="shared" si="58"/>
        <v>3034.9965229487939</v>
      </c>
      <c r="AI61" s="188">
        <f t="shared" si="59"/>
        <v>-3034.9965229487939</v>
      </c>
      <c r="AJ61" s="188">
        <f t="shared" si="60"/>
        <v>-3034.9965229487939</v>
      </c>
      <c r="AK61" s="188">
        <f t="shared" si="48"/>
        <v>-3034.9965229487939</v>
      </c>
      <c r="AL61" s="188">
        <f t="shared" si="49"/>
        <v>-3034.9965229487939</v>
      </c>
      <c r="AM61" s="188">
        <f t="shared" si="50"/>
        <v>-3034.9965229487939</v>
      </c>
      <c r="AN61" s="188">
        <f t="shared" si="67"/>
        <v>-3034.9965229487939</v>
      </c>
      <c r="AO61" s="188">
        <f t="shared" si="68"/>
        <v>3034.9965229487939</v>
      </c>
      <c r="AP61" s="188">
        <f t="shared" si="69"/>
        <v>-3034.9965229487939</v>
      </c>
    </row>
    <row r="62" spans="1:42" ht="15.75" thickBot="1" x14ac:dyDescent="0.3">
      <c r="A62" s="1" t="s">
        <v>377</v>
      </c>
      <c r="B62" s="149" t="s">
        <v>694</v>
      </c>
      <c r="C62" s="192" t="s">
        <v>294</v>
      </c>
      <c r="E62" s="201">
        <v>-1</v>
      </c>
      <c r="F62" s="186">
        <f t="shared" si="62"/>
        <v>1279.5189846273752</v>
      </c>
      <c r="G62" s="202">
        <v>7.9656862745099994E-3</v>
      </c>
      <c r="H62" s="202">
        <v>1</v>
      </c>
      <c r="I62" s="227">
        <v>1</v>
      </c>
      <c r="J62" s="227">
        <v>1</v>
      </c>
      <c r="K62" s="227">
        <v>-1</v>
      </c>
      <c r="L62" s="202">
        <v>-1</v>
      </c>
      <c r="M62" s="228">
        <v>-8</v>
      </c>
      <c r="N62" s="288"/>
      <c r="O62">
        <f t="shared" si="40"/>
        <v>1</v>
      </c>
      <c r="P62">
        <f t="shared" si="54"/>
        <v>-1</v>
      </c>
      <c r="Q62">
        <f t="shared" si="63"/>
        <v>1</v>
      </c>
      <c r="R62">
        <f t="shared" si="64"/>
        <v>1</v>
      </c>
      <c r="S62">
        <f t="shared" si="43"/>
        <v>1</v>
      </c>
      <c r="T62">
        <f t="shared" si="65"/>
        <v>-1</v>
      </c>
      <c r="U62">
        <f t="shared" si="55"/>
        <v>1</v>
      </c>
      <c r="V62">
        <f>VLOOKUP($A62,'FuturesInfo (3)'!$A$2:$V$80,22)</f>
        <v>2</v>
      </c>
      <c r="W62">
        <v>1</v>
      </c>
      <c r="X62" s="137">
        <v>160628.84483937116</v>
      </c>
      <c r="Y62" s="137">
        <v>12500</v>
      </c>
      <c r="Z62" s="188">
        <f t="shared" si="45"/>
        <v>1279.5189846273752</v>
      </c>
      <c r="AA62" s="188">
        <f>IF(IF(sym!$Q51=H62,1,0)=1,ABS(X62*G62),-ABS(X62*G62))</f>
        <v>1279.5189846273752</v>
      </c>
      <c r="AB62" s="188">
        <f>IF(IF(sym!$P51=$H62,1,0)=1,ABS($X62*$G62),-ABS($X62*$G62))</f>
        <v>-1279.5189846273752</v>
      </c>
      <c r="AC62" s="188">
        <f t="shared" si="61"/>
        <v>-1279.5189846273752</v>
      </c>
      <c r="AD62" s="188">
        <f t="shared" si="66"/>
        <v>1279.5189846273752</v>
      </c>
      <c r="AE62" s="188">
        <f t="shared" si="47"/>
        <v>1279.5189846273752</v>
      </c>
      <c r="AF62" s="188">
        <f t="shared" si="56"/>
        <v>1279.5189846273752</v>
      </c>
      <c r="AG62" s="188">
        <f t="shared" si="57"/>
        <v>-1279.5189846273752</v>
      </c>
      <c r="AH62" s="188">
        <f t="shared" si="58"/>
        <v>-1279.5189846273752</v>
      </c>
      <c r="AI62" s="188">
        <f t="shared" si="59"/>
        <v>1279.5189846273752</v>
      </c>
      <c r="AJ62" s="188">
        <f t="shared" si="60"/>
        <v>1279.5189846273752</v>
      </c>
      <c r="AK62" s="188">
        <f t="shared" si="48"/>
        <v>-1279.5189846273752</v>
      </c>
      <c r="AL62" s="188">
        <f t="shared" si="49"/>
        <v>1279.5189846273752</v>
      </c>
      <c r="AM62" s="188">
        <f t="shared" si="50"/>
        <v>1279.5189846273752</v>
      </c>
      <c r="AN62" s="188">
        <f t="shared" si="67"/>
        <v>1279.5189846273752</v>
      </c>
      <c r="AO62" s="188">
        <f t="shared" si="68"/>
        <v>-1279.5189846273752</v>
      </c>
      <c r="AP62" s="188">
        <f t="shared" si="69"/>
        <v>1279.5189846273752</v>
      </c>
    </row>
    <row r="63" spans="1:42" ht="15.75" thickBot="1" x14ac:dyDescent="0.3">
      <c r="A63" s="1" t="s">
        <v>379</v>
      </c>
      <c r="B63" s="149" t="s">
        <v>550</v>
      </c>
      <c r="C63" s="192" t="s">
        <v>294</v>
      </c>
      <c r="E63" s="201">
        <v>1</v>
      </c>
      <c r="F63" s="186">
        <f t="shared" si="62"/>
        <v>1068.9993124253576</v>
      </c>
      <c r="G63" s="202">
        <v>3.7552229333099999E-3</v>
      </c>
      <c r="H63" s="202">
        <v>1</v>
      </c>
      <c r="I63" s="227">
        <v>1</v>
      </c>
      <c r="J63" s="227">
        <v>1</v>
      </c>
      <c r="K63" s="227">
        <v>1</v>
      </c>
      <c r="L63" s="202">
        <v>-1</v>
      </c>
      <c r="M63" s="228">
        <v>-8</v>
      </c>
      <c r="N63" s="288"/>
      <c r="O63">
        <f t="shared" si="40"/>
        <v>1</v>
      </c>
      <c r="P63">
        <f t="shared" si="54"/>
        <v>1</v>
      </c>
      <c r="Q63">
        <f t="shared" si="63"/>
        <v>1</v>
      </c>
      <c r="R63">
        <f t="shared" si="64"/>
        <v>1</v>
      </c>
      <c r="S63">
        <f t="shared" si="43"/>
        <v>1</v>
      </c>
      <c r="T63">
        <f t="shared" si="65"/>
        <v>-1</v>
      </c>
      <c r="U63">
        <f t="shared" si="55"/>
        <v>1</v>
      </c>
      <c r="V63">
        <f>VLOOKUP($A63,'FuturesInfo (3)'!$A$2:$V$80,22)</f>
        <v>3</v>
      </c>
      <c r="W63">
        <v>1</v>
      </c>
      <c r="X63" s="137">
        <v>284670</v>
      </c>
      <c r="Y63" s="137">
        <v>15000</v>
      </c>
      <c r="Z63" s="188">
        <f t="shared" si="45"/>
        <v>1068.9993124253576</v>
      </c>
      <c r="AA63" s="188">
        <f>IF(IF(sym!$Q52=H63,1,0)=1,ABS(X63*G63),-ABS(X63*G63))</f>
        <v>1068.9993124253576</v>
      </c>
      <c r="AB63" s="188">
        <f>IF(IF(sym!$P52=$H63,1,0)=1,ABS($X63*$G63),-ABS($X63*$G63))</f>
        <v>-1068.9993124253576</v>
      </c>
      <c r="AC63" s="188">
        <f t="shared" si="61"/>
        <v>1068.9993124253576</v>
      </c>
      <c r="AD63" s="188">
        <f t="shared" si="66"/>
        <v>-1068.9993124253576</v>
      </c>
      <c r="AE63" s="188">
        <f t="shared" si="47"/>
        <v>1068.9993124253576</v>
      </c>
      <c r="AF63" s="188">
        <f t="shared" si="56"/>
        <v>1068.9993124253576</v>
      </c>
      <c r="AG63" s="188">
        <f t="shared" si="57"/>
        <v>1068.9993124253576</v>
      </c>
      <c r="AH63" s="188">
        <f t="shared" si="58"/>
        <v>-1068.9993124253576</v>
      </c>
      <c r="AI63" s="188">
        <f t="shared" si="59"/>
        <v>1068.9993124253576</v>
      </c>
      <c r="AJ63" s="188">
        <f t="shared" si="60"/>
        <v>1068.9993124253576</v>
      </c>
      <c r="AK63" s="188">
        <f t="shared" si="48"/>
        <v>1068.9993124253576</v>
      </c>
      <c r="AL63" s="188">
        <f t="shared" si="49"/>
        <v>1068.9993124253576</v>
      </c>
      <c r="AM63" s="188">
        <f t="shared" si="50"/>
        <v>1068.9993124253576</v>
      </c>
      <c r="AN63" s="188">
        <f t="shared" si="67"/>
        <v>1068.9993124253576</v>
      </c>
      <c r="AO63" s="188">
        <f t="shared" si="68"/>
        <v>-1068.9993124253576</v>
      </c>
      <c r="AP63" s="188">
        <f t="shared" si="69"/>
        <v>1068.9993124253576</v>
      </c>
    </row>
    <row r="64" spans="1:42" ht="15.75" thickBot="1" x14ac:dyDescent="0.3">
      <c r="A64" s="4" t="s">
        <v>1050</v>
      </c>
      <c r="B64" s="149" t="s">
        <v>700</v>
      </c>
      <c r="C64" s="192" t="s">
        <v>297</v>
      </c>
      <c r="E64" s="201">
        <v>1</v>
      </c>
      <c r="F64" s="186">
        <f t="shared" si="62"/>
        <v>-693.85194479315999</v>
      </c>
      <c r="G64" s="202">
        <v>-8.7829360100399999E-3</v>
      </c>
      <c r="H64" s="202">
        <v>-1</v>
      </c>
      <c r="I64" s="227">
        <v>-1</v>
      </c>
      <c r="J64" s="227">
        <v>-1</v>
      </c>
      <c r="K64" s="227">
        <v>-1</v>
      </c>
      <c r="L64" s="202">
        <v>1</v>
      </c>
      <c r="M64" s="228">
        <v>-6</v>
      </c>
      <c r="N64" s="288"/>
      <c r="O64">
        <f t="shared" si="40"/>
        <v>-1</v>
      </c>
      <c r="P64">
        <f t="shared" si="54"/>
        <v>-1</v>
      </c>
      <c r="Q64">
        <f t="shared" si="63"/>
        <v>-1</v>
      </c>
      <c r="R64">
        <f t="shared" si="64"/>
        <v>-1</v>
      </c>
      <c r="S64">
        <f t="shared" si="43"/>
        <v>-1</v>
      </c>
      <c r="T64">
        <f t="shared" si="65"/>
        <v>1</v>
      </c>
      <c r="U64">
        <f t="shared" si="55"/>
        <v>-1</v>
      </c>
      <c r="V64">
        <f>VLOOKUP($A64,'FuturesInfo (3)'!$A$2:$V$80,22)</f>
        <v>9</v>
      </c>
      <c r="W64">
        <v>1</v>
      </c>
      <c r="X64" s="137">
        <v>79000</v>
      </c>
      <c r="Y64" s="137">
        <v>6750</v>
      </c>
      <c r="Z64" s="188">
        <f t="shared" si="45"/>
        <v>693.85194479315999</v>
      </c>
      <c r="AA64" s="188">
        <f>IF(IF(sym!$Q53=H64,1,0)=1,ABS(X64*G64),-ABS(X64*G64))</f>
        <v>-693.85194479315999</v>
      </c>
      <c r="AB64" s="188">
        <f>IF(IF(sym!$P53=$H64,1,0)=1,ABS($X64*$G64),-ABS($X64*$G64))</f>
        <v>693.85194479315999</v>
      </c>
      <c r="AC64" s="188">
        <f t="shared" si="61"/>
        <v>-693.85194479315999</v>
      </c>
      <c r="AD64" s="188">
        <f t="shared" si="66"/>
        <v>693.85194479315999</v>
      </c>
      <c r="AE64" s="188">
        <f t="shared" si="47"/>
        <v>693.85194479315999</v>
      </c>
      <c r="AF64" s="188">
        <f t="shared" si="56"/>
        <v>693.85194479315999</v>
      </c>
      <c r="AG64" s="188">
        <f t="shared" si="57"/>
        <v>693.85194479315999</v>
      </c>
      <c r="AH64" s="188">
        <f t="shared" si="58"/>
        <v>-693.85194479315999</v>
      </c>
      <c r="AI64" s="188">
        <f t="shared" si="59"/>
        <v>693.85194479315999</v>
      </c>
      <c r="AJ64" s="188">
        <f t="shared" si="60"/>
        <v>693.85194479315999</v>
      </c>
      <c r="AK64" s="188">
        <f t="shared" si="48"/>
        <v>693.85194479315999</v>
      </c>
      <c r="AL64" s="188">
        <f t="shared" si="49"/>
        <v>693.85194479315999</v>
      </c>
      <c r="AM64" s="188">
        <f t="shared" si="50"/>
        <v>693.85194479315999</v>
      </c>
      <c r="AN64" s="188">
        <f t="shared" si="67"/>
        <v>693.85194479315999</v>
      </c>
      <c r="AO64" s="188">
        <f t="shared" si="68"/>
        <v>-693.85194479315999</v>
      </c>
      <c r="AP64" s="188">
        <f t="shared" si="69"/>
        <v>693.85194479315999</v>
      </c>
    </row>
    <row r="65" spans="1:42" ht="15.75" thickBot="1" x14ac:dyDescent="0.3">
      <c r="A65" s="1" t="s">
        <v>0</v>
      </c>
      <c r="B65" s="149" t="s">
        <v>702</v>
      </c>
      <c r="C65" s="192" t="s">
        <v>304</v>
      </c>
      <c r="E65" s="201">
        <v>-1</v>
      </c>
      <c r="F65" s="186">
        <f t="shared" si="62"/>
        <v>2889.0438018886098</v>
      </c>
      <c r="G65" s="202">
        <v>3.5499570569699997E-2</v>
      </c>
      <c r="H65" s="233">
        <v>1</v>
      </c>
      <c r="I65" s="229">
        <v>1</v>
      </c>
      <c r="J65" s="229">
        <v>1</v>
      </c>
      <c r="K65" s="229">
        <v>1</v>
      </c>
      <c r="L65" s="202">
        <v>-1</v>
      </c>
      <c r="M65" s="228">
        <v>-3</v>
      </c>
      <c r="N65" s="288"/>
      <c r="O65">
        <f t="shared" si="40"/>
        <v>1</v>
      </c>
      <c r="P65">
        <f t="shared" si="54"/>
        <v>1</v>
      </c>
      <c r="Q65">
        <f t="shared" si="63"/>
        <v>1</v>
      </c>
      <c r="R65">
        <f t="shared" si="64"/>
        <v>1</v>
      </c>
      <c r="S65">
        <f t="shared" si="43"/>
        <v>1</v>
      </c>
      <c r="T65">
        <f t="shared" si="65"/>
        <v>-1</v>
      </c>
      <c r="U65">
        <f t="shared" si="55"/>
        <v>1</v>
      </c>
      <c r="V65">
        <f>VLOOKUP($A65,'FuturesInfo (3)'!$A$2:$V$80,22)</f>
        <v>2</v>
      </c>
      <c r="W65">
        <v>1</v>
      </c>
      <c r="X65" s="137">
        <v>81382.5</v>
      </c>
      <c r="Y65" s="137">
        <v>4376</v>
      </c>
      <c r="Z65" s="188">
        <f t="shared" si="45"/>
        <v>2889.0438018886098</v>
      </c>
      <c r="AA65" s="188">
        <f>IF(IF(sym!$Q54=H65,1,0)=1,ABS(X65*G65),-ABS(X65*G65))</f>
        <v>2889.0438018886098</v>
      </c>
      <c r="AB65" s="188">
        <f>IF(IF(sym!$P54=$H65,1,0)=1,ABS($X65*$G65),-ABS($X65*$G65))</f>
        <v>-2889.0438018886098</v>
      </c>
      <c r="AC65" s="188">
        <f t="shared" si="61"/>
        <v>-2889.0438018886098</v>
      </c>
      <c r="AD65" s="188">
        <f t="shared" si="66"/>
        <v>2889.0438018886098</v>
      </c>
      <c r="AE65" s="188">
        <f t="shared" si="47"/>
        <v>2889.0438018886098</v>
      </c>
      <c r="AF65" s="188">
        <f t="shared" si="56"/>
        <v>2889.0438018886098</v>
      </c>
      <c r="AG65" s="188">
        <f t="shared" si="57"/>
        <v>2889.0438018886098</v>
      </c>
      <c r="AH65" s="188">
        <f t="shared" si="58"/>
        <v>-2889.0438018886098</v>
      </c>
      <c r="AI65" s="188">
        <f t="shared" si="59"/>
        <v>2889.0438018886098</v>
      </c>
      <c r="AJ65" s="188">
        <f t="shared" si="60"/>
        <v>2889.0438018886098</v>
      </c>
      <c r="AK65" s="188">
        <f t="shared" si="48"/>
        <v>2889.0438018886098</v>
      </c>
      <c r="AL65" s="188">
        <f t="shared" si="49"/>
        <v>2889.0438018886098</v>
      </c>
      <c r="AM65" s="188">
        <f t="shared" si="50"/>
        <v>2889.0438018886098</v>
      </c>
      <c r="AN65" s="188">
        <f t="shared" si="67"/>
        <v>2889.0438018886098</v>
      </c>
      <c r="AO65" s="188">
        <f t="shared" si="68"/>
        <v>-2889.0438018886098</v>
      </c>
      <c r="AP65" s="188">
        <f t="shared" si="69"/>
        <v>2889.0438018886098</v>
      </c>
    </row>
    <row r="66" spans="1:42" ht="15.75" thickBot="1" x14ac:dyDescent="0.3">
      <c r="A66" s="1" t="s">
        <v>384</v>
      </c>
      <c r="B66" s="149" t="s">
        <v>704</v>
      </c>
      <c r="C66" s="192" t="s">
        <v>347</v>
      </c>
      <c r="E66" s="201">
        <v>1</v>
      </c>
      <c r="F66" s="186">
        <f t="shared" si="62"/>
        <v>1311.9056005641598</v>
      </c>
      <c r="G66" s="202">
        <v>9.1581542796799996E-3</v>
      </c>
      <c r="H66" s="202">
        <v>1</v>
      </c>
      <c r="I66" s="227">
        <v>1</v>
      </c>
      <c r="J66" s="227">
        <v>-1</v>
      </c>
      <c r="K66" s="227">
        <v>1</v>
      </c>
      <c r="L66" s="202">
        <v>-1</v>
      </c>
      <c r="M66" s="228">
        <v>23</v>
      </c>
      <c r="N66" s="288"/>
      <c r="O66">
        <f t="shared" si="40"/>
        <v>-1</v>
      </c>
      <c r="P66">
        <f t="shared" si="54"/>
        <v>1</v>
      </c>
      <c r="Q66">
        <f t="shared" si="63"/>
        <v>-1</v>
      </c>
      <c r="R66">
        <f t="shared" si="64"/>
        <v>1</v>
      </c>
      <c r="S66">
        <f t="shared" si="43"/>
        <v>1</v>
      </c>
      <c r="T66">
        <f t="shared" si="65"/>
        <v>1</v>
      </c>
      <c r="U66">
        <f t="shared" si="55"/>
        <v>-1</v>
      </c>
      <c r="V66">
        <f>VLOOKUP($A66,'FuturesInfo (3)'!$A$2:$V$80,22)</f>
        <v>2</v>
      </c>
      <c r="W66">
        <v>1</v>
      </c>
      <c r="X66" s="137">
        <v>143250</v>
      </c>
      <c r="Y66" s="137">
        <v>10500</v>
      </c>
      <c r="Z66" s="188">
        <f t="shared" si="45"/>
        <v>1311.9056005641598</v>
      </c>
      <c r="AA66" s="188">
        <f>IF(IF(sym!$Q55=H66,1,0)=1,ABS(X66*G66),-ABS(X66*G66))</f>
        <v>1311.9056005641598</v>
      </c>
      <c r="AB66" s="188">
        <f>IF(IF(sym!$P55=$H66,1,0)=1,ABS($X66*$G66),-ABS($X66*$G66))</f>
        <v>-1311.9056005641598</v>
      </c>
      <c r="AC66" s="188">
        <f t="shared" si="61"/>
        <v>1311.9056005641598</v>
      </c>
      <c r="AD66" s="188">
        <f t="shared" si="66"/>
        <v>-1311.9056005641598</v>
      </c>
      <c r="AE66" s="188">
        <f t="shared" si="47"/>
        <v>-1311.9056005641598</v>
      </c>
      <c r="AF66" s="188">
        <f t="shared" si="56"/>
        <v>1311.9056005641598</v>
      </c>
      <c r="AG66" s="188">
        <f t="shared" si="57"/>
        <v>1311.9056005641598</v>
      </c>
      <c r="AH66" s="188">
        <f t="shared" si="58"/>
        <v>-1311.9056005641598</v>
      </c>
      <c r="AI66" s="188">
        <f t="shared" si="59"/>
        <v>1311.9056005641598</v>
      </c>
      <c r="AJ66" s="188">
        <f t="shared" si="60"/>
        <v>-1311.9056005641598</v>
      </c>
      <c r="AK66" s="188">
        <f t="shared" si="48"/>
        <v>1311.9056005641598</v>
      </c>
      <c r="AL66" s="188">
        <f t="shared" si="49"/>
        <v>-1311.9056005641598</v>
      </c>
      <c r="AM66" s="188">
        <f t="shared" si="50"/>
        <v>1311.9056005641598</v>
      </c>
      <c r="AN66" s="188">
        <f t="shared" si="67"/>
        <v>1311.9056005641598</v>
      </c>
      <c r="AO66" s="188">
        <f t="shared" si="68"/>
        <v>1311.9056005641598</v>
      </c>
      <c r="AP66" s="188">
        <f t="shared" si="69"/>
        <v>-1311.9056005641598</v>
      </c>
    </row>
    <row r="67" spans="1:42" ht="15.75" thickBot="1" x14ac:dyDescent="0.3">
      <c r="A67" s="1" t="s">
        <v>386</v>
      </c>
      <c r="B67" s="149" t="s">
        <v>706</v>
      </c>
      <c r="C67" s="192" t="s">
        <v>347</v>
      </c>
      <c r="E67" s="201">
        <v>1</v>
      </c>
      <c r="F67" s="186">
        <f t="shared" si="62"/>
        <v>1284.0179036999309</v>
      </c>
      <c r="G67" s="202">
        <v>1.10377194507E-2</v>
      </c>
      <c r="H67" s="202">
        <v>1</v>
      </c>
      <c r="I67" s="227">
        <v>1</v>
      </c>
      <c r="J67" s="227">
        <v>1</v>
      </c>
      <c r="K67" s="227">
        <v>1</v>
      </c>
      <c r="L67" s="202">
        <v>-1</v>
      </c>
      <c r="M67" s="228">
        <v>23</v>
      </c>
      <c r="N67" s="288"/>
      <c r="O67">
        <f t="shared" si="40"/>
        <v>-1</v>
      </c>
      <c r="P67">
        <f t="shared" si="54"/>
        <v>1</v>
      </c>
      <c r="Q67">
        <f t="shared" si="63"/>
        <v>-1</v>
      </c>
      <c r="R67">
        <f t="shared" si="64"/>
        <v>1</v>
      </c>
      <c r="S67">
        <f t="shared" si="43"/>
        <v>1</v>
      </c>
      <c r="T67">
        <f t="shared" si="65"/>
        <v>1</v>
      </c>
      <c r="U67">
        <f t="shared" si="55"/>
        <v>1</v>
      </c>
      <c r="V67">
        <f>VLOOKUP($A67,'FuturesInfo (3)'!$A$2:$V$80,22)</f>
        <v>2</v>
      </c>
      <c r="W67">
        <v>1</v>
      </c>
      <c r="X67" s="137">
        <v>116330</v>
      </c>
      <c r="Y67" s="137">
        <v>6192</v>
      </c>
      <c r="Z67" s="188">
        <f t="shared" si="45"/>
        <v>1284.0179036999309</v>
      </c>
      <c r="AA67" s="188">
        <f>IF(IF(sym!$Q56=H67,1,0)=1,ABS(X67*G67),-ABS(X67*G67))</f>
        <v>-1284.0179036999309</v>
      </c>
      <c r="AB67" s="188">
        <f>IF(IF(sym!$P56=$H67,1,0)=1,ABS($X67*$G67),-ABS($X67*$G67))</f>
        <v>1284.0179036999309</v>
      </c>
      <c r="AC67" s="188">
        <f t="shared" si="61"/>
        <v>1284.0179036999309</v>
      </c>
      <c r="AD67" s="188">
        <f t="shared" si="66"/>
        <v>-1284.0179036999309</v>
      </c>
      <c r="AE67" s="188">
        <f t="shared" si="47"/>
        <v>1284.0179036999309</v>
      </c>
      <c r="AF67" s="188">
        <f t="shared" si="56"/>
        <v>1284.0179036999309</v>
      </c>
      <c r="AG67" s="188">
        <f t="shared" si="57"/>
        <v>1284.0179036999309</v>
      </c>
      <c r="AH67" s="188">
        <f t="shared" si="58"/>
        <v>-1284.0179036999309</v>
      </c>
      <c r="AI67" s="188">
        <f t="shared" si="59"/>
        <v>1284.0179036999309</v>
      </c>
      <c r="AJ67" s="188">
        <f t="shared" si="60"/>
        <v>-1284.0179036999309</v>
      </c>
      <c r="AK67" s="188">
        <f t="shared" si="48"/>
        <v>1284.0179036999309</v>
      </c>
      <c r="AL67" s="188">
        <f t="shared" si="49"/>
        <v>-1284.0179036999309</v>
      </c>
      <c r="AM67" s="188">
        <f t="shared" si="50"/>
        <v>1284.0179036999309</v>
      </c>
      <c r="AN67" s="188">
        <f t="shared" si="67"/>
        <v>1284.0179036999309</v>
      </c>
      <c r="AO67" s="188">
        <f t="shared" si="68"/>
        <v>1284.0179036999309</v>
      </c>
      <c r="AP67" s="188">
        <f t="shared" si="69"/>
        <v>1284.0179036999309</v>
      </c>
    </row>
    <row r="68" spans="1:42" ht="15.75" thickBot="1" x14ac:dyDescent="0.3">
      <c r="A68" s="1" t="s">
        <v>388</v>
      </c>
      <c r="B68" s="149" t="s">
        <v>710</v>
      </c>
      <c r="C68" s="192" t="s">
        <v>288</v>
      </c>
      <c r="E68" s="201">
        <v>1</v>
      </c>
      <c r="F68" s="186">
        <f t="shared" si="62"/>
        <v>-1311.3065939009166</v>
      </c>
      <c r="G68" s="202">
        <v>-1.1975140215200001E-2</v>
      </c>
      <c r="H68" s="233">
        <v>-1</v>
      </c>
      <c r="I68" s="229">
        <v>1</v>
      </c>
      <c r="J68" s="229">
        <v>-1</v>
      </c>
      <c r="K68" s="229">
        <v>1</v>
      </c>
      <c r="L68" s="202">
        <v>-1</v>
      </c>
      <c r="M68" s="228">
        <v>-4</v>
      </c>
      <c r="N68" s="288"/>
      <c r="O68">
        <f t="shared" si="40"/>
        <v>1</v>
      </c>
      <c r="P68">
        <f t="shared" si="54"/>
        <v>1</v>
      </c>
      <c r="Q68">
        <f t="shared" si="63"/>
        <v>-1</v>
      </c>
      <c r="R68">
        <f t="shared" si="64"/>
        <v>1</v>
      </c>
      <c r="S68">
        <f t="shared" si="43"/>
        <v>1</v>
      </c>
      <c r="T68">
        <f t="shared" si="65"/>
        <v>-1</v>
      </c>
      <c r="U68">
        <f t="shared" si="55"/>
        <v>-1</v>
      </c>
      <c r="V68">
        <f>VLOOKUP($A68,'FuturesInfo (3)'!$A$2:$V$80,22)</f>
        <v>2</v>
      </c>
      <c r="W68">
        <v>1</v>
      </c>
      <c r="X68" s="137">
        <v>109502.40000000001</v>
      </c>
      <c r="Y68" s="137">
        <v>12236</v>
      </c>
      <c r="Z68" s="188">
        <f t="shared" si="45"/>
        <v>1311.3065939009166</v>
      </c>
      <c r="AA68" s="188">
        <f>IF(IF(sym!$Q57=H68,1,0)=1,ABS(X68*G68),-ABS(X68*G68))</f>
        <v>-1311.3065939009166</v>
      </c>
      <c r="AB68" s="188">
        <f>IF(IF(sym!$P57=$H68,1,0)=1,ABS($X68*$G68),-ABS($X68*$G68))</f>
        <v>1311.3065939009166</v>
      </c>
      <c r="AC68" s="188">
        <f t="shared" si="61"/>
        <v>-1311.3065939009166</v>
      </c>
      <c r="AD68" s="188">
        <f t="shared" si="66"/>
        <v>1311.3065939009166</v>
      </c>
      <c r="AE68" s="188">
        <f t="shared" si="47"/>
        <v>1311.3065939009166</v>
      </c>
      <c r="AF68" s="188">
        <f t="shared" si="56"/>
        <v>-1311.3065939009166</v>
      </c>
      <c r="AG68" s="188">
        <f t="shared" si="57"/>
        <v>-1311.3065939009166</v>
      </c>
      <c r="AH68" s="188">
        <f t="shared" si="58"/>
        <v>1311.3065939009166</v>
      </c>
      <c r="AI68" s="188">
        <f t="shared" si="59"/>
        <v>-1311.3065939009166</v>
      </c>
      <c r="AJ68" s="188">
        <f t="shared" si="60"/>
        <v>-1311.3065939009166</v>
      </c>
      <c r="AK68" s="188">
        <f t="shared" si="48"/>
        <v>-1311.3065939009166</v>
      </c>
      <c r="AL68" s="188">
        <f t="shared" si="49"/>
        <v>1311.3065939009166</v>
      </c>
      <c r="AM68" s="188">
        <f t="shared" si="50"/>
        <v>-1311.3065939009166</v>
      </c>
      <c r="AN68" s="188">
        <f t="shared" si="67"/>
        <v>-1311.3065939009166</v>
      </c>
      <c r="AO68" s="188">
        <f t="shared" si="68"/>
        <v>1311.3065939009166</v>
      </c>
      <c r="AP68" s="188">
        <f t="shared" si="69"/>
        <v>1311.3065939009166</v>
      </c>
    </row>
    <row r="69" spans="1:42" s="2" customFormat="1" ht="15.75" thickBot="1" x14ac:dyDescent="0.3">
      <c r="A69" s="1" t="s">
        <v>389</v>
      </c>
      <c r="B69" s="149" t="s">
        <v>712</v>
      </c>
      <c r="C69" s="192" t="s">
        <v>297</v>
      </c>
      <c r="D69"/>
      <c r="E69" s="201">
        <v>1</v>
      </c>
      <c r="F69" s="186">
        <f t="shared" si="62"/>
        <v>-2484.5824949652201</v>
      </c>
      <c r="G69" s="202">
        <v>-2.56539235412E-2</v>
      </c>
      <c r="H69" s="202">
        <v>-1</v>
      </c>
      <c r="I69" s="227">
        <v>1</v>
      </c>
      <c r="J69" s="227">
        <v>-1</v>
      </c>
      <c r="K69" s="227">
        <v>1</v>
      </c>
      <c r="L69" s="202">
        <v>-1</v>
      </c>
      <c r="M69" s="228">
        <v>-16</v>
      </c>
      <c r="N69" s="288"/>
      <c r="O69">
        <f t="shared" si="40"/>
        <v>1</v>
      </c>
      <c r="P69">
        <f t="shared" si="54"/>
        <v>1</v>
      </c>
      <c r="Q69">
        <f t="shared" si="63"/>
        <v>-1</v>
      </c>
      <c r="R69">
        <f t="shared" si="64"/>
        <v>1</v>
      </c>
      <c r="S69">
        <f t="shared" si="43"/>
        <v>1</v>
      </c>
      <c r="T69">
        <f t="shared" si="65"/>
        <v>-1</v>
      </c>
      <c r="U69">
        <f t="shared" si="55"/>
        <v>-1</v>
      </c>
      <c r="V69">
        <f>VLOOKUP($A69,'FuturesInfo (3)'!$A$2:$V$80,22)</f>
        <v>5</v>
      </c>
      <c r="W69">
        <v>1</v>
      </c>
      <c r="X69" s="137">
        <v>96850</v>
      </c>
      <c r="Y69" s="137">
        <v>6850</v>
      </c>
      <c r="Z69" s="188">
        <f t="shared" si="45"/>
        <v>2484.5824949652201</v>
      </c>
      <c r="AA69" s="188">
        <f>IF(IF(sym!$Q58=H69,1,0)=1,ABS(X69*G69),-ABS(X69*G69))</f>
        <v>-2484.5824949652201</v>
      </c>
      <c r="AB69" s="188">
        <f>IF(IF(sym!$P58=$H69,1,0)=1,ABS($X69*$G69),-ABS($X69*$G69))</f>
        <v>2484.5824949652201</v>
      </c>
      <c r="AC69" s="188">
        <f t="shared" si="61"/>
        <v>-2484.5824949652201</v>
      </c>
      <c r="AD69" s="188">
        <f t="shared" si="66"/>
        <v>2484.5824949652201</v>
      </c>
      <c r="AE69" s="188">
        <f t="shared" si="47"/>
        <v>2484.5824949652201</v>
      </c>
      <c r="AF69" s="188">
        <f t="shared" si="56"/>
        <v>-2484.5824949652201</v>
      </c>
      <c r="AG69" s="188">
        <f t="shared" si="57"/>
        <v>-2484.5824949652201</v>
      </c>
      <c r="AH69" s="188">
        <f t="shared" si="58"/>
        <v>2484.5824949652201</v>
      </c>
      <c r="AI69" s="188">
        <f t="shared" si="59"/>
        <v>-2484.5824949652201</v>
      </c>
      <c r="AJ69" s="188">
        <f t="shared" si="60"/>
        <v>-2484.5824949652201</v>
      </c>
      <c r="AK69" s="188">
        <f t="shared" si="48"/>
        <v>-2484.5824949652201</v>
      </c>
      <c r="AL69" s="188">
        <f t="shared" si="49"/>
        <v>2484.5824949652201</v>
      </c>
      <c r="AM69" s="188">
        <f t="shared" si="50"/>
        <v>-2484.5824949652201</v>
      </c>
      <c r="AN69" s="188">
        <f t="shared" si="67"/>
        <v>-2484.5824949652201</v>
      </c>
      <c r="AO69" s="188">
        <f t="shared" si="68"/>
        <v>2484.5824949652201</v>
      </c>
      <c r="AP69" s="188">
        <f t="shared" si="69"/>
        <v>2484.5824949652201</v>
      </c>
    </row>
    <row r="70" spans="1:42" s="2" customFormat="1" ht="15.75" thickBot="1" x14ac:dyDescent="0.3">
      <c r="A70" s="1" t="s">
        <v>391</v>
      </c>
      <c r="B70" s="149" t="s">
        <v>490</v>
      </c>
      <c r="C70" s="192" t="s">
        <v>297</v>
      </c>
      <c r="D70"/>
      <c r="E70" s="201">
        <v>1</v>
      </c>
      <c r="F70" s="186">
        <f t="shared" si="62"/>
        <v>0</v>
      </c>
      <c r="G70" s="202"/>
      <c r="H70" s="202">
        <v>1</v>
      </c>
      <c r="I70" s="227">
        <v>1</v>
      </c>
      <c r="J70" s="227">
        <v>-1</v>
      </c>
      <c r="K70" s="227">
        <v>1</v>
      </c>
      <c r="L70" s="202">
        <v>1</v>
      </c>
      <c r="M70" s="228">
        <v>-4</v>
      </c>
      <c r="N70" s="288"/>
      <c r="O70">
        <f t="shared" si="40"/>
        <v>-1</v>
      </c>
      <c r="P70">
        <f t="shared" si="54"/>
        <v>1</v>
      </c>
      <c r="Q70">
        <f t="shared" si="63"/>
        <v>-1</v>
      </c>
      <c r="R70">
        <f t="shared" si="64"/>
        <v>-1</v>
      </c>
      <c r="S70">
        <f t="shared" si="43"/>
        <v>-1</v>
      </c>
      <c r="T70">
        <f t="shared" si="65"/>
        <v>1</v>
      </c>
      <c r="U70">
        <f t="shared" si="55"/>
        <v>-1</v>
      </c>
      <c r="V70">
        <f>VLOOKUP($A70,'FuturesInfo (3)'!$A$2:$V$80,22)</f>
        <v>17</v>
      </c>
      <c r="W70">
        <v>1</v>
      </c>
      <c r="X70" s="137">
        <v>89929.132058218383</v>
      </c>
      <c r="Y70" s="137">
        <v>4299.8239032233369</v>
      </c>
      <c r="Z70" s="188">
        <f t="shared" si="45"/>
        <v>0</v>
      </c>
      <c r="AA70" s="188">
        <f>IF(IF(sym!$Q59=H70,1,0)=1,ABS(X70*G70),-ABS(X70*G70))</f>
        <v>0</v>
      </c>
      <c r="AB70" s="188">
        <f>IF(IF(sym!$P59=$H70,1,0)=1,ABS($X70*$G70),-ABS($X70*$G70))</f>
        <v>0</v>
      </c>
      <c r="AC70" s="188">
        <f t="shared" si="61"/>
        <v>0</v>
      </c>
      <c r="AD70" s="188">
        <f t="shared" si="66"/>
        <v>0</v>
      </c>
      <c r="AE70" s="188">
        <f t="shared" si="47"/>
        <v>0</v>
      </c>
      <c r="AF70" s="188">
        <f t="shared" si="56"/>
        <v>0</v>
      </c>
      <c r="AG70" s="188">
        <f t="shared" si="57"/>
        <v>0</v>
      </c>
      <c r="AH70" s="188">
        <f t="shared" si="58"/>
        <v>0</v>
      </c>
      <c r="AI70" s="188">
        <f t="shared" si="59"/>
        <v>0</v>
      </c>
      <c r="AJ70" s="188">
        <f t="shared" si="60"/>
        <v>0</v>
      </c>
      <c r="AK70" s="188">
        <f t="shared" si="48"/>
        <v>0</v>
      </c>
      <c r="AL70" s="188">
        <f t="shared" si="49"/>
        <v>0</v>
      </c>
      <c r="AM70" s="188">
        <f t="shared" si="50"/>
        <v>0</v>
      </c>
      <c r="AN70" s="188">
        <f t="shared" si="67"/>
        <v>0</v>
      </c>
      <c r="AO70" s="188">
        <f t="shared" si="68"/>
        <v>0</v>
      </c>
      <c r="AP70" s="188">
        <f t="shared" si="69"/>
        <v>0</v>
      </c>
    </row>
    <row r="71" spans="1:42" ht="15.75" thickBot="1" x14ac:dyDescent="0.3">
      <c r="A71" s="1" t="s">
        <v>29</v>
      </c>
      <c r="B71" s="149" t="s">
        <v>730</v>
      </c>
      <c r="C71" s="192" t="s">
        <v>297</v>
      </c>
      <c r="D71" s="2"/>
      <c r="E71" s="201">
        <v>1</v>
      </c>
      <c r="F71" s="186">
        <f t="shared" si="62"/>
        <v>-3978.2901296158348</v>
      </c>
      <c r="G71" s="202">
        <v>-4.1375872382899997E-2</v>
      </c>
      <c r="H71" s="202">
        <v>-1</v>
      </c>
      <c r="I71" s="227">
        <v>1</v>
      </c>
      <c r="J71" s="227">
        <v>1</v>
      </c>
      <c r="K71" s="227">
        <v>1</v>
      </c>
      <c r="L71" s="202">
        <v>1</v>
      </c>
      <c r="M71" s="228">
        <v>-4</v>
      </c>
      <c r="N71" s="288"/>
      <c r="O71">
        <f t="shared" si="40"/>
        <v>-1</v>
      </c>
      <c r="P71">
        <f t="shared" si="54"/>
        <v>1</v>
      </c>
      <c r="Q71">
        <f t="shared" si="63"/>
        <v>-1</v>
      </c>
      <c r="R71">
        <f t="shared" si="64"/>
        <v>-1</v>
      </c>
      <c r="S71">
        <f t="shared" si="43"/>
        <v>-1</v>
      </c>
      <c r="T71">
        <f t="shared" si="65"/>
        <v>1</v>
      </c>
      <c r="U71">
        <f t="shared" si="55"/>
        <v>-1</v>
      </c>
      <c r="V71">
        <f>VLOOKUP($A71,'FuturesInfo (3)'!$A$2:$V$80,22)</f>
        <v>2</v>
      </c>
      <c r="W71">
        <v>1</v>
      </c>
      <c r="X71" s="137">
        <v>96150</v>
      </c>
      <c r="Y71" s="137">
        <v>15250</v>
      </c>
      <c r="Z71" s="188">
        <f t="shared" si="45"/>
        <v>3978.2901296158348</v>
      </c>
      <c r="AA71" s="188">
        <f>IF(IF(sym!$Q60=H71,1,0)=1,ABS(X71*G71),-ABS(X71*G71))</f>
        <v>-3978.2901296158348</v>
      </c>
      <c r="AB71" s="188">
        <f>IF(IF(sym!$P60=$H71,1,0)=1,ABS($X71*$G71),-ABS($X71*$G71))</f>
        <v>3978.2901296158348</v>
      </c>
      <c r="AC71" s="188">
        <f t="shared" si="61"/>
        <v>-3978.2901296158348</v>
      </c>
      <c r="AD71" s="188">
        <f t="shared" si="66"/>
        <v>3978.2901296158348</v>
      </c>
      <c r="AE71" s="188">
        <f t="shared" si="47"/>
        <v>-3978.2901296158348</v>
      </c>
      <c r="AF71" s="188">
        <f t="shared" si="56"/>
        <v>-3978.2901296158348</v>
      </c>
      <c r="AG71" s="188">
        <f t="shared" si="57"/>
        <v>-3978.2901296158348</v>
      </c>
      <c r="AH71" s="188">
        <f t="shared" si="58"/>
        <v>-3978.2901296158348</v>
      </c>
      <c r="AI71" s="188">
        <f t="shared" si="59"/>
        <v>3978.2901296158348</v>
      </c>
      <c r="AJ71" s="188">
        <f t="shared" si="60"/>
        <v>3978.2901296158348</v>
      </c>
      <c r="AK71" s="188">
        <f t="shared" si="48"/>
        <v>-3978.2901296158348</v>
      </c>
      <c r="AL71" s="188">
        <f t="shared" si="49"/>
        <v>3978.2901296158348</v>
      </c>
      <c r="AM71" s="188">
        <f t="shared" si="50"/>
        <v>3978.2901296158348</v>
      </c>
      <c r="AN71" s="188">
        <f t="shared" si="67"/>
        <v>3978.2901296158348</v>
      </c>
      <c r="AO71" s="188">
        <f t="shared" si="68"/>
        <v>-3978.2901296158348</v>
      </c>
      <c r="AP71" s="188">
        <f t="shared" si="69"/>
        <v>3978.2901296158348</v>
      </c>
    </row>
    <row r="72" spans="1:42" ht="15.75" thickBot="1" x14ac:dyDescent="0.3">
      <c r="A72" s="1" t="s">
        <v>394</v>
      </c>
      <c r="B72" s="149" t="s">
        <v>742</v>
      </c>
      <c r="C72" s="192" t="s">
        <v>304</v>
      </c>
      <c r="E72" s="201">
        <v>1</v>
      </c>
      <c r="F72" s="186">
        <f t="shared" si="62"/>
        <v>-796.24062992439497</v>
      </c>
      <c r="G72" s="202">
        <v>-1.25984251969E-2</v>
      </c>
      <c r="H72" s="202">
        <v>-1</v>
      </c>
      <c r="I72" s="227">
        <v>1</v>
      </c>
      <c r="J72" s="227">
        <v>1</v>
      </c>
      <c r="K72" s="227">
        <v>1</v>
      </c>
      <c r="L72" s="202">
        <v>-1</v>
      </c>
      <c r="M72" s="228">
        <v>-21</v>
      </c>
      <c r="N72" s="288"/>
      <c r="O72">
        <f t="shared" si="40"/>
        <v>1</v>
      </c>
      <c r="P72">
        <f t="shared" si="54"/>
        <v>1</v>
      </c>
      <c r="Q72">
        <f t="shared" si="63"/>
        <v>1</v>
      </c>
      <c r="R72">
        <f t="shared" si="64"/>
        <v>1</v>
      </c>
      <c r="S72">
        <f t="shared" si="43"/>
        <v>1</v>
      </c>
      <c r="T72">
        <f t="shared" si="65"/>
        <v>-1</v>
      </c>
      <c r="U72">
        <f t="shared" si="55"/>
        <v>1</v>
      </c>
      <c r="V72">
        <f>VLOOKUP($A72,'FuturesInfo (3)'!$A$2:$V$80,22)</f>
        <v>4</v>
      </c>
      <c r="W72">
        <v>1</v>
      </c>
      <c r="X72" s="137">
        <v>63201.599999999991</v>
      </c>
      <c r="Y72" s="137">
        <v>12000</v>
      </c>
      <c r="Z72" s="188">
        <f t="shared" si="45"/>
        <v>796.24062992439497</v>
      </c>
      <c r="AA72" s="188">
        <f>IF(IF(sym!$Q61=H72,1,0)=1,ABS(X72*G72),-ABS(X72*G72))</f>
        <v>-796.24062992439497</v>
      </c>
      <c r="AB72" s="188">
        <f>IF(IF(sym!$P61=$H72,1,0)=1,ABS($X72*$G72),-ABS($X72*$G72))</f>
        <v>796.24062992439497</v>
      </c>
      <c r="AC72" s="188">
        <f t="shared" si="61"/>
        <v>-796.24062992439497</v>
      </c>
      <c r="AD72" s="188">
        <f t="shared" si="66"/>
        <v>796.24062992439497</v>
      </c>
      <c r="AE72" s="188">
        <f t="shared" si="47"/>
        <v>-796.24062992439497</v>
      </c>
      <c r="AF72" s="188">
        <f t="shared" si="56"/>
        <v>-796.24062992439497</v>
      </c>
      <c r="AG72" s="188">
        <f t="shared" si="57"/>
        <v>-796.24062992439497</v>
      </c>
      <c r="AH72" s="188">
        <f t="shared" si="58"/>
        <v>796.24062992439497</v>
      </c>
      <c r="AI72" s="188">
        <f t="shared" si="59"/>
        <v>-796.24062992439497</v>
      </c>
      <c r="AJ72" s="188">
        <f t="shared" si="60"/>
        <v>-796.24062992439497</v>
      </c>
      <c r="AK72" s="188">
        <f t="shared" si="48"/>
        <v>-796.24062992439497</v>
      </c>
      <c r="AL72" s="188">
        <f t="shared" si="49"/>
        <v>-796.24062992439497</v>
      </c>
      <c r="AM72" s="188">
        <f t="shared" si="50"/>
        <v>-796.24062992439497</v>
      </c>
      <c r="AN72" s="188">
        <f t="shared" si="67"/>
        <v>-796.24062992439497</v>
      </c>
      <c r="AO72" s="188">
        <f t="shared" si="68"/>
        <v>796.24062992439497</v>
      </c>
      <c r="AP72" s="188">
        <f t="shared" si="69"/>
        <v>-796.24062992439497</v>
      </c>
    </row>
    <row r="73" spans="1:42" ht="15.75" thickBot="1" x14ac:dyDescent="0.3">
      <c r="A73" s="1" t="s">
        <v>396</v>
      </c>
      <c r="B73" s="149" t="s">
        <v>744</v>
      </c>
      <c r="C73" s="192" t="s">
        <v>1121</v>
      </c>
      <c r="E73" s="201">
        <v>1</v>
      </c>
      <c r="F73" s="186">
        <f t="shared" si="62"/>
        <v>337.79339321920338</v>
      </c>
      <c r="G73" s="202">
        <v>8.6931324253800002E-4</v>
      </c>
      <c r="H73" s="202">
        <v>1</v>
      </c>
      <c r="I73" s="227">
        <v>1</v>
      </c>
      <c r="J73" s="227">
        <v>1</v>
      </c>
      <c r="K73" s="227">
        <v>-1</v>
      </c>
      <c r="L73" s="202">
        <v>1</v>
      </c>
      <c r="M73" s="228">
        <v>3</v>
      </c>
      <c r="N73" s="288"/>
      <c r="O73">
        <f t="shared" si="40"/>
        <v>1</v>
      </c>
      <c r="P73">
        <f t="shared" si="54"/>
        <v>-1</v>
      </c>
      <c r="Q73">
        <f t="shared" si="63"/>
        <v>1</v>
      </c>
      <c r="R73">
        <f t="shared" si="64"/>
        <v>-1</v>
      </c>
      <c r="S73">
        <f t="shared" si="43"/>
        <v>-1</v>
      </c>
      <c r="T73">
        <f t="shared" si="65"/>
        <v>1</v>
      </c>
      <c r="U73">
        <f t="shared" si="55"/>
        <v>-1</v>
      </c>
      <c r="V73">
        <f>VLOOKUP($A73,'FuturesInfo (3)'!$A$2:$V$80,22)</f>
        <v>3</v>
      </c>
      <c r="W73">
        <v>1</v>
      </c>
      <c r="X73" s="137">
        <v>388575</v>
      </c>
      <c r="Y73" s="137">
        <v>33606</v>
      </c>
      <c r="Z73" s="188">
        <f t="shared" si="45"/>
        <v>337.79339321920338</v>
      </c>
      <c r="AA73" s="188">
        <f>IF(IF(sym!$Q62=H73,1,0)=1,ABS(X73*G73),-ABS(X73*G73))</f>
        <v>337.79339321920338</v>
      </c>
      <c r="AB73" s="188">
        <f>IF(IF(sym!$P62=$H73,1,0)=1,ABS($X73*$G73),-ABS($X73*$G73))</f>
        <v>-337.79339321920338</v>
      </c>
      <c r="AC73" s="188">
        <f t="shared" si="61"/>
        <v>337.79339321920338</v>
      </c>
      <c r="AD73" s="188">
        <f t="shared" si="66"/>
        <v>-337.79339321920338</v>
      </c>
      <c r="AE73" s="188">
        <f t="shared" si="47"/>
        <v>337.79339321920338</v>
      </c>
      <c r="AF73" s="188">
        <f t="shared" si="56"/>
        <v>337.79339321920338</v>
      </c>
      <c r="AG73" s="188">
        <f t="shared" si="57"/>
        <v>-337.79339321920338</v>
      </c>
      <c r="AH73" s="188">
        <f t="shared" si="58"/>
        <v>337.79339321920338</v>
      </c>
      <c r="AI73" s="188">
        <f t="shared" si="59"/>
        <v>-337.79339321920338</v>
      </c>
      <c r="AJ73" s="188">
        <f t="shared" si="60"/>
        <v>337.79339321920338</v>
      </c>
      <c r="AK73" s="188">
        <f t="shared" si="48"/>
        <v>-337.79339321920338</v>
      </c>
      <c r="AL73" s="188">
        <f t="shared" si="49"/>
        <v>337.79339321920338</v>
      </c>
      <c r="AM73" s="188">
        <f t="shared" si="50"/>
        <v>-337.79339321920338</v>
      </c>
      <c r="AN73" s="188">
        <f t="shared" si="67"/>
        <v>-337.79339321920338</v>
      </c>
      <c r="AO73" s="188">
        <f t="shared" si="68"/>
        <v>337.79339321920338</v>
      </c>
      <c r="AP73" s="188">
        <f t="shared" si="69"/>
        <v>-337.79339321920338</v>
      </c>
    </row>
    <row r="74" spans="1:42" ht="15.75" thickBot="1" x14ac:dyDescent="0.3">
      <c r="A74" s="1" t="s">
        <v>398</v>
      </c>
      <c r="B74" s="149" t="s">
        <v>722</v>
      </c>
      <c r="C74" s="192" t="s">
        <v>347</v>
      </c>
      <c r="E74" s="201">
        <v>1</v>
      </c>
      <c r="F74" s="186">
        <f t="shared" si="62"/>
        <v>770.75244507784998</v>
      </c>
      <c r="G74" s="202">
        <v>7.51953604954E-3</v>
      </c>
      <c r="H74" s="202">
        <v>1</v>
      </c>
      <c r="I74" s="227">
        <v>1</v>
      </c>
      <c r="J74" s="227">
        <v>-1</v>
      </c>
      <c r="K74" s="227">
        <v>1</v>
      </c>
      <c r="L74" s="202">
        <v>1</v>
      </c>
      <c r="M74" s="228">
        <v>-7</v>
      </c>
      <c r="N74" s="288"/>
      <c r="O74">
        <f t="shared" si="40"/>
        <v>-1</v>
      </c>
      <c r="P74">
        <f t="shared" si="54"/>
        <v>1</v>
      </c>
      <c r="Q74">
        <f t="shared" si="63"/>
        <v>-1</v>
      </c>
      <c r="R74">
        <f t="shared" si="64"/>
        <v>-1</v>
      </c>
      <c r="S74">
        <f t="shared" si="43"/>
        <v>-1</v>
      </c>
      <c r="T74">
        <f t="shared" si="65"/>
        <v>1</v>
      </c>
      <c r="U74">
        <f t="shared" si="55"/>
        <v>-1</v>
      </c>
      <c r="V74">
        <f>VLOOKUP($A74,'FuturesInfo (3)'!$A$2:$V$80,22)</f>
        <v>1</v>
      </c>
      <c r="W74">
        <v>1</v>
      </c>
      <c r="X74" s="137">
        <v>102500</v>
      </c>
      <c r="Y74" s="137">
        <v>1296</v>
      </c>
      <c r="Z74" s="188">
        <f t="shared" si="45"/>
        <v>770.75244507784998</v>
      </c>
      <c r="AA74" s="188">
        <f>IF(IF(sym!$Q63=H74,1,0)=1,ABS(X74*G74),-ABS(X74*G74))</f>
        <v>-770.75244507784998</v>
      </c>
      <c r="AB74" s="188">
        <f>IF(IF(sym!$P63=$H74,1,0)=1,ABS($X74*$G74),-ABS($X74*$G74))</f>
        <v>770.75244507784998</v>
      </c>
      <c r="AC74" s="188">
        <f t="shared" si="61"/>
        <v>770.75244507784998</v>
      </c>
      <c r="AD74" s="188">
        <f t="shared" si="66"/>
        <v>-770.75244507784998</v>
      </c>
      <c r="AE74" s="188">
        <f t="shared" si="47"/>
        <v>-770.75244507784998</v>
      </c>
      <c r="AF74" s="188">
        <f t="shared" si="56"/>
        <v>770.75244507784998</v>
      </c>
      <c r="AG74" s="188">
        <f t="shared" si="57"/>
        <v>770.75244507784998</v>
      </c>
      <c r="AH74" s="188">
        <f t="shared" si="58"/>
        <v>770.75244507784998</v>
      </c>
      <c r="AI74" s="188">
        <f t="shared" si="59"/>
        <v>-770.75244507784998</v>
      </c>
      <c r="AJ74" s="188">
        <f t="shared" si="60"/>
        <v>-770.75244507784998</v>
      </c>
      <c r="AK74" s="188">
        <f t="shared" si="48"/>
        <v>770.75244507784998</v>
      </c>
      <c r="AL74" s="188">
        <f t="shared" si="49"/>
        <v>-770.75244507784998</v>
      </c>
      <c r="AM74" s="188">
        <f t="shared" si="50"/>
        <v>-770.75244507784998</v>
      </c>
      <c r="AN74" s="188">
        <f t="shared" si="67"/>
        <v>-770.75244507784998</v>
      </c>
      <c r="AO74" s="188">
        <f t="shared" si="68"/>
        <v>770.75244507784998</v>
      </c>
      <c r="AP74" s="188">
        <f t="shared" si="69"/>
        <v>-770.75244507784998</v>
      </c>
    </row>
    <row r="75" spans="1:42" ht="15.75" thickBot="1" x14ac:dyDescent="0.3">
      <c r="A75" s="1" t="s">
        <v>400</v>
      </c>
      <c r="B75" s="149" t="s">
        <v>732</v>
      </c>
      <c r="C75" s="192" t="s">
        <v>294</v>
      </c>
      <c r="E75" s="201">
        <v>-1</v>
      </c>
      <c r="F75" s="186">
        <f t="shared" si="62"/>
        <v>12.000690647496114</v>
      </c>
      <c r="G75" s="291">
        <v>5.7553956834599999E-5</v>
      </c>
      <c r="H75" s="202">
        <v>1</v>
      </c>
      <c r="I75" s="227">
        <v>-1</v>
      </c>
      <c r="J75" s="227">
        <v>1</v>
      </c>
      <c r="K75" s="227">
        <v>-1</v>
      </c>
      <c r="L75" s="202">
        <v>-1</v>
      </c>
      <c r="M75" s="228">
        <v>-6</v>
      </c>
      <c r="N75" s="288"/>
      <c r="O75">
        <f t="shared" si="40"/>
        <v>1</v>
      </c>
      <c r="P75">
        <f t="shared" si="54"/>
        <v>-1</v>
      </c>
      <c r="Q75">
        <f t="shared" si="63"/>
        <v>1</v>
      </c>
      <c r="R75">
        <f t="shared" si="64"/>
        <v>1</v>
      </c>
      <c r="S75">
        <f t="shared" si="43"/>
        <v>1</v>
      </c>
      <c r="T75">
        <f t="shared" si="65"/>
        <v>-1</v>
      </c>
      <c r="U75">
        <f t="shared" si="55"/>
        <v>1</v>
      </c>
      <c r="V75">
        <f>VLOOKUP($A75,'FuturesInfo (3)'!$A$2:$V$80,22)</f>
        <v>12</v>
      </c>
      <c r="W75">
        <v>1</v>
      </c>
      <c r="X75" s="137">
        <v>208512</v>
      </c>
      <c r="Y75" s="137">
        <v>6756</v>
      </c>
      <c r="Z75" s="188">
        <f t="shared" si="45"/>
        <v>12.000690647496114</v>
      </c>
      <c r="AA75" s="188">
        <f>IF(IF(sym!$Q64=H75,1,0)=1,ABS(X75*G75),-ABS(X75*G75))</f>
        <v>12.000690647496114</v>
      </c>
      <c r="AB75" s="188">
        <f>IF(IF(sym!$P64=$H75,1,0)=1,ABS($X75*$G75),-ABS($X75*$G75))</f>
        <v>-12.000690647496114</v>
      </c>
      <c r="AC75" s="188">
        <f t="shared" si="61"/>
        <v>-12.000690647496114</v>
      </c>
      <c r="AD75" s="188">
        <f t="shared" si="66"/>
        <v>12.000690647496114</v>
      </c>
      <c r="AE75" s="188">
        <f t="shared" si="47"/>
        <v>12.000690647496114</v>
      </c>
      <c r="AF75" s="188">
        <f t="shared" si="56"/>
        <v>-12.000690647496114</v>
      </c>
      <c r="AG75" s="188">
        <f t="shared" si="57"/>
        <v>-12.000690647496114</v>
      </c>
      <c r="AH75" s="188">
        <f t="shared" si="58"/>
        <v>-12.000690647496114</v>
      </c>
      <c r="AI75" s="188">
        <f t="shared" si="59"/>
        <v>12.000690647496114</v>
      </c>
      <c r="AJ75" s="188">
        <f t="shared" si="60"/>
        <v>12.000690647496114</v>
      </c>
      <c r="AK75" s="188">
        <f t="shared" si="48"/>
        <v>-12.000690647496114</v>
      </c>
      <c r="AL75" s="188">
        <f t="shared" si="49"/>
        <v>12.000690647496114</v>
      </c>
      <c r="AM75" s="188">
        <f t="shared" si="50"/>
        <v>12.000690647496114</v>
      </c>
      <c r="AN75" s="188">
        <f t="shared" si="67"/>
        <v>12.000690647496114</v>
      </c>
      <c r="AO75" s="188">
        <f t="shared" si="68"/>
        <v>-12.000690647496114</v>
      </c>
      <c r="AP75" s="188">
        <f t="shared" si="69"/>
        <v>12.000690647496114</v>
      </c>
    </row>
    <row r="76" spans="1:42" ht="15.75" thickBot="1" x14ac:dyDescent="0.3">
      <c r="A76" s="1" t="s">
        <v>992</v>
      </c>
      <c r="B76" s="149" t="s">
        <v>443</v>
      </c>
      <c r="C76" s="192" t="s">
        <v>1122</v>
      </c>
      <c r="E76" s="201">
        <v>-1</v>
      </c>
      <c r="F76" s="186">
        <f t="shared" si="62"/>
        <v>-2803.3899963369577</v>
      </c>
      <c r="G76" s="202">
        <v>-3.1417724833099998E-3</v>
      </c>
      <c r="H76" s="202">
        <v>-1</v>
      </c>
      <c r="I76" s="227">
        <v>1</v>
      </c>
      <c r="J76" s="227">
        <v>1</v>
      </c>
      <c r="K76" s="227">
        <v>1</v>
      </c>
      <c r="L76" s="202">
        <v>1</v>
      </c>
      <c r="M76" s="228">
        <v>-2</v>
      </c>
      <c r="N76" s="288"/>
      <c r="O76">
        <f t="shared" si="40"/>
        <v>-1</v>
      </c>
      <c r="P76">
        <f t="shared" si="54"/>
        <v>-1</v>
      </c>
      <c r="Q76">
        <f t="shared" si="63"/>
        <v>1</v>
      </c>
      <c r="R76">
        <f t="shared" si="64"/>
        <v>1</v>
      </c>
      <c r="S76">
        <f t="shared" si="43"/>
        <v>1</v>
      </c>
      <c r="T76">
        <f t="shared" si="65"/>
        <v>-1</v>
      </c>
      <c r="U76">
        <f t="shared" si="55"/>
        <v>1</v>
      </c>
      <c r="V76">
        <f>VLOOKUP($A76,'FuturesInfo (3)'!$A$2:$V$80,22)</f>
        <v>5</v>
      </c>
      <c r="W76">
        <v>1</v>
      </c>
      <c r="X76" s="137">
        <v>892295.67425056163</v>
      </c>
      <c r="Y76" s="137">
        <v>1975.1135690302192</v>
      </c>
      <c r="Z76" s="188">
        <f t="shared" si="45"/>
        <v>2803.3899963369577</v>
      </c>
      <c r="AA76" s="188">
        <f>IF(IF(sym!$Q65=H76,1,0)=1,ABS(X76*G76),-ABS(X76*G76))</f>
        <v>2803.3899963369577</v>
      </c>
      <c r="AB76" s="188">
        <f>IF(IF(sym!$P65=$H76,1,0)=1,ABS($X76*$G76),-ABS($X76*$G76))</f>
        <v>-2803.3899963369577</v>
      </c>
      <c r="AC76" s="188">
        <f t="shared" si="61"/>
        <v>2803.3899963369577</v>
      </c>
      <c r="AD76" s="188">
        <f t="shared" si="66"/>
        <v>-2803.3899963369577</v>
      </c>
      <c r="AE76" s="188">
        <f t="shared" si="47"/>
        <v>-2803.3899963369577</v>
      </c>
      <c r="AF76" s="188">
        <f t="shared" si="56"/>
        <v>-2803.3899963369577</v>
      </c>
      <c r="AG76" s="188">
        <f t="shared" si="57"/>
        <v>-2803.3899963369577</v>
      </c>
      <c r="AH76" s="188">
        <f t="shared" si="58"/>
        <v>-2803.3899963369577</v>
      </c>
      <c r="AI76" s="188">
        <f t="shared" si="59"/>
        <v>2803.3899963369577</v>
      </c>
      <c r="AJ76" s="188">
        <f t="shared" si="60"/>
        <v>2803.3899963369577</v>
      </c>
      <c r="AK76" s="188">
        <f t="shared" si="48"/>
        <v>2803.3899963369577</v>
      </c>
      <c r="AL76" s="188">
        <f t="shared" si="49"/>
        <v>-2803.3899963369577</v>
      </c>
      <c r="AM76" s="188">
        <f t="shared" si="50"/>
        <v>-2803.3899963369577</v>
      </c>
      <c r="AN76" s="188">
        <f t="shared" si="67"/>
        <v>-2803.3899963369577</v>
      </c>
      <c r="AO76" s="188">
        <f t="shared" si="68"/>
        <v>2803.3899963369577</v>
      </c>
      <c r="AP76" s="188">
        <f t="shared" si="69"/>
        <v>-2803.3899963369577</v>
      </c>
    </row>
    <row r="77" spans="1:42" ht="15.75" thickBot="1" x14ac:dyDescent="0.3">
      <c r="A77" s="1" t="s">
        <v>401</v>
      </c>
      <c r="B77" s="149" t="s">
        <v>726</v>
      </c>
      <c r="C77" s="192" t="s">
        <v>297</v>
      </c>
      <c r="E77" s="201">
        <v>1</v>
      </c>
      <c r="F77" s="186">
        <f t="shared" si="62"/>
        <v>-3070.9002013214881</v>
      </c>
      <c r="G77" s="202">
        <v>-4.63042853034E-2</v>
      </c>
      <c r="H77" s="202">
        <v>-1</v>
      </c>
      <c r="I77" s="227">
        <v>1</v>
      </c>
      <c r="J77" s="227">
        <v>-1</v>
      </c>
      <c r="K77" s="227">
        <v>1</v>
      </c>
      <c r="L77" s="202">
        <v>-1</v>
      </c>
      <c r="M77" s="228">
        <v>-4</v>
      </c>
      <c r="N77" s="288"/>
      <c r="O77">
        <f t="shared" si="40"/>
        <v>1</v>
      </c>
      <c r="P77">
        <f t="shared" si="54"/>
        <v>1</v>
      </c>
      <c r="Q77">
        <f t="shared" si="63"/>
        <v>-1</v>
      </c>
      <c r="R77">
        <f t="shared" si="64"/>
        <v>1</v>
      </c>
      <c r="S77">
        <f t="shared" si="43"/>
        <v>1</v>
      </c>
      <c r="T77">
        <f t="shared" si="65"/>
        <v>-1</v>
      </c>
      <c r="U77">
        <f t="shared" si="55"/>
        <v>-1</v>
      </c>
      <c r="V77">
        <f>VLOOKUP($A77,'FuturesInfo (3)'!$A$2:$V$80,22)</f>
        <v>3</v>
      </c>
      <c r="W77">
        <v>1</v>
      </c>
      <c r="X77" s="137">
        <v>66320</v>
      </c>
      <c r="Y77" s="137">
        <v>12000</v>
      </c>
      <c r="Z77" s="188">
        <f t="shared" si="45"/>
        <v>3070.9002013214881</v>
      </c>
      <c r="AA77" s="188">
        <f>IF(IF(sym!$Q66=H77,1,0)=1,ABS(X77*G77),-ABS(X77*G77))</f>
        <v>-3070.9002013214881</v>
      </c>
      <c r="AB77" s="188">
        <f>IF(IF(sym!$P66=$H77,1,0)=1,ABS($X77*$G77),-ABS($X77*$G77))</f>
        <v>3070.9002013214881</v>
      </c>
      <c r="AC77" s="188">
        <f t="shared" si="61"/>
        <v>-3070.9002013214881</v>
      </c>
      <c r="AD77" s="188">
        <f t="shared" si="66"/>
        <v>3070.9002013214881</v>
      </c>
      <c r="AE77" s="188">
        <f t="shared" si="47"/>
        <v>3070.9002013214881</v>
      </c>
      <c r="AF77" s="188">
        <f t="shared" si="56"/>
        <v>-3070.9002013214881</v>
      </c>
      <c r="AG77" s="188">
        <f t="shared" si="57"/>
        <v>-3070.9002013214881</v>
      </c>
      <c r="AH77" s="188">
        <f t="shared" si="58"/>
        <v>3070.9002013214881</v>
      </c>
      <c r="AI77" s="188">
        <f t="shared" si="59"/>
        <v>-3070.9002013214881</v>
      </c>
      <c r="AJ77" s="188">
        <f t="shared" si="60"/>
        <v>-3070.9002013214881</v>
      </c>
      <c r="AK77" s="188">
        <f t="shared" si="48"/>
        <v>-3070.9002013214881</v>
      </c>
      <c r="AL77" s="188">
        <f t="shared" si="49"/>
        <v>3070.9002013214881</v>
      </c>
      <c r="AM77" s="188">
        <f t="shared" si="50"/>
        <v>-3070.9002013214881</v>
      </c>
      <c r="AN77" s="188">
        <f t="shared" si="67"/>
        <v>-3070.9002013214881</v>
      </c>
      <c r="AO77" s="188">
        <f t="shared" si="68"/>
        <v>3070.9002013214881</v>
      </c>
      <c r="AP77" s="188">
        <f t="shared" si="69"/>
        <v>3070.9002013214881</v>
      </c>
    </row>
    <row r="78" spans="1:42" ht="15.75" thickBot="1" x14ac:dyDescent="0.3">
      <c r="A78" s="1" t="s">
        <v>868</v>
      </c>
      <c r="B78" s="149" t="s">
        <v>746</v>
      </c>
      <c r="C78" s="192" t="s">
        <v>294</v>
      </c>
      <c r="E78" s="201">
        <v>1</v>
      </c>
      <c r="F78" s="186">
        <f t="shared" ref="F78:F92" si="70">G78*X78</f>
        <v>0</v>
      </c>
      <c r="G78" s="202"/>
      <c r="H78" s="202">
        <v>1</v>
      </c>
      <c r="I78" s="227">
        <v>1</v>
      </c>
      <c r="J78" s="227">
        <v>1</v>
      </c>
      <c r="K78" s="227">
        <v>1</v>
      </c>
      <c r="L78" s="202">
        <v>1</v>
      </c>
      <c r="M78" s="228">
        <v>-20</v>
      </c>
      <c r="N78" s="288"/>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251951.6728624535</v>
      </c>
      <c r="Y78" s="137">
        <v>26336.136177194425</v>
      </c>
      <c r="Z78" s="188">
        <f t="shared" ref="Z78:Z92" si="76">ABS(X78*G78)</f>
        <v>0</v>
      </c>
      <c r="AA78" s="188">
        <f>IF(IF(sym!$Q67=H78,1,0)=1,ABS(X78*G78),-ABS(X78*G78))</f>
        <v>0</v>
      </c>
      <c r="AB78" s="188">
        <f>IF(IF(sym!$P67=$H78,1,0)=1,ABS($X78*$G78),-ABS($X78*$G78))</f>
        <v>0</v>
      </c>
      <c r="AC78" s="188">
        <f t="shared" si="61"/>
        <v>0</v>
      </c>
      <c r="AD78" s="188">
        <f t="shared" ref="AD78:AD92" si="77">IF(IF(-E78=H78,1,0)=1,ABS(X78*G78),-ABS(X78*G78))</f>
        <v>0</v>
      </c>
      <c r="AE78" s="188">
        <f t="shared" ref="AE78:AE92" si="78">IF(IF(J78=H78,1,0)=1,ABS(X78*G78),-ABS(X78*G78))</f>
        <v>0</v>
      </c>
      <c r="AF78" s="188">
        <f t="shared" si="56"/>
        <v>0</v>
      </c>
      <c r="AG78" s="188">
        <f t="shared" si="57"/>
        <v>0</v>
      </c>
      <c r="AH78" s="188">
        <f t="shared" si="58"/>
        <v>0</v>
      </c>
      <c r="AI78" s="188">
        <f t="shared" si="59"/>
        <v>0</v>
      </c>
      <c r="AJ78" s="188">
        <f t="shared" si="60"/>
        <v>0</v>
      </c>
      <c r="AK78" s="188">
        <f t="shared" ref="AK78:AK92" si="79">IF(IF(P78=H78,1,0)=1,ABS(X78*G78),-ABS(X78*G78))</f>
        <v>0</v>
      </c>
      <c r="AL78" s="188">
        <f t="shared" ref="AL78:AL92" si="80">IF(IF(H78=Q78,1,0)=1,ABS(X78*G78),-ABS(X78*G78))</f>
        <v>0</v>
      </c>
      <c r="AM78" s="188">
        <f t="shared" ref="AM78:AM92" si="81">IF(IF(R78=H78,1,0)=1,ABS(X78*G78),-ABS(X78*G78))</f>
        <v>0</v>
      </c>
      <c r="AN78" s="188">
        <f t="shared" ref="AN78:AN92" si="82">IF(IF(S78=H78,1,0)=1,ABS(X78*G78),-ABS(X78*G78))</f>
        <v>0</v>
      </c>
      <c r="AO78" s="188">
        <f t="shared" ref="AO78:AO92" si="83">IF(IF(T78=$H78,1,0)=1,ABS($X78*$G78),-ABS($X78*$G78))</f>
        <v>0</v>
      </c>
      <c r="AP78" s="188">
        <f t="shared" ref="AP78:AP92" si="84">IF(IF(U78=$H78,1,0)=1,ABS($X78*$G78),-ABS($X78*$G78))</f>
        <v>0</v>
      </c>
    </row>
    <row r="79" spans="1:42" ht="15.75" thickBot="1" x14ac:dyDescent="0.3">
      <c r="A79" s="1" t="s">
        <v>403</v>
      </c>
      <c r="B79" s="149" t="s">
        <v>681</v>
      </c>
      <c r="C79" s="192" t="s">
        <v>294</v>
      </c>
      <c r="E79" s="201">
        <v>-1</v>
      </c>
      <c r="F79" s="186">
        <f t="shared" si="70"/>
        <v>2265.6759409770984</v>
      </c>
      <c r="G79" s="202">
        <v>1.2001920307200001E-2</v>
      </c>
      <c r="H79" s="202">
        <v>1</v>
      </c>
      <c r="I79" s="227">
        <v>-1</v>
      </c>
      <c r="J79" s="227">
        <v>-1</v>
      </c>
      <c r="K79" s="227">
        <v>-1</v>
      </c>
      <c r="L79" s="202">
        <v>-1</v>
      </c>
      <c r="M79" s="228">
        <v>-11</v>
      </c>
      <c r="N79" s="288"/>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188776.11940298506</v>
      </c>
      <c r="Y79" s="137">
        <v>6246.24</v>
      </c>
      <c r="Z79" s="188">
        <f t="shared" si="76"/>
        <v>2265.6759409770984</v>
      </c>
      <c r="AA79" s="188">
        <f>IF(IF(sym!$Q68=H79,1,0)=1,ABS(X79*G79),-ABS(X79*G79))</f>
        <v>2265.6759409770984</v>
      </c>
      <c r="AB79" s="188">
        <f>IF(IF(sym!$P68=$H79,1,0)=1,ABS($X79*$G79),-ABS($X79*$G79))</f>
        <v>-2265.6759409770984</v>
      </c>
      <c r="AC79" s="188">
        <f t="shared" si="61"/>
        <v>-2265.6759409770984</v>
      </c>
      <c r="AD79" s="188">
        <f t="shared" si="77"/>
        <v>2265.6759409770984</v>
      </c>
      <c r="AE79" s="188">
        <f t="shared" si="78"/>
        <v>-2265.6759409770984</v>
      </c>
      <c r="AF79" s="188">
        <f t="shared" ref="AF79:AF92" si="87">IF(IF(I79=H79,1,0)=1,ABS(X79*G79),-ABS(X79*G79))</f>
        <v>-2265.6759409770984</v>
      </c>
      <c r="AG79" s="188">
        <f t="shared" ref="AG79:AG92" si="88">IF(IF(K79=H79,1,0)=1,ABS(X79*G79),-ABS(X79*G79))</f>
        <v>-2265.6759409770984</v>
      </c>
      <c r="AH79" s="188">
        <f t="shared" ref="AH79:AH92" si="89">IF(IF(L79=H79,1,0)=1,ABS(X79*G79),-ABS(X79*G79))</f>
        <v>-2265.6759409770984</v>
      </c>
      <c r="AI79" s="188">
        <f t="shared" ref="AI79:AI92" si="90">IF(IF(-L79=H79,1,0)=1,ABS(X79*G79),-ABS(X79*G79))</f>
        <v>2265.6759409770984</v>
      </c>
      <c r="AJ79" s="188">
        <f t="shared" ref="AJ79:AJ92" si="91">IF(IF(O79=H79,1,0)=1,ABS(X79*G79),-ABS(X79*G79))</f>
        <v>2265.6759409770984</v>
      </c>
      <c r="AK79" s="188">
        <f t="shared" si="79"/>
        <v>-2265.6759409770984</v>
      </c>
      <c r="AL79" s="188">
        <f t="shared" si="80"/>
        <v>2265.6759409770984</v>
      </c>
      <c r="AM79" s="188">
        <f t="shared" si="81"/>
        <v>2265.6759409770984</v>
      </c>
      <c r="AN79" s="188">
        <f t="shared" si="82"/>
        <v>2265.6759409770984</v>
      </c>
      <c r="AO79" s="188">
        <f t="shared" si="83"/>
        <v>-2265.6759409770984</v>
      </c>
      <c r="AP79" s="188">
        <f t="shared" si="84"/>
        <v>2265.6759409770984</v>
      </c>
    </row>
    <row r="80" spans="1:42" ht="15.75" thickBot="1" x14ac:dyDescent="0.3">
      <c r="A80" s="1" t="s">
        <v>405</v>
      </c>
      <c r="B80" s="149" t="s">
        <v>686</v>
      </c>
      <c r="C80" s="192" t="s">
        <v>294</v>
      </c>
      <c r="E80" s="201">
        <v>-1</v>
      </c>
      <c r="F80" s="186">
        <f t="shared" si="70"/>
        <v>2795.4340642839602</v>
      </c>
      <c r="G80" s="202">
        <v>1.6521477921300001E-2</v>
      </c>
      <c r="H80" s="202">
        <v>1</v>
      </c>
      <c r="I80" s="227">
        <v>-1</v>
      </c>
      <c r="J80" s="227">
        <v>-1</v>
      </c>
      <c r="K80" s="227">
        <v>1</v>
      </c>
      <c r="L80" s="202">
        <v>-1</v>
      </c>
      <c r="M80" s="228">
        <v>-11</v>
      </c>
      <c r="N80" s="288"/>
      <c r="O80">
        <f t="shared" si="71"/>
        <v>1</v>
      </c>
      <c r="P80">
        <f t="shared" si="85"/>
        <v>1</v>
      </c>
      <c r="Q80">
        <f t="shared" si="72"/>
        <v>1</v>
      </c>
      <c r="R80">
        <f t="shared" si="73"/>
        <v>1</v>
      </c>
      <c r="S80">
        <f t="shared" si="74"/>
        <v>1</v>
      </c>
      <c r="T80">
        <f t="shared" si="75"/>
        <v>-1</v>
      </c>
      <c r="U80">
        <f t="shared" si="86"/>
        <v>1</v>
      </c>
      <c r="V80">
        <f>VLOOKUP($A80,'FuturesInfo (3)'!$A$2:$V$80,22)</f>
        <v>6</v>
      </c>
      <c r="W80">
        <v>1</v>
      </c>
      <c r="X80" s="137">
        <v>169200</v>
      </c>
      <c r="Y80" s="137">
        <v>11250</v>
      </c>
      <c r="Z80" s="188">
        <f t="shared" si="76"/>
        <v>2795.4340642839602</v>
      </c>
      <c r="AA80" s="188">
        <f>IF(IF(sym!$Q69=H80,1,0)=1,ABS(X80*G80),-ABS(X80*G80))</f>
        <v>2795.4340642839602</v>
      </c>
      <c r="AB80" s="188">
        <f>IF(IF(sym!$P69=$H80,1,0)=1,ABS($X80*$G80),-ABS($X80*$G80))</f>
        <v>-2795.4340642839602</v>
      </c>
      <c r="AC80" s="188">
        <f t="shared" ref="AC80:AC92" si="92">IF(IF(E80=H80,1,0)=1,ABS(X80*G80),-ABS(X80*G80))</f>
        <v>-2795.4340642839602</v>
      </c>
      <c r="AD80" s="188">
        <f t="shared" si="77"/>
        <v>2795.4340642839602</v>
      </c>
      <c r="AE80" s="188">
        <f t="shared" si="78"/>
        <v>-2795.4340642839602</v>
      </c>
      <c r="AF80" s="188">
        <f t="shared" si="87"/>
        <v>-2795.4340642839602</v>
      </c>
      <c r="AG80" s="188">
        <f t="shared" si="88"/>
        <v>2795.4340642839602</v>
      </c>
      <c r="AH80" s="188">
        <f t="shared" si="89"/>
        <v>-2795.4340642839602</v>
      </c>
      <c r="AI80" s="188">
        <f t="shared" si="90"/>
        <v>2795.4340642839602</v>
      </c>
      <c r="AJ80" s="188">
        <f t="shared" si="91"/>
        <v>2795.4340642839602</v>
      </c>
      <c r="AK80" s="188">
        <f t="shared" si="79"/>
        <v>2795.4340642839602</v>
      </c>
      <c r="AL80" s="188">
        <f t="shared" si="80"/>
        <v>2795.4340642839602</v>
      </c>
      <c r="AM80" s="188">
        <f t="shared" si="81"/>
        <v>2795.4340642839602</v>
      </c>
      <c r="AN80" s="188">
        <f t="shared" si="82"/>
        <v>2795.4340642839602</v>
      </c>
      <c r="AO80" s="188">
        <f t="shared" si="83"/>
        <v>-2795.4340642839602</v>
      </c>
      <c r="AP80" s="188">
        <f t="shared" si="84"/>
        <v>2795.4340642839602</v>
      </c>
    </row>
    <row r="81" spans="1:42" ht="15.75" thickBot="1" x14ac:dyDescent="0.3">
      <c r="A81" s="1" t="s">
        <v>408</v>
      </c>
      <c r="B81" s="149" t="s">
        <v>527</v>
      </c>
      <c r="C81" s="192" t="s">
        <v>294</v>
      </c>
      <c r="D81" s="2"/>
      <c r="E81" s="201">
        <v>1</v>
      </c>
      <c r="F81" s="186">
        <f t="shared" si="70"/>
        <v>-710.34535434065583</v>
      </c>
      <c r="G81" s="202">
        <v>-5.3637277908100004E-3</v>
      </c>
      <c r="H81" s="202">
        <v>-1</v>
      </c>
      <c r="I81" s="227">
        <v>1</v>
      </c>
      <c r="J81" s="227">
        <v>1</v>
      </c>
      <c r="K81" s="227">
        <v>1</v>
      </c>
      <c r="L81" s="202">
        <v>-1</v>
      </c>
      <c r="M81" s="228">
        <v>4</v>
      </c>
      <c r="N81" s="288"/>
      <c r="O81">
        <f t="shared" si="71"/>
        <v>-1</v>
      </c>
      <c r="P81">
        <f t="shared" si="85"/>
        <v>1</v>
      </c>
      <c r="Q81">
        <f t="shared" si="72"/>
        <v>-1</v>
      </c>
      <c r="R81">
        <f t="shared" si="73"/>
        <v>1</v>
      </c>
      <c r="S81">
        <f t="shared" si="74"/>
        <v>1</v>
      </c>
      <c r="T81">
        <f t="shared" si="75"/>
        <v>1</v>
      </c>
      <c r="U81">
        <f t="shared" si="86"/>
        <v>1</v>
      </c>
      <c r="V81">
        <f>VLOOKUP($A81,'FuturesInfo (3)'!$A$2:$V$80,22)</f>
        <v>5</v>
      </c>
      <c r="W81">
        <v>1</v>
      </c>
      <c r="X81" s="137">
        <v>132435.01199999999</v>
      </c>
      <c r="Y81" s="137">
        <v>16205.199999999997</v>
      </c>
      <c r="Z81" s="188">
        <f t="shared" si="76"/>
        <v>710.34535434065583</v>
      </c>
      <c r="AA81" s="188">
        <f>IF(IF(sym!$Q70=H81,1,0)=1,ABS(X81*G81),-ABS(X81*G81))</f>
        <v>-710.34535434065583</v>
      </c>
      <c r="AB81" s="188">
        <f>IF(IF(sym!$P70=$H81,1,0)=1,ABS($X81*$G81),-ABS($X81*$G81))</f>
        <v>710.34535434065583</v>
      </c>
      <c r="AC81" s="188">
        <f t="shared" si="92"/>
        <v>-710.34535434065583</v>
      </c>
      <c r="AD81" s="188">
        <f t="shared" si="77"/>
        <v>710.34535434065583</v>
      </c>
      <c r="AE81" s="188">
        <f t="shared" si="78"/>
        <v>-710.34535434065583</v>
      </c>
      <c r="AF81" s="188">
        <f t="shared" si="87"/>
        <v>-710.34535434065583</v>
      </c>
      <c r="AG81" s="188">
        <f t="shared" si="88"/>
        <v>-710.34535434065583</v>
      </c>
      <c r="AH81" s="188">
        <f t="shared" si="89"/>
        <v>710.34535434065583</v>
      </c>
      <c r="AI81" s="188">
        <f t="shared" si="90"/>
        <v>-710.34535434065583</v>
      </c>
      <c r="AJ81" s="188">
        <f t="shared" si="91"/>
        <v>710.34535434065583</v>
      </c>
      <c r="AK81" s="188">
        <f t="shared" si="79"/>
        <v>-710.34535434065583</v>
      </c>
      <c r="AL81" s="188">
        <f t="shared" si="80"/>
        <v>710.34535434065583</v>
      </c>
      <c r="AM81" s="188">
        <f t="shared" si="81"/>
        <v>-710.34535434065583</v>
      </c>
      <c r="AN81" s="188">
        <f t="shared" si="82"/>
        <v>-710.34535434065583</v>
      </c>
      <c r="AO81" s="188">
        <f t="shared" si="83"/>
        <v>-710.34535434065583</v>
      </c>
      <c r="AP81" s="188">
        <f t="shared" si="84"/>
        <v>-710.34535434065583</v>
      </c>
    </row>
    <row r="82" spans="1:42" ht="15.75" thickBot="1" x14ac:dyDescent="0.3">
      <c r="A82" s="1" t="s">
        <v>410</v>
      </c>
      <c r="B82" s="149" t="s">
        <v>556</v>
      </c>
      <c r="C82" s="192" t="s">
        <v>294</v>
      </c>
      <c r="E82" s="201">
        <v>1</v>
      </c>
      <c r="F82" s="186">
        <f t="shared" si="70"/>
        <v>80.026294165973539</v>
      </c>
      <c r="G82" s="202">
        <v>3.2867707477400002E-4</v>
      </c>
      <c r="H82" s="202">
        <v>1</v>
      </c>
      <c r="I82" s="227">
        <v>1</v>
      </c>
      <c r="J82" s="227">
        <v>-1</v>
      </c>
      <c r="K82" s="227">
        <v>1</v>
      </c>
      <c r="L82" s="202">
        <v>-1</v>
      </c>
      <c r="M82" s="228">
        <v>-17</v>
      </c>
      <c r="N82" s="288"/>
      <c r="O82">
        <f t="shared" si="71"/>
        <v>1</v>
      </c>
      <c r="P82">
        <f t="shared" si="85"/>
        <v>1</v>
      </c>
      <c r="Q82">
        <f t="shared" si="72"/>
        <v>-1</v>
      </c>
      <c r="R82">
        <f t="shared" si="73"/>
        <v>1</v>
      </c>
      <c r="S82">
        <f t="shared" si="74"/>
        <v>1</v>
      </c>
      <c r="T82">
        <f t="shared" si="75"/>
        <v>-1</v>
      </c>
      <c r="U82">
        <f t="shared" si="86"/>
        <v>-1</v>
      </c>
      <c r="V82">
        <f>VLOOKUP($A82,'FuturesInfo (3)'!$A$2:$V$80,22)</f>
        <v>2</v>
      </c>
      <c r="W82">
        <v>1</v>
      </c>
      <c r="X82" s="137">
        <v>243480.00000000003</v>
      </c>
      <c r="Y82" s="137">
        <v>13500</v>
      </c>
      <c r="Z82" s="188">
        <f t="shared" si="76"/>
        <v>80.026294165973539</v>
      </c>
      <c r="AA82" s="188">
        <f>IF(IF(sym!$Q71=H82,1,0)=1,ABS(X82*G82),-ABS(X82*G82))</f>
        <v>80.026294165973539</v>
      </c>
      <c r="AB82" s="188">
        <f>IF(IF(sym!$P71=$H82,1,0)=1,ABS($X82*$G82),-ABS($X82*$G82))</f>
        <v>-80.026294165973539</v>
      </c>
      <c r="AC82" s="188">
        <f t="shared" si="92"/>
        <v>80.026294165973539</v>
      </c>
      <c r="AD82" s="188">
        <f t="shared" si="77"/>
        <v>-80.026294165973539</v>
      </c>
      <c r="AE82" s="188">
        <f t="shared" si="78"/>
        <v>-80.026294165973539</v>
      </c>
      <c r="AF82" s="188">
        <f t="shared" si="87"/>
        <v>80.026294165973539</v>
      </c>
      <c r="AG82" s="188">
        <f t="shared" si="88"/>
        <v>80.026294165973539</v>
      </c>
      <c r="AH82" s="188">
        <f t="shared" si="89"/>
        <v>-80.026294165973539</v>
      </c>
      <c r="AI82" s="188">
        <f t="shared" si="90"/>
        <v>80.026294165973539</v>
      </c>
      <c r="AJ82" s="188">
        <f t="shared" si="91"/>
        <v>80.026294165973539</v>
      </c>
      <c r="AK82" s="188">
        <f t="shared" si="79"/>
        <v>80.026294165973539</v>
      </c>
      <c r="AL82" s="188">
        <f t="shared" si="80"/>
        <v>-80.026294165973539</v>
      </c>
      <c r="AM82" s="188">
        <f t="shared" si="81"/>
        <v>80.026294165973539</v>
      </c>
      <c r="AN82" s="188">
        <f t="shared" si="82"/>
        <v>80.026294165973539</v>
      </c>
      <c r="AO82" s="188">
        <f t="shared" si="83"/>
        <v>-80.026294165973539</v>
      </c>
      <c r="AP82" s="188">
        <f t="shared" si="84"/>
        <v>-80.026294165973539</v>
      </c>
    </row>
    <row r="83" spans="1:42" ht="15.75" thickBot="1" x14ac:dyDescent="0.3">
      <c r="A83" s="1" t="s">
        <v>412</v>
      </c>
      <c r="B83" s="149" t="s">
        <v>763</v>
      </c>
      <c r="C83" s="192" t="s">
        <v>1122</v>
      </c>
      <c r="E83" s="201">
        <v>1</v>
      </c>
      <c r="F83" s="186">
        <f t="shared" si="70"/>
        <v>-780.97130065562305</v>
      </c>
      <c r="G83" s="202">
        <v>-3.5673515981700003E-4</v>
      </c>
      <c r="H83" s="202">
        <v>-1</v>
      </c>
      <c r="I83" s="227">
        <v>1</v>
      </c>
      <c r="J83" s="227">
        <v>1</v>
      </c>
      <c r="K83" s="227">
        <v>1</v>
      </c>
      <c r="L83" s="202">
        <v>1</v>
      </c>
      <c r="M83" s="228">
        <v>4</v>
      </c>
      <c r="N83" s="288"/>
      <c r="O83">
        <f t="shared" si="71"/>
        <v>1</v>
      </c>
      <c r="P83">
        <f t="shared" si="85"/>
        <v>1</v>
      </c>
      <c r="Q83">
        <f t="shared" si="72"/>
        <v>1</v>
      </c>
      <c r="R83">
        <f t="shared" si="73"/>
        <v>-1</v>
      </c>
      <c r="S83">
        <f t="shared" si="74"/>
        <v>1</v>
      </c>
      <c r="T83">
        <f t="shared" si="75"/>
        <v>-1</v>
      </c>
      <c r="U83">
        <f t="shared" si="86"/>
        <v>-1</v>
      </c>
      <c r="V83">
        <f>VLOOKUP($A83,'FuturesInfo (3)'!$A$2:$V$80,22)</f>
        <v>11</v>
      </c>
      <c r="W83">
        <v>1</v>
      </c>
      <c r="X83" s="137">
        <v>2189218.75</v>
      </c>
      <c r="Y83" s="137">
        <v>8244</v>
      </c>
      <c r="Z83" s="188">
        <f t="shared" si="76"/>
        <v>780.97130065562305</v>
      </c>
      <c r="AA83" s="188">
        <f>IF(IF(sym!$Q72=H83,1,0)=1,ABS(X83*G83),-ABS(X83*G83))</f>
        <v>780.97130065562305</v>
      </c>
      <c r="AB83" s="188">
        <f>IF(IF(sym!$P72=$H83,1,0)=1,ABS($X83*$G83),-ABS($X83*$G83))</f>
        <v>-780.97130065562305</v>
      </c>
      <c r="AC83" s="188">
        <f t="shared" si="92"/>
        <v>-780.97130065562305</v>
      </c>
      <c r="AD83" s="188">
        <f t="shared" si="77"/>
        <v>780.97130065562305</v>
      </c>
      <c r="AE83" s="188">
        <f t="shared" si="78"/>
        <v>-780.97130065562305</v>
      </c>
      <c r="AF83" s="188">
        <f t="shared" si="87"/>
        <v>-780.97130065562305</v>
      </c>
      <c r="AG83" s="188">
        <f t="shared" si="88"/>
        <v>-780.97130065562305</v>
      </c>
      <c r="AH83" s="188">
        <f t="shared" si="89"/>
        <v>-780.97130065562305</v>
      </c>
      <c r="AI83" s="188">
        <f t="shared" si="90"/>
        <v>780.97130065562305</v>
      </c>
      <c r="AJ83" s="188">
        <f t="shared" si="91"/>
        <v>-780.97130065562305</v>
      </c>
      <c r="AK83" s="188">
        <f t="shared" si="79"/>
        <v>-780.97130065562305</v>
      </c>
      <c r="AL83" s="188">
        <f t="shared" si="80"/>
        <v>-780.97130065562305</v>
      </c>
      <c r="AM83" s="188">
        <f t="shared" si="81"/>
        <v>780.97130065562305</v>
      </c>
      <c r="AN83" s="188">
        <f t="shared" si="82"/>
        <v>-780.97130065562305</v>
      </c>
      <c r="AO83" s="188">
        <f t="shared" si="83"/>
        <v>780.97130065562305</v>
      </c>
      <c r="AP83" s="188">
        <f t="shared" si="84"/>
        <v>780.97130065562305</v>
      </c>
    </row>
    <row r="84" spans="1:42" ht="15.75" thickBot="1" x14ac:dyDescent="0.3">
      <c r="A84" s="1" t="s">
        <v>413</v>
      </c>
      <c r="B84" s="149" t="s">
        <v>761</v>
      </c>
      <c r="C84" s="192" t="s">
        <v>1122</v>
      </c>
      <c r="E84" s="201">
        <v>1</v>
      </c>
      <c r="F84" s="186">
        <f t="shared" si="70"/>
        <v>-998.12096300602877</v>
      </c>
      <c r="G84" s="202">
        <v>-1.87903699354E-3</v>
      </c>
      <c r="H84" s="202">
        <v>-1</v>
      </c>
      <c r="I84" s="227">
        <v>-1</v>
      </c>
      <c r="J84" s="227">
        <v>-1</v>
      </c>
      <c r="K84" s="227">
        <v>-1</v>
      </c>
      <c r="L84" s="202">
        <v>1</v>
      </c>
      <c r="M84" s="228">
        <v>10</v>
      </c>
      <c r="N84" s="288"/>
      <c r="O84">
        <f t="shared" si="71"/>
        <v>1</v>
      </c>
      <c r="P84">
        <f t="shared" si="85"/>
        <v>-1</v>
      </c>
      <c r="Q84">
        <f t="shared" si="72"/>
        <v>-1</v>
      </c>
      <c r="R84">
        <f t="shared" si="73"/>
        <v>-1</v>
      </c>
      <c r="S84">
        <f t="shared" si="74"/>
        <v>-1</v>
      </c>
      <c r="T84">
        <f t="shared" si="75"/>
        <v>1</v>
      </c>
      <c r="U84">
        <f t="shared" si="86"/>
        <v>-1</v>
      </c>
      <c r="V84">
        <f>VLOOKUP($A84,'FuturesInfo (3)'!$A$2:$V$80,22)</f>
        <v>4</v>
      </c>
      <c r="W84">
        <v>1</v>
      </c>
      <c r="X84" s="137">
        <v>531187.5</v>
      </c>
      <c r="Y84" s="137">
        <v>6248</v>
      </c>
      <c r="Z84" s="188">
        <f t="shared" si="76"/>
        <v>998.12096300602877</v>
      </c>
      <c r="AA84" s="188">
        <f>IF(IF(sym!$Q73=H84,1,0)=1,ABS(X84*G84),-ABS(X84*G84))</f>
        <v>998.12096300602877</v>
      </c>
      <c r="AB84" s="188">
        <f>IF(IF(sym!$P73=$H84,1,0)=1,ABS($X84*$G84),-ABS($X84*$G84))</f>
        <v>-998.12096300602877</v>
      </c>
      <c r="AC84" s="188">
        <f t="shared" si="92"/>
        <v>-998.12096300602877</v>
      </c>
      <c r="AD84" s="188">
        <f t="shared" si="77"/>
        <v>998.12096300602877</v>
      </c>
      <c r="AE84" s="188">
        <f t="shared" si="78"/>
        <v>998.12096300602877</v>
      </c>
      <c r="AF84" s="188">
        <f t="shared" si="87"/>
        <v>998.12096300602877</v>
      </c>
      <c r="AG84" s="188">
        <f t="shared" si="88"/>
        <v>998.12096300602877</v>
      </c>
      <c r="AH84" s="188">
        <f t="shared" si="89"/>
        <v>-998.12096300602877</v>
      </c>
      <c r="AI84" s="188">
        <f t="shared" si="90"/>
        <v>998.12096300602877</v>
      </c>
      <c r="AJ84" s="188">
        <f t="shared" si="91"/>
        <v>-998.12096300602877</v>
      </c>
      <c r="AK84" s="188">
        <f t="shared" si="79"/>
        <v>998.12096300602877</v>
      </c>
      <c r="AL84" s="188">
        <f t="shared" si="80"/>
        <v>998.12096300602877</v>
      </c>
      <c r="AM84" s="188">
        <f t="shared" si="81"/>
        <v>998.12096300602877</v>
      </c>
      <c r="AN84" s="188">
        <f t="shared" si="82"/>
        <v>998.12096300602877</v>
      </c>
      <c r="AO84" s="188">
        <f t="shared" si="83"/>
        <v>-998.12096300602877</v>
      </c>
      <c r="AP84" s="188">
        <f t="shared" si="84"/>
        <v>998.12096300602877</v>
      </c>
    </row>
    <row r="85" spans="1:42" ht="15.75" thickBot="1" x14ac:dyDescent="0.3">
      <c r="A85" s="1" t="s">
        <v>414</v>
      </c>
      <c r="B85" s="149" t="s">
        <v>759</v>
      </c>
      <c r="C85" s="192" t="s">
        <v>1122</v>
      </c>
      <c r="E85" s="201">
        <v>1</v>
      </c>
      <c r="F85" s="186">
        <f t="shared" si="70"/>
        <v>-1679.3376030106156</v>
      </c>
      <c r="G85" s="202">
        <v>-4.83697599427E-3</v>
      </c>
      <c r="H85" s="202">
        <v>-1</v>
      </c>
      <c r="I85" s="227">
        <v>-1</v>
      </c>
      <c r="J85" s="227">
        <v>-1</v>
      </c>
      <c r="K85" s="227">
        <v>1</v>
      </c>
      <c r="L85" s="202">
        <v>1</v>
      </c>
      <c r="M85" s="228">
        <v>7</v>
      </c>
      <c r="N85" s="288"/>
      <c r="O85">
        <f t="shared" si="71"/>
        <v>1</v>
      </c>
      <c r="P85">
        <f t="shared" si="85"/>
        <v>1</v>
      </c>
      <c r="Q85">
        <f t="shared" si="72"/>
        <v>-1</v>
      </c>
      <c r="R85">
        <f t="shared" si="73"/>
        <v>-1</v>
      </c>
      <c r="S85">
        <f t="shared" si="74"/>
        <v>-1</v>
      </c>
      <c r="T85">
        <f t="shared" si="75"/>
        <v>-1</v>
      </c>
      <c r="U85">
        <f t="shared" si="86"/>
        <v>-1</v>
      </c>
      <c r="V85">
        <f>VLOOKUP($A85,'FuturesInfo (3)'!$A$2:$V$80,22)</f>
        <v>2</v>
      </c>
      <c r="W85">
        <v>1</v>
      </c>
      <c r="X85" s="137">
        <v>347187.5</v>
      </c>
      <c r="Y85" s="137">
        <v>9124</v>
      </c>
      <c r="Z85" s="188">
        <f t="shared" si="76"/>
        <v>1679.3376030106156</v>
      </c>
      <c r="AA85" s="188">
        <f>IF(IF(sym!$Q74=H85,1,0)=1,ABS(X85*G85),-ABS(X85*G85))</f>
        <v>1679.3376030106156</v>
      </c>
      <c r="AB85" s="188">
        <f>IF(IF(sym!$P74=$H85,1,0)=1,ABS($X85*$G85),-ABS($X85*$G85))</f>
        <v>-1679.3376030106156</v>
      </c>
      <c r="AC85" s="188">
        <f t="shared" si="92"/>
        <v>-1679.3376030106156</v>
      </c>
      <c r="AD85" s="188">
        <f t="shared" si="77"/>
        <v>1679.3376030106156</v>
      </c>
      <c r="AE85" s="188">
        <f t="shared" si="78"/>
        <v>1679.3376030106156</v>
      </c>
      <c r="AF85" s="188">
        <f t="shared" si="87"/>
        <v>1679.3376030106156</v>
      </c>
      <c r="AG85" s="188">
        <f t="shared" si="88"/>
        <v>-1679.3376030106156</v>
      </c>
      <c r="AH85" s="188">
        <f t="shared" si="89"/>
        <v>-1679.3376030106156</v>
      </c>
      <c r="AI85" s="188">
        <f t="shared" si="90"/>
        <v>1679.3376030106156</v>
      </c>
      <c r="AJ85" s="188">
        <f t="shared" si="91"/>
        <v>-1679.3376030106156</v>
      </c>
      <c r="AK85" s="188">
        <f t="shared" si="79"/>
        <v>-1679.3376030106156</v>
      </c>
      <c r="AL85" s="188">
        <f t="shared" si="80"/>
        <v>1679.3376030106156</v>
      </c>
      <c r="AM85" s="188">
        <f t="shared" si="81"/>
        <v>1679.3376030106156</v>
      </c>
      <c r="AN85" s="188">
        <f t="shared" si="82"/>
        <v>1679.3376030106156</v>
      </c>
      <c r="AO85" s="188">
        <f t="shared" si="83"/>
        <v>1679.3376030106156</v>
      </c>
      <c r="AP85" s="188">
        <f t="shared" si="84"/>
        <v>1679.3376030106156</v>
      </c>
    </row>
    <row r="86" spans="1:42" ht="15.75" thickBot="1" x14ac:dyDescent="0.3">
      <c r="A86" s="1" t="s">
        <v>416</v>
      </c>
      <c r="B86" s="149" t="s">
        <v>494</v>
      </c>
      <c r="C86" s="192" t="s">
        <v>294</v>
      </c>
      <c r="E86" s="201">
        <v>-1</v>
      </c>
      <c r="F86" s="186">
        <f t="shared" si="70"/>
        <v>-591.32007233208753</v>
      </c>
      <c r="G86" s="202">
        <v>-1.44665461121E-2</v>
      </c>
      <c r="H86" s="202">
        <v>-1</v>
      </c>
      <c r="I86" s="227">
        <v>-1</v>
      </c>
      <c r="J86" s="227">
        <v>1</v>
      </c>
      <c r="K86" s="227">
        <v>-1</v>
      </c>
      <c r="L86" s="202">
        <v>1</v>
      </c>
      <c r="M86" s="228">
        <v>-5</v>
      </c>
      <c r="N86" s="288"/>
      <c r="O86">
        <f t="shared" si="71"/>
        <v>-1</v>
      </c>
      <c r="P86">
        <f t="shared" si="85"/>
        <v>-1</v>
      </c>
      <c r="Q86">
        <f t="shared" si="72"/>
        <v>1</v>
      </c>
      <c r="R86">
        <f t="shared" si="73"/>
        <v>-1</v>
      </c>
      <c r="S86">
        <f t="shared" si="74"/>
        <v>-1</v>
      </c>
      <c r="T86">
        <f t="shared" si="75"/>
        <v>1</v>
      </c>
      <c r="U86">
        <f t="shared" si="86"/>
        <v>1</v>
      </c>
      <c r="V86">
        <f>VLOOKUP($A86,'FuturesInfo (3)'!$A$2:$V$80,22)</f>
        <v>3</v>
      </c>
      <c r="W86">
        <v>1</v>
      </c>
      <c r="X86" s="137">
        <v>40875</v>
      </c>
      <c r="Y86" s="137">
        <v>26148</v>
      </c>
      <c r="Z86" s="188">
        <f t="shared" si="76"/>
        <v>591.32007233208753</v>
      </c>
      <c r="AA86" s="188">
        <f>IF(IF(sym!$Q75=H86,1,0)=1,ABS(X86*G86),-ABS(X86*G86))</f>
        <v>591.32007233208753</v>
      </c>
      <c r="AB86" s="188">
        <f>IF(IF(sym!$P75=$H86,1,0)=1,ABS($X86*$G86),-ABS($X86*$G86))</f>
        <v>-591.32007233208753</v>
      </c>
      <c r="AC86" s="188">
        <f t="shared" si="92"/>
        <v>591.32007233208753</v>
      </c>
      <c r="AD86" s="188">
        <f t="shared" si="77"/>
        <v>-591.32007233208753</v>
      </c>
      <c r="AE86" s="188">
        <f t="shared" si="78"/>
        <v>-591.32007233208753</v>
      </c>
      <c r="AF86" s="188">
        <f t="shared" si="87"/>
        <v>591.32007233208753</v>
      </c>
      <c r="AG86" s="188">
        <f t="shared" si="88"/>
        <v>591.32007233208753</v>
      </c>
      <c r="AH86" s="188">
        <f t="shared" si="89"/>
        <v>-591.32007233208753</v>
      </c>
      <c r="AI86" s="188">
        <f t="shared" si="90"/>
        <v>591.32007233208753</v>
      </c>
      <c r="AJ86" s="188">
        <f t="shared" si="91"/>
        <v>591.32007233208753</v>
      </c>
      <c r="AK86" s="188">
        <f t="shared" si="79"/>
        <v>591.32007233208753</v>
      </c>
      <c r="AL86" s="188">
        <f t="shared" si="80"/>
        <v>-591.32007233208753</v>
      </c>
      <c r="AM86" s="188">
        <f t="shared" si="81"/>
        <v>591.32007233208753</v>
      </c>
      <c r="AN86" s="188">
        <f t="shared" si="82"/>
        <v>591.32007233208753</v>
      </c>
      <c r="AO86" s="188">
        <f t="shared" si="83"/>
        <v>-591.32007233208753</v>
      </c>
      <c r="AP86" s="188">
        <f t="shared" si="84"/>
        <v>-591.32007233208753</v>
      </c>
    </row>
    <row r="87" spans="1:42" s="2" customFormat="1" ht="15.75" thickBot="1" x14ac:dyDescent="0.3">
      <c r="A87" s="1" t="s">
        <v>418</v>
      </c>
      <c r="B87" s="149" t="s">
        <v>767</v>
      </c>
      <c r="C87" s="192" t="s">
        <v>297</v>
      </c>
      <c r="D87"/>
      <c r="E87" s="201">
        <v>-1</v>
      </c>
      <c r="F87" s="186">
        <f t="shared" si="70"/>
        <v>-348.49785407707202</v>
      </c>
      <c r="G87" s="202">
        <v>-4.29184549356E-3</v>
      </c>
      <c r="H87" s="202">
        <v>-1</v>
      </c>
      <c r="I87" s="227">
        <v>-1</v>
      </c>
      <c r="J87" s="227">
        <v>-1</v>
      </c>
      <c r="K87" s="227">
        <v>-1</v>
      </c>
      <c r="L87" s="202">
        <v>1</v>
      </c>
      <c r="M87" s="228">
        <v>-1</v>
      </c>
      <c r="N87" s="288"/>
      <c r="O87">
        <f t="shared" si="71"/>
        <v>-1</v>
      </c>
      <c r="P87">
        <f t="shared" si="85"/>
        <v>-1</v>
      </c>
      <c r="Q87">
        <f t="shared" si="72"/>
        <v>-1</v>
      </c>
      <c r="R87">
        <f t="shared" si="73"/>
        <v>-1</v>
      </c>
      <c r="S87">
        <f t="shared" si="74"/>
        <v>-1</v>
      </c>
      <c r="T87">
        <f t="shared" si="75"/>
        <v>1</v>
      </c>
      <c r="U87">
        <f t="shared" si="86"/>
        <v>-1</v>
      </c>
      <c r="V87">
        <f>VLOOKUP($A87,'FuturesInfo (3)'!$A$2:$V$80,22)</f>
        <v>4</v>
      </c>
      <c r="W87">
        <v>1</v>
      </c>
      <c r="X87" s="137">
        <v>81200</v>
      </c>
      <c r="Y87" s="137">
        <v>14000</v>
      </c>
      <c r="Z87" s="188">
        <f t="shared" si="76"/>
        <v>348.49785407707202</v>
      </c>
      <c r="AA87" s="188">
        <f>IF(IF(sym!$Q76=H87,1,0)=1,ABS(X87*G87),-ABS(X87*G87))</f>
        <v>-348.49785407707202</v>
      </c>
      <c r="AB87" s="188">
        <f>IF(IF(sym!$P76=$H87,1,0)=1,ABS($X87*$G87),-ABS($X87*$G87))</f>
        <v>348.49785407707202</v>
      </c>
      <c r="AC87" s="188">
        <f t="shared" si="92"/>
        <v>348.49785407707202</v>
      </c>
      <c r="AD87" s="188">
        <f t="shared" si="77"/>
        <v>-348.49785407707202</v>
      </c>
      <c r="AE87" s="188">
        <f t="shared" si="78"/>
        <v>348.49785407707202</v>
      </c>
      <c r="AF87" s="188">
        <f t="shared" si="87"/>
        <v>348.49785407707202</v>
      </c>
      <c r="AG87" s="188">
        <f t="shared" si="88"/>
        <v>348.49785407707202</v>
      </c>
      <c r="AH87" s="188">
        <f t="shared" si="89"/>
        <v>-348.49785407707202</v>
      </c>
      <c r="AI87" s="188">
        <f t="shared" si="90"/>
        <v>348.49785407707202</v>
      </c>
      <c r="AJ87" s="188">
        <f t="shared" si="91"/>
        <v>348.49785407707202</v>
      </c>
      <c r="AK87" s="188">
        <f t="shared" si="79"/>
        <v>348.49785407707202</v>
      </c>
      <c r="AL87" s="188">
        <f t="shared" si="80"/>
        <v>348.49785407707202</v>
      </c>
      <c r="AM87" s="188">
        <f t="shared" si="81"/>
        <v>348.49785407707202</v>
      </c>
      <c r="AN87" s="188">
        <f t="shared" si="82"/>
        <v>348.49785407707202</v>
      </c>
      <c r="AO87" s="188">
        <f t="shared" si="83"/>
        <v>-348.49785407707202</v>
      </c>
      <c r="AP87" s="188">
        <f t="shared" si="84"/>
        <v>348.49785407707202</v>
      </c>
    </row>
    <row r="88" spans="1:42" s="2" customFormat="1" ht="15.75" thickBot="1" x14ac:dyDescent="0.3">
      <c r="A88" s="1" t="s">
        <v>1053</v>
      </c>
      <c r="B88" s="149" t="s">
        <v>738</v>
      </c>
      <c r="C88" s="192" t="s">
        <v>294</v>
      </c>
      <c r="D88"/>
      <c r="E88" s="201">
        <v>1</v>
      </c>
      <c r="F88" s="186">
        <f t="shared" si="70"/>
        <v>1533.3021878958218</v>
      </c>
      <c r="G88" s="202">
        <v>4.8921906142400003E-3</v>
      </c>
      <c r="H88" s="202">
        <v>1</v>
      </c>
      <c r="I88" s="227">
        <v>1</v>
      </c>
      <c r="J88" s="227">
        <v>-1</v>
      </c>
      <c r="K88" s="227">
        <v>1</v>
      </c>
      <c r="L88" s="202">
        <v>-1</v>
      </c>
      <c r="M88" s="228">
        <v>-12</v>
      </c>
      <c r="N88" s="288"/>
      <c r="O88">
        <f t="shared" si="71"/>
        <v>1</v>
      </c>
      <c r="P88">
        <f t="shared" si="85"/>
        <v>1</v>
      </c>
      <c r="Q88">
        <f t="shared" si="72"/>
        <v>-1</v>
      </c>
      <c r="R88">
        <f t="shared" si="73"/>
        <v>1</v>
      </c>
      <c r="S88">
        <f t="shared" si="74"/>
        <v>1</v>
      </c>
      <c r="T88">
        <f t="shared" si="75"/>
        <v>-1</v>
      </c>
      <c r="U88">
        <f t="shared" si="86"/>
        <v>-1</v>
      </c>
      <c r="V88">
        <f>VLOOKUP($A88,'FuturesInfo (3)'!$A$2:$V$80,22)</f>
        <v>3</v>
      </c>
      <c r="W88">
        <v>1</v>
      </c>
      <c r="X88" s="137">
        <v>313418.32499999995</v>
      </c>
      <c r="Y88" s="137">
        <v>19499.594399999998</v>
      </c>
      <c r="Z88" s="188">
        <f t="shared" si="76"/>
        <v>1533.3021878958218</v>
      </c>
      <c r="AA88" s="188">
        <f>IF(IF(sym!$Q77=H88,1,0)=1,ABS(X88*G88),-ABS(X88*G88))</f>
        <v>1533.3021878958218</v>
      </c>
      <c r="AB88" s="188">
        <f>IF(IF(sym!$P77=$H88,1,0)=1,ABS($X88*$G88),-ABS($X88*$G88))</f>
        <v>-1533.3021878958218</v>
      </c>
      <c r="AC88" s="188">
        <f t="shared" si="92"/>
        <v>1533.3021878958218</v>
      </c>
      <c r="AD88" s="188">
        <f t="shared" si="77"/>
        <v>-1533.3021878958218</v>
      </c>
      <c r="AE88" s="188">
        <f t="shared" si="78"/>
        <v>-1533.3021878958218</v>
      </c>
      <c r="AF88" s="188">
        <f t="shared" si="87"/>
        <v>1533.3021878958218</v>
      </c>
      <c r="AG88" s="188">
        <f t="shared" si="88"/>
        <v>1533.3021878958218</v>
      </c>
      <c r="AH88" s="188">
        <f t="shared" si="89"/>
        <v>-1533.3021878958218</v>
      </c>
      <c r="AI88" s="188">
        <f t="shared" si="90"/>
        <v>1533.3021878958218</v>
      </c>
      <c r="AJ88" s="188">
        <f t="shared" si="91"/>
        <v>1533.3021878958218</v>
      </c>
      <c r="AK88" s="188">
        <f t="shared" si="79"/>
        <v>1533.3021878958218</v>
      </c>
      <c r="AL88" s="188">
        <f t="shared" si="80"/>
        <v>-1533.3021878958218</v>
      </c>
      <c r="AM88" s="188">
        <f t="shared" si="81"/>
        <v>1533.3021878958218</v>
      </c>
      <c r="AN88" s="188">
        <f t="shared" si="82"/>
        <v>1533.3021878958218</v>
      </c>
      <c r="AO88" s="188">
        <f t="shared" si="83"/>
        <v>-1533.3021878958218</v>
      </c>
      <c r="AP88" s="188">
        <f t="shared" si="84"/>
        <v>-1533.3021878958218</v>
      </c>
    </row>
    <row r="89" spans="1:42" s="2" customFormat="1" ht="15.75" thickBot="1" x14ac:dyDescent="0.3">
      <c r="A89" s="328" t="s">
        <v>1054</v>
      </c>
      <c r="B89" s="329" t="s">
        <v>463</v>
      </c>
      <c r="C89" s="330" t="s">
        <v>1285</v>
      </c>
      <c r="D89"/>
      <c r="E89" s="201">
        <v>1</v>
      </c>
      <c r="F89" s="186">
        <f t="shared" si="70"/>
        <v>0</v>
      </c>
      <c r="G89" s="202">
        <v>1.01864113273E-4</v>
      </c>
      <c r="H89" s="202">
        <v>1</v>
      </c>
      <c r="I89" s="227">
        <v>1</v>
      </c>
      <c r="J89" s="227">
        <v>1</v>
      </c>
      <c r="K89" s="227">
        <v>1</v>
      </c>
      <c r="L89" s="202">
        <v>-1</v>
      </c>
      <c r="M89" s="228">
        <v>-6</v>
      </c>
      <c r="N89" s="288"/>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v>-1</v>
      </c>
      <c r="F90" s="186">
        <f t="shared" si="70"/>
        <v>-538.94129179891775</v>
      </c>
      <c r="G90" s="202">
        <v>-1.9605707439300001E-3</v>
      </c>
      <c r="H90" s="202">
        <v>-1</v>
      </c>
      <c r="I90" s="227">
        <v>-1</v>
      </c>
      <c r="J90" s="227">
        <v>-1</v>
      </c>
      <c r="K90" s="227">
        <v>-1</v>
      </c>
      <c r="L90" s="202">
        <v>-1</v>
      </c>
      <c r="M90" s="228">
        <v>-8</v>
      </c>
      <c r="N90" s="288"/>
      <c r="O90">
        <f t="shared" si="71"/>
        <v>1</v>
      </c>
      <c r="P90">
        <f t="shared" si="85"/>
        <v>-1</v>
      </c>
      <c r="Q90">
        <f t="shared" si="72"/>
        <v>1</v>
      </c>
      <c r="R90">
        <f t="shared" si="73"/>
        <v>1</v>
      </c>
      <c r="S90">
        <f t="shared" si="74"/>
        <v>1</v>
      </c>
      <c r="T90">
        <f t="shared" si="75"/>
        <v>-1</v>
      </c>
      <c r="U90">
        <f t="shared" si="86"/>
        <v>1</v>
      </c>
      <c r="V90">
        <f>VLOOKUP($A90,'FuturesInfo (3)'!$A$2:$V$80,22)</f>
        <v>4</v>
      </c>
      <c r="W90">
        <v>1</v>
      </c>
      <c r="X90" s="137">
        <v>274890</v>
      </c>
      <c r="Y90" s="137">
        <v>16248</v>
      </c>
      <c r="Z90" s="188">
        <f t="shared" si="76"/>
        <v>538.94129179891775</v>
      </c>
      <c r="AA90" s="188">
        <f>IF(IF(sym!$Q79=H90,1,0)=1,ABS(X90*G90),-ABS(X90*G90))</f>
        <v>-538.94129179891775</v>
      </c>
      <c r="AB90" s="188">
        <f>IF(IF(sym!$P79=$H90,1,0)=1,ABS($X90*$G90),-ABS($X90*$G90))</f>
        <v>538.94129179891775</v>
      </c>
      <c r="AC90" s="188">
        <f t="shared" si="92"/>
        <v>538.94129179891775</v>
      </c>
      <c r="AD90" s="188">
        <f t="shared" si="77"/>
        <v>-538.94129179891775</v>
      </c>
      <c r="AE90" s="188">
        <f t="shared" si="78"/>
        <v>538.94129179891775</v>
      </c>
      <c r="AF90" s="188">
        <f t="shared" si="87"/>
        <v>538.94129179891775</v>
      </c>
      <c r="AG90" s="188">
        <f t="shared" si="88"/>
        <v>538.94129179891775</v>
      </c>
      <c r="AH90" s="188">
        <f t="shared" si="89"/>
        <v>538.94129179891775</v>
      </c>
      <c r="AI90" s="188">
        <f t="shared" si="90"/>
        <v>-538.94129179891775</v>
      </c>
      <c r="AJ90" s="188">
        <f t="shared" si="91"/>
        <v>-538.94129179891775</v>
      </c>
      <c r="AK90" s="188">
        <f t="shared" si="79"/>
        <v>538.94129179891775</v>
      </c>
      <c r="AL90" s="188">
        <f t="shared" si="80"/>
        <v>-538.94129179891775</v>
      </c>
      <c r="AM90" s="188">
        <f t="shared" si="81"/>
        <v>-538.94129179891775</v>
      </c>
      <c r="AN90" s="188">
        <f t="shared" si="82"/>
        <v>-538.94129179891775</v>
      </c>
      <c r="AO90" s="188">
        <f t="shared" si="83"/>
        <v>538.94129179891775</v>
      </c>
      <c r="AP90" s="188">
        <f t="shared" si="84"/>
        <v>-538.94129179891775</v>
      </c>
    </row>
    <row r="91" spans="1:42" s="4" customFormat="1" ht="15.75" thickBot="1" x14ac:dyDescent="0.3">
      <c r="A91" s="1" t="s">
        <v>1025</v>
      </c>
      <c r="B91" s="149" t="s">
        <v>459</v>
      </c>
      <c r="C91" s="192" t="s">
        <v>1122</v>
      </c>
      <c r="E91" s="201">
        <v>1</v>
      </c>
      <c r="F91" s="186">
        <f t="shared" si="70"/>
        <v>1435.246072827998</v>
      </c>
      <c r="G91" s="202">
        <v>4.0572066132500001E-4</v>
      </c>
      <c r="H91" s="202">
        <v>1</v>
      </c>
      <c r="I91" s="227">
        <v>-1</v>
      </c>
      <c r="J91" s="227">
        <v>-1</v>
      </c>
      <c r="K91" s="227">
        <v>-1</v>
      </c>
      <c r="L91" s="202">
        <v>1</v>
      </c>
      <c r="M91" s="228">
        <v>26</v>
      </c>
      <c r="N91" s="288"/>
      <c r="O91">
        <f t="shared" si="71"/>
        <v>1</v>
      </c>
      <c r="P91">
        <f t="shared" si="85"/>
        <v>-1</v>
      </c>
      <c r="Q91">
        <f t="shared" si="72"/>
        <v>-1</v>
      </c>
      <c r="R91">
        <f t="shared" si="73"/>
        <v>-1</v>
      </c>
      <c r="S91">
        <f t="shared" si="74"/>
        <v>-1</v>
      </c>
      <c r="T91">
        <f t="shared" si="75"/>
        <v>1</v>
      </c>
      <c r="U91">
        <f t="shared" si="86"/>
        <v>-1</v>
      </c>
      <c r="V91">
        <f>VLOOKUP($A91,'FuturesInfo (3)'!$A$2:$V$80,22)</f>
        <v>16</v>
      </c>
      <c r="W91">
        <v>1</v>
      </c>
      <c r="X91" s="137">
        <v>3537522.7579999999</v>
      </c>
      <c r="Y91" s="137">
        <v>12326.4</v>
      </c>
      <c r="Z91" s="188">
        <f t="shared" si="76"/>
        <v>1435.246072827998</v>
      </c>
      <c r="AA91" s="188">
        <f>IF(IF(sym!$Q80=H91,1,0)=1,ABS(X91*G91),-ABS(X91*G91))</f>
        <v>-1435.246072827998</v>
      </c>
      <c r="AB91" s="188">
        <f>IF(IF(sym!$P80=$H91,1,0)=1,ABS($X91*$G91),-ABS($X91*$G91))</f>
        <v>1435.246072827998</v>
      </c>
      <c r="AC91" s="188">
        <f t="shared" si="92"/>
        <v>1435.246072827998</v>
      </c>
      <c r="AD91" s="188">
        <f t="shared" si="77"/>
        <v>-1435.246072827998</v>
      </c>
      <c r="AE91" s="188">
        <f t="shared" si="78"/>
        <v>-1435.246072827998</v>
      </c>
      <c r="AF91" s="188">
        <f t="shared" si="87"/>
        <v>-1435.246072827998</v>
      </c>
      <c r="AG91" s="188">
        <f t="shared" si="88"/>
        <v>-1435.246072827998</v>
      </c>
      <c r="AH91" s="188">
        <f t="shared" si="89"/>
        <v>1435.246072827998</v>
      </c>
      <c r="AI91" s="188">
        <f t="shared" si="90"/>
        <v>-1435.246072827998</v>
      </c>
      <c r="AJ91" s="188">
        <f t="shared" si="91"/>
        <v>1435.246072827998</v>
      </c>
      <c r="AK91" s="188">
        <f t="shared" si="79"/>
        <v>-1435.246072827998</v>
      </c>
      <c r="AL91" s="188">
        <f t="shared" si="80"/>
        <v>-1435.246072827998</v>
      </c>
      <c r="AM91" s="188">
        <f t="shared" si="81"/>
        <v>-1435.246072827998</v>
      </c>
      <c r="AN91" s="188">
        <f t="shared" si="82"/>
        <v>-1435.246072827998</v>
      </c>
      <c r="AO91" s="188">
        <f t="shared" si="83"/>
        <v>1435.246072827998</v>
      </c>
      <c r="AP91" s="188">
        <f t="shared" si="84"/>
        <v>-1435.246072827998</v>
      </c>
    </row>
    <row r="92" spans="1:42" s="4" customFormat="1" ht="15.75" thickBot="1" x14ac:dyDescent="0.3">
      <c r="A92" s="1" t="s">
        <v>1026</v>
      </c>
      <c r="B92" s="149" t="s">
        <v>447</v>
      </c>
      <c r="C92" s="192" t="s">
        <v>1122</v>
      </c>
      <c r="E92" s="201">
        <v>-1</v>
      </c>
      <c r="F92" s="186">
        <f t="shared" si="70"/>
        <v>904.47647148859062</v>
      </c>
      <c r="G92" s="203">
        <v>3.0576364470299999E-4</v>
      </c>
      <c r="H92" s="203">
        <v>1</v>
      </c>
      <c r="I92" s="231">
        <v>1</v>
      </c>
      <c r="J92" s="231">
        <v>1</v>
      </c>
      <c r="K92" s="231">
        <v>-1</v>
      </c>
      <c r="L92" s="203">
        <v>1</v>
      </c>
      <c r="M92" s="232">
        <v>9</v>
      </c>
      <c r="N92" s="289"/>
      <c r="O92">
        <f t="shared" si="71"/>
        <v>1</v>
      </c>
      <c r="P92">
        <f t="shared" si="85"/>
        <v>-1</v>
      </c>
      <c r="Q92">
        <f t="shared" si="72"/>
        <v>1</v>
      </c>
      <c r="R92">
        <f t="shared" si="73"/>
        <v>1</v>
      </c>
      <c r="S92">
        <f t="shared" si="74"/>
        <v>1</v>
      </c>
      <c r="T92">
        <f t="shared" si="75"/>
        <v>-1</v>
      </c>
      <c r="U92">
        <f t="shared" si="86"/>
        <v>1</v>
      </c>
      <c r="V92">
        <f>VLOOKUP($A92,'FuturesInfo (3)'!$A$2:$V$80,22)</f>
        <v>5</v>
      </c>
      <c r="W92">
        <v>1</v>
      </c>
      <c r="X92" s="137">
        <v>2958090.3</v>
      </c>
      <c r="Y92" s="137">
        <v>12518.999999999998</v>
      </c>
      <c r="Z92" s="188">
        <f t="shared" si="76"/>
        <v>904.47647148859062</v>
      </c>
      <c r="AA92" s="188">
        <f>IF(IF(sym!$Q81=H92,1,0)=1,ABS(X92*G92),-ABS(X92*G92))</f>
        <v>-904.47647148859062</v>
      </c>
      <c r="AB92" s="188">
        <f>IF(IF(sym!$P81=$H92,1,0)=1,ABS($X92*$G92),-ABS($X92*$G92))</f>
        <v>904.47647148859062</v>
      </c>
      <c r="AC92" s="188">
        <f t="shared" si="92"/>
        <v>-904.47647148859062</v>
      </c>
      <c r="AD92" s="188">
        <f t="shared" si="77"/>
        <v>904.47647148859062</v>
      </c>
      <c r="AE92" s="188">
        <f t="shared" si="78"/>
        <v>904.47647148859062</v>
      </c>
      <c r="AF92" s="188">
        <f t="shared" si="87"/>
        <v>904.47647148859062</v>
      </c>
      <c r="AG92" s="188">
        <f t="shared" si="88"/>
        <v>-904.47647148859062</v>
      </c>
      <c r="AH92" s="188">
        <f t="shared" si="89"/>
        <v>904.47647148859062</v>
      </c>
      <c r="AI92" s="188">
        <f t="shared" si="90"/>
        <v>-904.47647148859062</v>
      </c>
      <c r="AJ92" s="188">
        <f t="shared" si="91"/>
        <v>904.47647148859062</v>
      </c>
      <c r="AK92" s="188">
        <f t="shared" si="79"/>
        <v>-904.47647148859062</v>
      </c>
      <c r="AL92" s="188">
        <f t="shared" si="80"/>
        <v>904.47647148859062</v>
      </c>
      <c r="AM92" s="188">
        <f t="shared" si="81"/>
        <v>904.47647148859062</v>
      </c>
      <c r="AN92" s="188">
        <f t="shared" si="82"/>
        <v>904.47647148859062</v>
      </c>
      <c r="AO92" s="188">
        <f t="shared" si="83"/>
        <v>-904.47647148859062</v>
      </c>
      <c r="AP92" s="188">
        <f t="shared" si="84"/>
        <v>904.47647148859062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O94" si="93">COUNTIF(AA14:AA92,"&gt;0")/$B$10</f>
        <v>0.39436619718309857</v>
      </c>
      <c r="AB94" s="193">
        <f t="shared" si="93"/>
        <v>0.59154929577464788</v>
      </c>
      <c r="AC94" s="193">
        <f t="shared" ref="AC94" si="94">COUNTIF(AC14:AC92,"&gt;0")/$B$10</f>
        <v>0.25352112676056338</v>
      </c>
      <c r="AD94" s="193">
        <f t="shared" si="93"/>
        <v>0.73239436619718312</v>
      </c>
      <c r="AE94" s="193">
        <f t="shared" si="93"/>
        <v>0.45070422535211269</v>
      </c>
      <c r="AF94" s="193">
        <f t="shared" si="93"/>
        <v>0.49295774647887325</v>
      </c>
      <c r="AG94" s="193">
        <f t="shared" si="93"/>
        <v>0.47887323943661969</v>
      </c>
      <c r="AH94" s="193">
        <f t="shared" si="93"/>
        <v>0.38028169014084506</v>
      </c>
      <c r="AI94" s="193">
        <f t="shared" ref="AI94" si="95">COUNTIF(AI14:AI92,"&gt;0")/$B$10</f>
        <v>0.60563380281690138</v>
      </c>
      <c r="AJ94" s="193">
        <f t="shared" si="93"/>
        <v>0.45070422535211269</v>
      </c>
      <c r="AK94" s="193">
        <f t="shared" si="93"/>
        <v>0.40845070422535212</v>
      </c>
      <c r="AL94" s="193">
        <f t="shared" si="93"/>
        <v>0.54929577464788737</v>
      </c>
      <c r="AM94" s="193">
        <f t="shared" si="93"/>
        <v>0.676056338028169</v>
      </c>
      <c r="AN94" s="193">
        <f t="shared" si="93"/>
        <v>0.59154929577464788</v>
      </c>
      <c r="AO94" s="193">
        <f t="shared" si="93"/>
        <v>0.46478873239436619</v>
      </c>
      <c r="AP94" s="193">
        <f t="shared" ref="AP94" si="96">COUNTIF(AP14:AP92,"&gt;0")/$B$10</f>
        <v>0.647887323943662</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1294</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1" t="str">
        <f t="shared" ref="Z1:AP1" si="1">Z12</f>
        <v>MAX ACC 101% PNL 115643</v>
      </c>
      <c r="AA1" s="332" t="str">
        <f t="shared" si="1"/>
        <v>RISK-ON ACC 62% PNL 25372</v>
      </c>
      <c r="AB1" s="332" t="str">
        <f t="shared" si="1"/>
        <v>RISK-OFF ACC 39% PNL -25372</v>
      </c>
      <c r="AC1" s="332" t="str">
        <f t="shared" ref="AC1" si="2">AC12</f>
        <v>Previous ACC 58% PNL 33126</v>
      </c>
      <c r="AD1" s="295" t="str">
        <f t="shared" si="1"/>
        <v>Anti-Previous ACC 44% PNL -33126</v>
      </c>
      <c r="AE1" s="333" t="str">
        <f t="shared" si="1"/>
        <v>&gt;equity ACC 55% PNL 29852</v>
      </c>
      <c r="AF1" s="333" t="str">
        <f t="shared" si="1"/>
        <v>50/50 ACC 58% PNL -23771</v>
      </c>
      <c r="AG1" s="333" t="str">
        <f t="shared" si="1"/>
        <v>&lt;equity ACC 51% PNL -33371</v>
      </c>
      <c r="AH1" s="334" t="str">
        <f t="shared" si="1"/>
        <v>SEASONALITY ACC 49% PNL 11347</v>
      </c>
      <c r="AI1" s="334" t="str">
        <f t="shared" si="1"/>
        <v>ANTI-SEASONALITY ACC 52% PNL -11347</v>
      </c>
      <c r="AJ1" s="334" t="str">
        <f t="shared" si="1"/>
        <v>ADJ_SEASONALITY ACC 58% PNL 10588</v>
      </c>
      <c r="AK1" s="335" t="str">
        <f t="shared" si="1"/>
        <v>V1 ACC 56% PNL 4501</v>
      </c>
      <c r="AL1" s="335" t="str">
        <f t="shared" si="1"/>
        <v>V2 ACC 54% PNL -7883</v>
      </c>
      <c r="AM1" s="335" t="str">
        <f t="shared" si="1"/>
        <v>V3 ACC 51% PNL -39935</v>
      </c>
      <c r="AN1" s="335" t="str">
        <f t="shared" si="1"/>
        <v>V4 ACC 56% PNL -21584</v>
      </c>
      <c r="AO1" s="335" t="str">
        <f t="shared" si="1"/>
        <v>V5 ACC 51% PNL 30323</v>
      </c>
      <c r="AP1" s="335" t="str">
        <f t="shared" si="1"/>
        <v>V6 ACC 51% PNL -3764</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2">
        <f t="shared" ref="K2:K9" si="7">SUMIF($C$14:$C$92,$A2,E$14:E$92)/$B2</f>
        <v>0.1111111111111111</v>
      </c>
      <c r="L2" s="342">
        <f t="shared" ref="L2:O9" si="8">SUMIF($C$14:$C$92,$A2,I$14:I$92)/$B2</f>
        <v>-0.1111111111111111</v>
      </c>
      <c r="M2" s="342">
        <f t="shared" si="8"/>
        <v>0.1111111111111111</v>
      </c>
      <c r="N2" s="342">
        <f t="shared" si="8"/>
        <v>-0.1111111111111111</v>
      </c>
      <c r="O2" s="342">
        <f t="shared" si="8"/>
        <v>-0.33333333333333331</v>
      </c>
      <c r="P2" s="342">
        <f t="shared" ref="P2:V9" si="9">SUMIF($C$14:$C$92,$A2,O$14:O$92)/$B2</f>
        <v>-0.1111111111111111</v>
      </c>
      <c r="Q2" s="342">
        <f t="shared" si="9"/>
        <v>0.33333333333333331</v>
      </c>
      <c r="R2" s="342">
        <f t="shared" si="9"/>
        <v>-0.1111111111111111</v>
      </c>
      <c r="S2" s="342">
        <f t="shared" si="9"/>
        <v>-0.1111111111111111</v>
      </c>
      <c r="T2" s="342">
        <f t="shared" si="9"/>
        <v>-0.1111111111111111</v>
      </c>
      <c r="U2" s="342">
        <f t="shared" si="9"/>
        <v>0.1111111111111111</v>
      </c>
      <c r="V2" s="342">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8.4507042253521125E-2</v>
      </c>
      <c r="F3" s="294">
        <f t="shared" si="3"/>
        <v>0.83333333333333337</v>
      </c>
      <c r="G3" s="137">
        <f t="shared" si="4"/>
        <v>3775.3670454207204</v>
      </c>
      <c r="H3" s="143">
        <f t="shared" si="5"/>
        <v>629.2278409034534</v>
      </c>
      <c r="I3" s="186">
        <f t="shared" ref="I3:I9" si="13">SUMIF($C$14:$C$92,A3,F$14:F$92)/B3</f>
        <v>463.65838731555141</v>
      </c>
      <c r="J3" t="str">
        <f t="shared" si="6"/>
        <v>energy</v>
      </c>
      <c r="K3" s="342">
        <f t="shared" si="7"/>
        <v>-0.66666666666666663</v>
      </c>
      <c r="L3" s="342">
        <f t="shared" si="8"/>
        <v>-0.33333333333333331</v>
      </c>
      <c r="M3" s="342">
        <f t="shared" si="8"/>
        <v>0.33333333333333331</v>
      </c>
      <c r="N3" s="342">
        <f t="shared" si="8"/>
        <v>-0.66666666666666663</v>
      </c>
      <c r="O3" s="342">
        <f t="shared" si="8"/>
        <v>-0.33333333333333331</v>
      </c>
      <c r="P3" s="342">
        <f t="shared" si="9"/>
        <v>-0.33333333333333331</v>
      </c>
      <c r="Q3" s="342">
        <f t="shared" si="9"/>
        <v>-0.66666666666666663</v>
      </c>
      <c r="R3" s="342">
        <f t="shared" si="9"/>
        <v>0.66666666666666663</v>
      </c>
      <c r="S3" s="342">
        <f t="shared" si="9"/>
        <v>0.33333333333333331</v>
      </c>
      <c r="T3" s="342">
        <f t="shared" si="9"/>
        <v>0.33333333333333331</v>
      </c>
      <c r="U3" s="342">
        <f t="shared" si="9"/>
        <v>0.33333333333333331</v>
      </c>
      <c r="V3" s="342">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0.14084507042253522</v>
      </c>
      <c r="F4" s="294">
        <f t="shared" si="3"/>
        <v>0.9</v>
      </c>
      <c r="G4" s="137">
        <f t="shared" si="4"/>
        <v>11445.726336841351</v>
      </c>
      <c r="H4" s="143">
        <f t="shared" si="5"/>
        <v>1144.5726336841351</v>
      </c>
      <c r="I4" s="186">
        <f t="shared" si="13"/>
        <v>1070.0296720753784</v>
      </c>
      <c r="J4" t="str">
        <f t="shared" si="6"/>
        <v>grain</v>
      </c>
      <c r="K4" s="342">
        <f t="shared" si="7"/>
        <v>-0.8</v>
      </c>
      <c r="L4" s="342">
        <f t="shared" si="8"/>
        <v>0</v>
      </c>
      <c r="M4" s="342">
        <f t="shared" si="8"/>
        <v>0</v>
      </c>
      <c r="N4" s="342">
        <f t="shared" si="8"/>
        <v>-0.2</v>
      </c>
      <c r="O4" s="342">
        <f t="shared" si="8"/>
        <v>0.4</v>
      </c>
      <c r="P4" s="342">
        <f t="shared" si="9"/>
        <v>0</v>
      </c>
      <c r="Q4" s="342">
        <f t="shared" si="9"/>
        <v>-0.6</v>
      </c>
      <c r="R4" s="342">
        <f t="shared" si="9"/>
        <v>0.2</v>
      </c>
      <c r="S4" s="342">
        <f t="shared" si="9"/>
        <v>0.4</v>
      </c>
      <c r="T4" s="342">
        <f t="shared" si="9"/>
        <v>0</v>
      </c>
      <c r="U4" s="342">
        <f t="shared" si="9"/>
        <v>-0.4</v>
      </c>
      <c r="V4" s="342">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0.29577464788732394</v>
      </c>
      <c r="F5" s="294">
        <f t="shared" si="3"/>
        <v>0.5714285714285714</v>
      </c>
      <c r="G5" s="137">
        <f t="shared" si="4"/>
        <v>25744.959380067659</v>
      </c>
      <c r="H5" s="143">
        <f t="shared" si="5"/>
        <v>1225.9504466698886</v>
      </c>
      <c r="I5" s="186">
        <f t="shared" si="13"/>
        <v>-313.42796057539778</v>
      </c>
      <c r="J5" t="str">
        <f t="shared" si="6"/>
        <v>index</v>
      </c>
      <c r="K5" s="342">
        <f t="shared" si="7"/>
        <v>-0.42857142857142855</v>
      </c>
      <c r="L5" s="342">
        <f t="shared" si="8"/>
        <v>0.52380952380952384</v>
      </c>
      <c r="M5" s="342">
        <f t="shared" si="8"/>
        <v>-0.14285714285714285</v>
      </c>
      <c r="N5" s="342">
        <f t="shared" si="8"/>
        <v>0.52380952380952384</v>
      </c>
      <c r="O5" s="342">
        <f t="shared" si="8"/>
        <v>-0.61904761904761907</v>
      </c>
      <c r="P5" s="342">
        <f t="shared" si="9"/>
        <v>0.23809523809523808</v>
      </c>
      <c r="Q5" s="342">
        <f t="shared" si="9"/>
        <v>0.33333333333333331</v>
      </c>
      <c r="R5" s="342">
        <f t="shared" si="9"/>
        <v>0.42857142857142855</v>
      </c>
      <c r="S5" s="342">
        <f t="shared" si="9"/>
        <v>0.7142857142857143</v>
      </c>
      <c r="T5" s="342">
        <f t="shared" si="9"/>
        <v>0.52380952380952384</v>
      </c>
      <c r="U5" s="342">
        <f t="shared" si="9"/>
        <v>-0.7142857142857143</v>
      </c>
      <c r="V5" s="342">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4.2253521126760563E-2</v>
      </c>
      <c r="F6" s="294">
        <f t="shared" si="3"/>
        <v>0</v>
      </c>
      <c r="G6" s="137">
        <f t="shared" si="4"/>
        <v>1111.6007235456077</v>
      </c>
      <c r="H6" s="143">
        <f t="shared" si="5"/>
        <v>370.53357451520259</v>
      </c>
      <c r="I6" s="186">
        <f t="shared" si="13"/>
        <v>-370.53357451520259</v>
      </c>
      <c r="J6" t="str">
        <f t="shared" si="6"/>
        <v>meat</v>
      </c>
      <c r="K6" s="342">
        <f t="shared" si="7"/>
        <v>-1</v>
      </c>
      <c r="L6" s="342">
        <f t="shared" si="8"/>
        <v>-1</v>
      </c>
      <c r="M6" s="342">
        <f t="shared" si="8"/>
        <v>0.33333333333333331</v>
      </c>
      <c r="N6" s="342">
        <f t="shared" si="8"/>
        <v>-1</v>
      </c>
      <c r="O6" s="342">
        <f t="shared" si="8"/>
        <v>-1</v>
      </c>
      <c r="P6" s="342">
        <f t="shared" si="9"/>
        <v>-0.33333333333333331</v>
      </c>
      <c r="Q6" s="342">
        <f t="shared" si="9"/>
        <v>-1</v>
      </c>
      <c r="R6" s="342">
        <f t="shared" si="9"/>
        <v>1</v>
      </c>
      <c r="S6" s="342">
        <f t="shared" si="9"/>
        <v>1</v>
      </c>
      <c r="T6" s="342">
        <f t="shared" si="9"/>
        <v>1</v>
      </c>
      <c r="U6" s="342">
        <f t="shared" si="9"/>
        <v>0.33333333333333331</v>
      </c>
      <c r="V6" s="342">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7.0422535211267609E-2</v>
      </c>
      <c r="F7" s="294">
        <f t="shared" si="3"/>
        <v>1</v>
      </c>
      <c r="G7" s="137">
        <f t="shared" si="4"/>
        <v>8146.3959219953031</v>
      </c>
      <c r="H7" s="143">
        <f t="shared" si="5"/>
        <v>1629.2791843990606</v>
      </c>
      <c r="I7" s="186">
        <f t="shared" si="13"/>
        <v>1629.2791843990606</v>
      </c>
      <c r="J7" t="str">
        <f t="shared" si="6"/>
        <v>metal</v>
      </c>
      <c r="K7" s="342">
        <f t="shared" si="7"/>
        <v>0.6</v>
      </c>
      <c r="L7" s="342">
        <f t="shared" si="8"/>
        <v>1</v>
      </c>
      <c r="M7" s="342">
        <f t="shared" si="8"/>
        <v>-0.2</v>
      </c>
      <c r="N7" s="342">
        <f t="shared" si="8"/>
        <v>1</v>
      </c>
      <c r="O7" s="342">
        <f t="shared" si="8"/>
        <v>-0.2</v>
      </c>
      <c r="P7" s="342">
        <f t="shared" si="9"/>
        <v>0.2</v>
      </c>
      <c r="Q7" s="342">
        <f t="shared" si="9"/>
        <v>1</v>
      </c>
      <c r="R7" s="342">
        <f t="shared" si="9"/>
        <v>-0.6</v>
      </c>
      <c r="S7" s="342">
        <f t="shared" si="9"/>
        <v>0.2</v>
      </c>
      <c r="T7" s="342">
        <f t="shared" si="9"/>
        <v>0.6</v>
      </c>
      <c r="U7" s="342">
        <f t="shared" si="9"/>
        <v>-0.6</v>
      </c>
      <c r="V7" s="342">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0.14084507042253522</v>
      </c>
      <c r="F8" s="294">
        <f t="shared" si="3"/>
        <v>0.8</v>
      </c>
      <c r="G8" s="137">
        <f t="shared" si="4"/>
        <v>18247.077008639564</v>
      </c>
      <c r="H8" s="143">
        <f t="shared" si="5"/>
        <v>1824.7077008639565</v>
      </c>
      <c r="I8" s="186">
        <f t="shared" si="13"/>
        <v>630.90473285897951</v>
      </c>
      <c r="J8" t="str">
        <f t="shared" si="6"/>
        <v>rates</v>
      </c>
      <c r="K8" s="342">
        <f t="shared" si="7"/>
        <v>0.6</v>
      </c>
      <c r="L8" s="342">
        <f t="shared" si="8"/>
        <v>0.2</v>
      </c>
      <c r="M8" s="342">
        <f t="shared" si="8"/>
        <v>0.4</v>
      </c>
      <c r="N8" s="342">
        <f t="shared" si="8"/>
        <v>0.2</v>
      </c>
      <c r="O8" s="342">
        <f t="shared" si="8"/>
        <v>1</v>
      </c>
      <c r="P8" s="342">
        <f t="shared" si="9"/>
        <v>0</v>
      </c>
      <c r="Q8" s="342">
        <f t="shared" si="9"/>
        <v>-0.2</v>
      </c>
      <c r="R8" s="342">
        <f t="shared" si="9"/>
        <v>-0.2</v>
      </c>
      <c r="S8" s="342">
        <f t="shared" si="9"/>
        <v>-0.6</v>
      </c>
      <c r="T8" s="342">
        <f t="shared" si="9"/>
        <v>-0.4</v>
      </c>
      <c r="U8" s="342">
        <f t="shared" si="9"/>
        <v>0</v>
      </c>
      <c r="V8" s="342">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7</v>
      </c>
      <c r="C9" s="200">
        <f t="shared" si="12"/>
        <v>9.8591549295774641E-2</v>
      </c>
      <c r="D9" s="126"/>
      <c r="F9" s="294">
        <f t="shared" si="3"/>
        <v>0.7142857142857143</v>
      </c>
      <c r="G9" s="199">
        <f t="shared" si="4"/>
        <v>13298.7180480772</v>
      </c>
      <c r="H9" s="143">
        <f t="shared" si="5"/>
        <v>1899.8168640110287</v>
      </c>
      <c r="I9" s="186">
        <f t="shared" si="13"/>
        <v>1086.1134069537814</v>
      </c>
      <c r="J9" t="str">
        <f t="shared" si="6"/>
        <v>soft</v>
      </c>
      <c r="K9" s="342">
        <f t="shared" si="7"/>
        <v>-0.42857142857142855</v>
      </c>
      <c r="L9" s="342">
        <f t="shared" si="8"/>
        <v>-0.14285714285714285</v>
      </c>
      <c r="M9" s="342">
        <f t="shared" si="8"/>
        <v>0.14285714285714285</v>
      </c>
      <c r="N9" s="342">
        <f t="shared" si="8"/>
        <v>-0.42857142857142855</v>
      </c>
      <c r="O9" s="342">
        <f t="shared" si="8"/>
        <v>-0.42857142857142855</v>
      </c>
      <c r="P9" s="342">
        <f t="shared" si="9"/>
        <v>0.14285714285714285</v>
      </c>
      <c r="Q9" s="342">
        <f t="shared" si="9"/>
        <v>-0.42857142857142855</v>
      </c>
      <c r="R9" s="342">
        <f t="shared" si="9"/>
        <v>0.42857142857142855</v>
      </c>
      <c r="S9" s="342">
        <f t="shared" si="9"/>
        <v>0.42857142857142855</v>
      </c>
      <c r="T9" s="342">
        <f t="shared" si="9"/>
        <v>0.42857142857142855</v>
      </c>
      <c r="U9" s="342">
        <f t="shared" si="9"/>
        <v>0.14285714285714285</v>
      </c>
      <c r="V9" s="342">
        <f t="shared" si="9"/>
        <v>0.42857142857142855</v>
      </c>
      <c r="W9" s="286"/>
      <c r="X9" s="6"/>
      <c r="Y9" s="17" t="s">
        <v>304</v>
      </c>
      <c r="Z9" s="283">
        <f t="shared" si="10"/>
        <v>13298.7180480772</v>
      </c>
      <c r="AA9" s="283">
        <f t="shared" si="10"/>
        <v>7602.7938486764697</v>
      </c>
      <c r="AB9" s="283">
        <f t="shared" si="10"/>
        <v>-7602.7938486764697</v>
      </c>
      <c r="AC9" s="283">
        <f t="shared" si="10"/>
        <v>4353.39727033488</v>
      </c>
      <c r="AD9" s="283">
        <f t="shared" si="10"/>
        <v>-4353.39727033488</v>
      </c>
      <c r="AE9" s="283">
        <f t="shared" si="10"/>
        <v>4694.5853039191197</v>
      </c>
      <c r="AF9" s="283">
        <f t="shared" si="10"/>
        <v>-2815.8774421853368</v>
      </c>
      <c r="AG9" s="283">
        <f t="shared" si="10"/>
        <v>-5856.9508266412167</v>
      </c>
      <c r="AH9" s="283">
        <f t="shared" si="10"/>
        <v>4353.39727033488</v>
      </c>
      <c r="AI9" s="283">
        <f t="shared" si="10"/>
        <v>-4353.39727033488</v>
      </c>
      <c r="AJ9" s="283">
        <f t="shared" si="10"/>
        <v>-1653.5119194632391</v>
      </c>
      <c r="AK9" s="283">
        <f t="shared" si="10"/>
        <v>-5856.9508266412167</v>
      </c>
      <c r="AL9" s="283">
        <f t="shared" si="10"/>
        <v>-4353.39727033488</v>
      </c>
      <c r="AM9" s="283">
        <f t="shared" si="10"/>
        <v>-4353.39727033488</v>
      </c>
      <c r="AN9" s="283">
        <f t="shared" si="10"/>
        <v>-4353.39727033488</v>
      </c>
      <c r="AO9" s="283">
        <f t="shared" si="10"/>
        <v>7361.6200275656402</v>
      </c>
      <c r="AP9" s="283">
        <f t="shared" si="10"/>
        <v>-4353.39727033488</v>
      </c>
    </row>
    <row r="10" spans="1:42" outlineLevel="1" x14ac:dyDescent="0.25">
      <c r="B10">
        <f>SUM(B2:B9)</f>
        <v>71</v>
      </c>
      <c r="C10" s="193">
        <f t="shared" si="12"/>
        <v>1</v>
      </c>
      <c r="D10" s="126"/>
      <c r="F10" s="294">
        <f>SUMIFS(H$14:H$92,H$14:H$92,1,$C$14:$C$92,"&lt;&gt;offline")/$B10</f>
        <v>0.73239436619718312</v>
      </c>
      <c r="G10" s="167">
        <f>SUM(G2:G9)</f>
        <v>115643.36685176758</v>
      </c>
      <c r="H10" s="143">
        <f t="shared" si="5"/>
        <v>1628.779814813628</v>
      </c>
      <c r="I10">
        <f>SUM(F14:F92)/B10</f>
        <v>699.30348409044859</v>
      </c>
      <c r="J10" s="137"/>
      <c r="K10" s="6"/>
      <c r="L10" s="292"/>
      <c r="M10" s="286"/>
      <c r="N10" s="292"/>
      <c r="O10" s="6"/>
      <c r="R10" s="6"/>
      <c r="S10" s="286"/>
      <c r="T10" s="286"/>
      <c r="U10" s="286"/>
      <c r="V10" s="6"/>
      <c r="W10" s="286"/>
      <c r="X10" s="6"/>
      <c r="Y10" s="6" t="s">
        <v>1245</v>
      </c>
      <c r="Z10" s="284">
        <f>SUM(Z2:Z9)</f>
        <v>115643.36685176758</v>
      </c>
      <c r="AA10" s="284">
        <f t="shared" ref="AA10:AP10" si="14">SUM(AA2:AA9)</f>
        <v>25372.136031323549</v>
      </c>
      <c r="AB10" s="284">
        <f t="shared" si="14"/>
        <v>-25372.136031323549</v>
      </c>
      <c r="AC10" s="284">
        <f t="shared" si="14"/>
        <v>33125.793147881581</v>
      </c>
      <c r="AD10" s="284">
        <f t="shared" si="14"/>
        <v>-33125.793147881581</v>
      </c>
      <c r="AE10" s="284">
        <f t="shared" si="14"/>
        <v>29852.03476366312</v>
      </c>
      <c r="AF10" s="284">
        <f t="shared" si="14"/>
        <v>-23770.654662595916</v>
      </c>
      <c r="AG10" s="284">
        <f t="shared" si="14"/>
        <v>-33370.939060450313</v>
      </c>
      <c r="AH10" s="284">
        <f t="shared" si="14"/>
        <v>11346.667414071513</v>
      </c>
      <c r="AI10" s="284">
        <f t="shared" ref="AI10" si="15">SUM(AI2:AI9)</f>
        <v>-11346.667414071513</v>
      </c>
      <c r="AJ10" s="284">
        <f t="shared" si="14"/>
        <v>10587.553640133974</v>
      </c>
      <c r="AK10" s="284">
        <f t="shared" si="14"/>
        <v>4500.5968694001995</v>
      </c>
      <c r="AL10" s="284">
        <f t="shared" si="14"/>
        <v>-7882.6502064545793</v>
      </c>
      <c r="AM10" s="284">
        <f t="shared" si="14"/>
        <v>-39935.28086824467</v>
      </c>
      <c r="AN10" s="284">
        <f t="shared" si="14"/>
        <v>-21583.573237590026</v>
      </c>
      <c r="AO10" s="284">
        <f t="shared" si="14"/>
        <v>30322.578893439571</v>
      </c>
      <c r="AP10" s="284">
        <f t="shared" si="14"/>
        <v>-3763.6299188556063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115643</v>
      </c>
      <c r="AA12" s="308" t="str">
        <f t="shared" si="16"/>
        <v>RISK-ON ACC 62% PNL 25372</v>
      </c>
      <c r="AB12" s="308" t="str">
        <f t="shared" si="16"/>
        <v>RISK-OFF ACC 39% PNL -25372</v>
      </c>
      <c r="AC12" s="308" t="str">
        <f t="shared" si="16"/>
        <v>Previous ACC 58% PNL 33126</v>
      </c>
      <c r="AD12" s="337" t="str">
        <f t="shared" si="16"/>
        <v>Anti-Previous ACC 44% PNL -33126</v>
      </c>
      <c r="AE12" s="338" t="str">
        <f t="shared" si="16"/>
        <v>&gt;equity ACC 55% PNL 29852</v>
      </c>
      <c r="AF12" s="338" t="str">
        <f t="shared" si="16"/>
        <v>50/50 ACC 58% PNL -23771</v>
      </c>
      <c r="AG12" s="338" t="str">
        <f t="shared" si="16"/>
        <v>&lt;equity ACC 51% PNL -33371</v>
      </c>
      <c r="AH12" s="339" t="str">
        <f t="shared" si="16"/>
        <v>SEASONALITY ACC 49% PNL 11347</v>
      </c>
      <c r="AI12" s="339" t="str">
        <f t="shared" si="16"/>
        <v>ANTI-SEASONALITY ACC 52% PNL -11347</v>
      </c>
      <c r="AJ12" s="339" t="str">
        <f t="shared" si="16"/>
        <v>ADJ_SEASONALITY ACC 58% PNL 10588</v>
      </c>
      <c r="AK12" s="340" t="str">
        <f t="shared" si="16"/>
        <v>V1 ACC 56% PNL 4501</v>
      </c>
      <c r="AL12" s="340" t="str">
        <f t="shared" si="16"/>
        <v>V2 ACC 54% PNL -7883</v>
      </c>
      <c r="AM12" s="340" t="str">
        <f t="shared" si="16"/>
        <v>V3 ACC 51% PNL -39935</v>
      </c>
      <c r="AN12" s="340" t="str">
        <f t="shared" si="16"/>
        <v>V4 ACC 56% PNL -21584</v>
      </c>
      <c r="AO12" s="340" t="str">
        <f t="shared" si="16"/>
        <v>V5 ACC 51% PNL 30323</v>
      </c>
      <c r="AP12" s="340" t="str">
        <f t="shared" si="16"/>
        <v>V6 ACC 51% PNL -3764</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858300.99064841692</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28" t="s">
        <v>287</v>
      </c>
      <c r="B14" s="329" t="s">
        <v>558</v>
      </c>
      <c r="C14" s="330" t="s">
        <v>1285</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H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28" t="s">
        <v>307</v>
      </c>
      <c r="B22" s="329" t="s">
        <v>484</v>
      </c>
      <c r="C22" s="330" t="s">
        <v>1285</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28" t="s">
        <v>320</v>
      </c>
      <c r="B29" s="329" t="s">
        <v>564</v>
      </c>
      <c r="C29" s="330" t="s">
        <v>1285</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28" t="s">
        <v>335</v>
      </c>
      <c r="B36" s="329" t="s">
        <v>568</v>
      </c>
      <c r="C36" s="330" t="s">
        <v>1285</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28" t="s">
        <v>341</v>
      </c>
      <c r="B39" s="329" t="s">
        <v>453</v>
      </c>
      <c r="C39" s="330" t="s">
        <v>1285</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5750</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7000</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330" t="s">
        <v>1285</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105072</v>
      </c>
      <c r="Y49" s="137">
        <v>7311</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147840</v>
      </c>
      <c r="Y54" s="137">
        <v>15640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69540</v>
      </c>
      <c r="Y77" s="137">
        <v>12000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H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2190000</v>
      </c>
      <c r="Y83" s="137">
        <v>8244</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28" t="s">
        <v>1054</v>
      </c>
      <c r="B89" s="329" t="s">
        <v>463</v>
      </c>
      <c r="C89" s="330" t="s">
        <v>1285</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0.61971830985915488</v>
      </c>
      <c r="AB94" s="193">
        <f t="shared" si="68"/>
        <v>0.39436619718309857</v>
      </c>
      <c r="AC94" s="193">
        <f t="shared" ref="AC94" si="69">COUNTIF(AC14:AC92,"&gt;0")/$B$10</f>
        <v>0.57746478873239437</v>
      </c>
      <c r="AD94" s="193">
        <f t="shared" si="68"/>
        <v>0.43661971830985913</v>
      </c>
      <c r="AE94" s="193">
        <f t="shared" si="68"/>
        <v>0.54929577464788737</v>
      </c>
      <c r="AF94" s="193">
        <f t="shared" si="68"/>
        <v>0.57746478873239437</v>
      </c>
      <c r="AG94" s="193">
        <f t="shared" si="68"/>
        <v>0.50704225352112675</v>
      </c>
      <c r="AH94" s="193">
        <f t="shared" si="68"/>
        <v>0.49295774647887325</v>
      </c>
      <c r="AI94" s="193">
        <f t="shared" ref="AI94" si="70">COUNTIF(AI14:AI92,"&gt;0")/$B$10</f>
        <v>0.52112676056338025</v>
      </c>
      <c r="AJ94" s="193">
        <f t="shared" si="68"/>
        <v>0.57746478873239437</v>
      </c>
      <c r="AK94" s="193">
        <f t="shared" si="68"/>
        <v>0.56338028169014087</v>
      </c>
      <c r="AL94" s="193">
        <f t="shared" si="68"/>
        <v>0.53521126760563376</v>
      </c>
      <c r="AM94" s="193">
        <f t="shared" si="68"/>
        <v>0.50704225352112675</v>
      </c>
      <c r="AN94" s="193">
        <f t="shared" si="68"/>
        <v>0.56338028169014087</v>
      </c>
      <c r="AO94" s="193">
        <f t="shared" si="68"/>
        <v>0.50704225352112675</v>
      </c>
      <c r="AP94" s="193">
        <f t="shared" si="68"/>
        <v>0.50704225352112675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1294</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1" t="str">
        <f t="shared" ref="Z1:AP1" si="1">Z12</f>
        <v>MAX ACC 101% PNL 77839</v>
      </c>
      <c r="AA1" s="332" t="str">
        <f t="shared" si="1"/>
        <v>RISK-ON ACC 30% PNL -28545</v>
      </c>
      <c r="AB1" s="332" t="str">
        <f t="shared" si="1"/>
        <v>RISK-OFF ACC 72% PNL 28545</v>
      </c>
      <c r="AC1" s="332" t="str">
        <f t="shared" ref="AC1" si="2">AC12</f>
        <v>Previous ACC 51% PNL 1874</v>
      </c>
      <c r="AD1" s="295" t="str">
        <f t="shared" si="1"/>
        <v>Anti-Previous ACC 51% PNL -1874</v>
      </c>
      <c r="AE1" s="333" t="str">
        <f t="shared" si="1"/>
        <v>&gt;equity ACC 55% PNL 9104</v>
      </c>
      <c r="AF1" s="333" t="str">
        <f t="shared" si="1"/>
        <v>50/50 ACC 48% PNL -9382</v>
      </c>
      <c r="AG1" s="333" t="str">
        <f t="shared" si="1"/>
        <v>&lt;equity ACC 51% PNL -6272</v>
      </c>
      <c r="AH1" s="334" t="str">
        <f t="shared" si="1"/>
        <v>SEASONALITY ACC 49% PNL -8738</v>
      </c>
      <c r="AI1" s="334" t="str">
        <f t="shared" si="1"/>
        <v>ANTI-SEASONALITY ACC 52% PNL 8738</v>
      </c>
      <c r="AJ1" s="334" t="str">
        <f t="shared" si="1"/>
        <v>ADJ_SEASONALITY ACC 61% PNL 21948</v>
      </c>
      <c r="AK1" s="335" t="str">
        <f t="shared" si="1"/>
        <v>V1 ACC 49% PNL -5438</v>
      </c>
      <c r="AL1" s="335" t="str">
        <f t="shared" si="1"/>
        <v>V2 ACC 52% PNL 10202</v>
      </c>
      <c r="AM1" s="335" t="str">
        <f t="shared" si="1"/>
        <v>V3 ACC 54% PNL 1677</v>
      </c>
      <c r="AN1" s="335" t="str">
        <f t="shared" si="1"/>
        <v>V4 ACC 56% PNL 9692</v>
      </c>
      <c r="AO1" s="335" t="str">
        <f t="shared" si="1"/>
        <v>V5 ACC 42% PNL -8867</v>
      </c>
      <c r="AP1" s="335" t="str">
        <f t="shared" si="1"/>
        <v>V6 ACC 54% PNL 2880</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2">
        <f t="shared" ref="K2:K9" si="7">SUMIF($C$14:$C$92,$A2,E$14:E$92)/$B2</f>
        <v>0.1111111111111111</v>
      </c>
      <c r="L2" s="342">
        <f t="shared" ref="L2:O9" si="8">SUMIF($C$14:$C$92,$A2,I$14:I$92)/$B2</f>
        <v>0.1111111111111111</v>
      </c>
      <c r="M2" s="342">
        <f t="shared" si="8"/>
        <v>0.55555555555555558</v>
      </c>
      <c r="N2" s="342">
        <f t="shared" si="8"/>
        <v>-0.1111111111111111</v>
      </c>
      <c r="O2" s="342">
        <f t="shared" si="8"/>
        <v>-0.1111111111111111</v>
      </c>
      <c r="P2" s="342">
        <f t="shared" ref="P2:V9" si="9">SUMIF($C$14:$C$92,$A2,O$14:O$92)/$B2</f>
        <v>-0.33333333333333331</v>
      </c>
      <c r="Q2" s="342">
        <f t="shared" si="9"/>
        <v>-0.1111111111111111</v>
      </c>
      <c r="R2" s="342">
        <f t="shared" si="9"/>
        <v>-0.1111111111111111</v>
      </c>
      <c r="S2" s="342">
        <f t="shared" si="9"/>
        <v>0.1111111111111111</v>
      </c>
      <c r="T2" s="342">
        <f t="shared" si="9"/>
        <v>0.1111111111111111</v>
      </c>
      <c r="U2" s="342">
        <f t="shared" si="9"/>
        <v>0.33333333333333331</v>
      </c>
      <c r="V2" s="342">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8.4507042253521125E-2</v>
      </c>
      <c r="F3" s="294">
        <f t="shared" si="3"/>
        <v>0.16666666666666666</v>
      </c>
      <c r="G3" s="137">
        <f t="shared" si="4"/>
        <v>11919.601252009867</v>
      </c>
      <c r="H3" s="143">
        <f t="shared" si="5"/>
        <v>1986.6002086683111</v>
      </c>
      <c r="I3" s="186">
        <f t="shared" ref="I3:I9" si="13">SUMIF($C$14:$C$92,A3,F$14:F$92)/B3</f>
        <v>-451.29193799209514</v>
      </c>
      <c r="J3" t="str">
        <f t="shared" si="6"/>
        <v>energy</v>
      </c>
      <c r="K3" s="342">
        <f t="shared" si="7"/>
        <v>-1</v>
      </c>
      <c r="L3" s="342">
        <f t="shared" si="8"/>
        <v>-1</v>
      </c>
      <c r="M3" s="342">
        <f t="shared" si="8"/>
        <v>0</v>
      </c>
      <c r="N3" s="342">
        <f t="shared" si="8"/>
        <v>-1</v>
      </c>
      <c r="O3" s="342">
        <f t="shared" si="8"/>
        <v>0.33333333333333331</v>
      </c>
      <c r="P3" s="342">
        <f t="shared" si="9"/>
        <v>0</v>
      </c>
      <c r="Q3" s="342">
        <f t="shared" si="9"/>
        <v>-1</v>
      </c>
      <c r="R3" s="342">
        <f t="shared" si="9"/>
        <v>1</v>
      </c>
      <c r="S3" s="342">
        <f t="shared" si="9"/>
        <v>-0.33333333333333331</v>
      </c>
      <c r="T3" s="342">
        <f t="shared" si="9"/>
        <v>-0.33333333333333331</v>
      </c>
      <c r="U3" s="342">
        <f t="shared" si="9"/>
        <v>0</v>
      </c>
      <c r="V3" s="342">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0.14084507042253522</v>
      </c>
      <c r="F4" s="294">
        <f t="shared" si="3"/>
        <v>0.1</v>
      </c>
      <c r="G4" s="137">
        <f t="shared" si="4"/>
        <v>5304.3376493211608</v>
      </c>
      <c r="H4" s="143">
        <f t="shared" si="5"/>
        <v>530.43376493211611</v>
      </c>
      <c r="I4" s="186">
        <f t="shared" si="13"/>
        <v>-489.92550571993553</v>
      </c>
      <c r="J4" t="str">
        <f t="shared" si="6"/>
        <v>grain</v>
      </c>
      <c r="K4" s="342">
        <f t="shared" si="7"/>
        <v>0.2</v>
      </c>
      <c r="L4" s="342">
        <f t="shared" si="8"/>
        <v>0.2</v>
      </c>
      <c r="M4" s="342">
        <f t="shared" si="8"/>
        <v>0.4</v>
      </c>
      <c r="N4" s="342">
        <f t="shared" si="8"/>
        <v>0.2</v>
      </c>
      <c r="O4" s="342">
        <f t="shared" si="8"/>
        <v>0.6</v>
      </c>
      <c r="P4" s="342">
        <f t="shared" si="9"/>
        <v>0.2</v>
      </c>
      <c r="Q4" s="342">
        <f t="shared" si="9"/>
        <v>-0.4</v>
      </c>
      <c r="R4" s="342">
        <f t="shared" si="9"/>
        <v>0.4</v>
      </c>
      <c r="S4" s="342">
        <f t="shared" si="9"/>
        <v>-0.4</v>
      </c>
      <c r="T4" s="342">
        <f t="shared" si="9"/>
        <v>-0.4</v>
      </c>
      <c r="U4" s="342">
        <f t="shared" si="9"/>
        <v>0</v>
      </c>
      <c r="V4" s="342">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0.29577464788732394</v>
      </c>
      <c r="F5" s="294">
        <f t="shared" si="3"/>
        <v>0.2857142857142857</v>
      </c>
      <c r="G5" s="137">
        <f t="shared" si="4"/>
        <v>23128.279236074894</v>
      </c>
      <c r="H5" s="143">
        <f t="shared" si="5"/>
        <v>1101.3466302892807</v>
      </c>
      <c r="I5" s="186">
        <f t="shared" si="13"/>
        <v>-565.71110935254103</v>
      </c>
      <c r="J5" t="str">
        <f t="shared" si="6"/>
        <v>index</v>
      </c>
      <c r="K5" s="342">
        <f t="shared" si="7"/>
        <v>0.52380952380952384</v>
      </c>
      <c r="L5" s="342">
        <f t="shared" si="8"/>
        <v>0.52380952380952384</v>
      </c>
      <c r="M5" s="342">
        <f t="shared" si="8"/>
        <v>-0.23809523809523808</v>
      </c>
      <c r="N5" s="342">
        <f t="shared" si="8"/>
        <v>0.61904761904761907</v>
      </c>
      <c r="O5" s="342">
        <f t="shared" si="8"/>
        <v>-0.33333333333333331</v>
      </c>
      <c r="P5" s="342">
        <f t="shared" si="9"/>
        <v>-4.7619047619047616E-2</v>
      </c>
      <c r="Q5" s="342">
        <f t="shared" si="9"/>
        <v>0.61904761904761907</v>
      </c>
      <c r="R5" s="342">
        <f t="shared" si="9"/>
        <v>-0.23809523809523808</v>
      </c>
      <c r="S5" s="342">
        <f t="shared" si="9"/>
        <v>0.23809523809523808</v>
      </c>
      <c r="T5" s="342">
        <f t="shared" si="9"/>
        <v>0.14285714285714285</v>
      </c>
      <c r="U5" s="342">
        <f t="shared" si="9"/>
        <v>4.7619047619047616E-2</v>
      </c>
      <c r="V5" s="342">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4.2253521126760563E-2</v>
      </c>
      <c r="F6" s="294">
        <f t="shared" si="3"/>
        <v>0</v>
      </c>
      <c r="G6" s="137">
        <f t="shared" si="4"/>
        <v>5761.519248424268</v>
      </c>
      <c r="H6" s="143">
        <f t="shared" si="5"/>
        <v>1920.5064161414227</v>
      </c>
      <c r="I6" s="186">
        <f t="shared" si="13"/>
        <v>-1920.5064161414227</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7.0422535211267609E-2</v>
      </c>
      <c r="F7" s="294">
        <f t="shared" si="3"/>
        <v>0.8</v>
      </c>
      <c r="G7" s="137">
        <f t="shared" si="4"/>
        <v>5735.4517355248317</v>
      </c>
      <c r="H7" s="143">
        <f t="shared" si="5"/>
        <v>1147.0903471049664</v>
      </c>
      <c r="I7" s="186">
        <f t="shared" si="13"/>
        <v>723.5997944696777</v>
      </c>
      <c r="J7" t="str">
        <f t="shared" si="6"/>
        <v>metal</v>
      </c>
      <c r="K7" s="342">
        <f t="shared" si="7"/>
        <v>0.6</v>
      </c>
      <c r="L7" s="342">
        <f t="shared" si="8"/>
        <v>0.6</v>
      </c>
      <c r="M7" s="342">
        <f t="shared" si="8"/>
        <v>-0.6</v>
      </c>
      <c r="N7" s="342">
        <f t="shared" si="8"/>
        <v>0.6</v>
      </c>
      <c r="O7" s="342">
        <f t="shared" si="8"/>
        <v>0.2</v>
      </c>
      <c r="P7" s="342">
        <f t="shared" si="9"/>
        <v>1</v>
      </c>
      <c r="Q7" s="342">
        <f t="shared" si="9"/>
        <v>0.6</v>
      </c>
      <c r="R7" s="342">
        <f t="shared" si="9"/>
        <v>-0.2</v>
      </c>
      <c r="S7" s="342">
        <f t="shared" si="9"/>
        <v>-0.2</v>
      </c>
      <c r="T7" s="342">
        <f t="shared" si="9"/>
        <v>-0.2</v>
      </c>
      <c r="U7" s="342">
        <f t="shared" si="9"/>
        <v>-0.6</v>
      </c>
      <c r="V7" s="342">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0.14084507042253522</v>
      </c>
      <c r="F8" s="294">
        <f t="shared" si="3"/>
        <v>0.8</v>
      </c>
      <c r="G8" s="137">
        <f t="shared" si="4"/>
        <v>7738.5822578603593</v>
      </c>
      <c r="H8" s="143">
        <f t="shared" si="5"/>
        <v>773.85822578603597</v>
      </c>
      <c r="I8" s="186">
        <f t="shared" si="13"/>
        <v>431.42135392148236</v>
      </c>
      <c r="J8" t="str">
        <f t="shared" si="6"/>
        <v>rates</v>
      </c>
      <c r="K8" s="342">
        <f t="shared" si="7"/>
        <v>0.6</v>
      </c>
      <c r="L8" s="342">
        <f t="shared" si="8"/>
        <v>0</v>
      </c>
      <c r="M8" s="342">
        <f t="shared" si="8"/>
        <v>0.2</v>
      </c>
      <c r="N8" s="342">
        <f t="shared" si="8"/>
        <v>0.2</v>
      </c>
      <c r="O8" s="342">
        <f t="shared" si="8"/>
        <v>1</v>
      </c>
      <c r="P8" s="342">
        <f t="shared" si="9"/>
        <v>-0.2</v>
      </c>
      <c r="Q8" s="342">
        <f t="shared" si="9"/>
        <v>0</v>
      </c>
      <c r="R8" s="342">
        <f t="shared" si="9"/>
        <v>-0.6</v>
      </c>
      <c r="S8" s="342">
        <f t="shared" si="9"/>
        <v>-1</v>
      </c>
      <c r="T8" s="342">
        <f t="shared" si="9"/>
        <v>-0.8</v>
      </c>
      <c r="U8" s="342">
        <f t="shared" si="9"/>
        <v>0</v>
      </c>
      <c r="V8" s="342">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7</v>
      </c>
      <c r="C9" s="200">
        <f t="shared" si="12"/>
        <v>9.8591549295774641E-2</v>
      </c>
      <c r="D9" s="126"/>
      <c r="F9" s="294">
        <f t="shared" si="3"/>
        <v>0.2857142857142857</v>
      </c>
      <c r="G9" s="199">
        <f t="shared" si="4"/>
        <v>8458.9621573776931</v>
      </c>
      <c r="H9" s="143">
        <f t="shared" si="5"/>
        <v>1208.4231653396705</v>
      </c>
      <c r="I9" s="186">
        <f t="shared" si="13"/>
        <v>-786.91140945918562</v>
      </c>
      <c r="J9" t="str">
        <f t="shared" si="6"/>
        <v>soft</v>
      </c>
      <c r="K9" s="342">
        <f t="shared" si="7"/>
        <v>-0.7142857142857143</v>
      </c>
      <c r="L9" s="342">
        <f t="shared" si="8"/>
        <v>-0.14285714285714285</v>
      </c>
      <c r="M9" s="342">
        <f t="shared" si="8"/>
        <v>0.14285714285714285</v>
      </c>
      <c r="N9" s="342">
        <f t="shared" si="8"/>
        <v>-0.42857142857142855</v>
      </c>
      <c r="O9" s="342">
        <f t="shared" si="8"/>
        <v>-0.42857142857142855</v>
      </c>
      <c r="P9" s="342">
        <f t="shared" si="9"/>
        <v>-0.14285714285714285</v>
      </c>
      <c r="Q9" s="342">
        <f t="shared" si="9"/>
        <v>-0.14285714285714285</v>
      </c>
      <c r="R9" s="342">
        <f t="shared" si="9"/>
        <v>0.42857142857142855</v>
      </c>
      <c r="S9" s="342">
        <f t="shared" si="9"/>
        <v>0.14285714285714285</v>
      </c>
      <c r="T9" s="342">
        <f t="shared" si="9"/>
        <v>0.14285714285714285</v>
      </c>
      <c r="U9" s="342">
        <f t="shared" si="9"/>
        <v>-0.14285714285714285</v>
      </c>
      <c r="V9" s="342">
        <f t="shared" si="9"/>
        <v>0.7142857142857143</v>
      </c>
      <c r="W9" s="286"/>
      <c r="X9" s="6"/>
      <c r="Y9" s="17" t="s">
        <v>304</v>
      </c>
      <c r="Z9" s="283">
        <f t="shared" si="10"/>
        <v>8458.9621573776931</v>
      </c>
      <c r="AA9" s="283">
        <f t="shared" si="10"/>
        <v>-5508.379866214299</v>
      </c>
      <c r="AB9" s="283">
        <f t="shared" si="10"/>
        <v>5508.379866214299</v>
      </c>
      <c r="AC9" s="283">
        <f t="shared" si="10"/>
        <v>4952.6920818240151</v>
      </c>
      <c r="AD9" s="283">
        <f t="shared" si="10"/>
        <v>-4952.6920818240151</v>
      </c>
      <c r="AE9" s="283">
        <f t="shared" si="10"/>
        <v>3308.832919043638</v>
      </c>
      <c r="AF9" s="283">
        <f t="shared" si="10"/>
        <v>-6324.147936204974</v>
      </c>
      <c r="AG9" s="283">
        <f t="shared" si="10"/>
        <v>-4783.9548702634775</v>
      </c>
      <c r="AH9" s="283">
        <f t="shared" si="10"/>
        <v>8458.9621573776931</v>
      </c>
      <c r="AI9" s="283">
        <f t="shared" si="10"/>
        <v>-8458.9621573776931</v>
      </c>
      <c r="AJ9" s="283">
        <f t="shared" si="10"/>
        <v>6448.2396442915706</v>
      </c>
      <c r="AK9" s="283">
        <f t="shared" si="10"/>
        <v>-5339.6426546537614</v>
      </c>
      <c r="AL9" s="283">
        <f t="shared" si="10"/>
        <v>3328.9201415676384</v>
      </c>
      <c r="AM9" s="283">
        <f t="shared" si="10"/>
        <v>-7903.2743729874092</v>
      </c>
      <c r="AN9" s="283">
        <f t="shared" si="10"/>
        <v>-7903.2743729874092</v>
      </c>
      <c r="AO9" s="283">
        <f t="shared" si="10"/>
        <v>1833.3725791000838</v>
      </c>
      <c r="AP9" s="283">
        <f t="shared" si="10"/>
        <v>-6983.5018174341385</v>
      </c>
    </row>
    <row r="10" spans="1:42" outlineLevel="1" x14ac:dyDescent="0.25">
      <c r="B10">
        <f>SUM(B2:B9)</f>
        <v>71</v>
      </c>
      <c r="C10" s="193">
        <f t="shared" si="12"/>
        <v>1</v>
      </c>
      <c r="D10" s="126"/>
      <c r="F10" s="294">
        <f>SUMIFS(H$14:H$92,H$14:H$92,1,$C$14:$C$92,"&lt;&gt;offline")/$B10</f>
        <v>0.38028169014084506</v>
      </c>
      <c r="G10" s="167">
        <f>SUM(G2:G9)</f>
        <v>77838.730205286978</v>
      </c>
      <c r="H10" s="143">
        <f t="shared" si="5"/>
        <v>1096.3201437364364</v>
      </c>
      <c r="I10">
        <f>SUM(F14:F92)/B10</f>
        <v>-263.5376645352037</v>
      </c>
      <c r="J10" s="137"/>
      <c r="K10" s="6"/>
      <c r="L10" s="292"/>
      <c r="M10" s="286"/>
      <c r="N10" s="292"/>
      <c r="O10" s="6"/>
      <c r="R10" s="6"/>
      <c r="S10" s="286"/>
      <c r="T10" s="286"/>
      <c r="U10" s="286"/>
      <c r="V10" s="6"/>
      <c r="W10" s="286"/>
      <c r="X10" s="6"/>
      <c r="Y10" s="6" t="s">
        <v>1245</v>
      </c>
      <c r="Z10" s="284">
        <f>SUM(Z2:Z9)</f>
        <v>77838.730205286978</v>
      </c>
      <c r="AA10" s="284">
        <f t="shared" ref="AA10:AP10" si="14">SUM(AA2:AA9)</f>
        <v>-28544.877977226661</v>
      </c>
      <c r="AB10" s="284">
        <f t="shared" si="14"/>
        <v>28544.877977226661</v>
      </c>
      <c r="AC10" s="284">
        <f t="shared" si="14"/>
        <v>1873.7358188045355</v>
      </c>
      <c r="AD10" s="284">
        <f t="shared" si="14"/>
        <v>-1873.7358188045355</v>
      </c>
      <c r="AE10" s="284">
        <f t="shared" si="14"/>
        <v>9104.0298226644391</v>
      </c>
      <c r="AF10" s="284">
        <f t="shared" si="14"/>
        <v>-9381.8439027886816</v>
      </c>
      <c r="AG10" s="284">
        <f t="shared" si="14"/>
        <v>-6271.8950058812088</v>
      </c>
      <c r="AH10" s="284">
        <f t="shared" si="14"/>
        <v>-8738.021777111222</v>
      </c>
      <c r="AI10" s="284">
        <f t="shared" ref="AI10" si="15">SUM(AI2:AI9)</f>
        <v>8738.021777111222</v>
      </c>
      <c r="AJ10" s="284">
        <f t="shared" si="14"/>
        <v>21947.997705074838</v>
      </c>
      <c r="AK10" s="284">
        <f t="shared" si="14"/>
        <v>-5437.8120305486418</v>
      </c>
      <c r="AL10" s="284">
        <f t="shared" si="14"/>
        <v>10201.683335335107</v>
      </c>
      <c r="AM10" s="284">
        <f t="shared" si="14"/>
        <v>1676.9012475842937</v>
      </c>
      <c r="AN10" s="284">
        <f t="shared" si="14"/>
        <v>9692.1171862260162</v>
      </c>
      <c r="AO10" s="284">
        <f t="shared" si="14"/>
        <v>-8866.530415702322</v>
      </c>
      <c r="AP10" s="284">
        <f t="shared" si="14"/>
        <v>2879.5189989627288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77839</v>
      </c>
      <c r="AA12" s="308" t="str">
        <f t="shared" si="16"/>
        <v>RISK-ON ACC 30% PNL -28545</v>
      </c>
      <c r="AB12" s="308" t="str">
        <f t="shared" si="16"/>
        <v>RISK-OFF ACC 72% PNL 28545</v>
      </c>
      <c r="AC12" s="308" t="str">
        <f t="shared" si="16"/>
        <v>Previous ACC 51% PNL 1874</v>
      </c>
      <c r="AD12" s="337" t="str">
        <f t="shared" si="16"/>
        <v>Anti-Previous ACC 51% PNL -1874</v>
      </c>
      <c r="AE12" s="338" t="str">
        <f t="shared" si="16"/>
        <v>&gt;equity ACC 55% PNL 9104</v>
      </c>
      <c r="AF12" s="338" t="str">
        <f t="shared" si="16"/>
        <v>50/50 ACC 48% PNL -9382</v>
      </c>
      <c r="AG12" s="338" t="str">
        <f t="shared" si="16"/>
        <v>&lt;equity ACC 51% PNL -6272</v>
      </c>
      <c r="AH12" s="339" t="str">
        <f t="shared" si="16"/>
        <v>SEASONALITY ACC 49% PNL -8738</v>
      </c>
      <c r="AI12" s="339" t="str">
        <f t="shared" si="16"/>
        <v>ANTI-SEASONALITY ACC 52% PNL 8738</v>
      </c>
      <c r="AJ12" s="339" t="str">
        <f t="shared" si="16"/>
        <v>ADJ_SEASONALITY ACC 61% PNL 21948</v>
      </c>
      <c r="AK12" s="340" t="str">
        <f t="shared" si="16"/>
        <v>V1 ACC 49% PNL -5438</v>
      </c>
      <c r="AL12" s="340" t="str">
        <f t="shared" si="16"/>
        <v>V2 ACC 52% PNL 10202</v>
      </c>
      <c r="AM12" s="340" t="str">
        <f t="shared" si="16"/>
        <v>V3 ACC 54% PNL 1677</v>
      </c>
      <c r="AN12" s="340" t="str">
        <f t="shared" si="16"/>
        <v>V4 ACC 56% PNL 9692</v>
      </c>
      <c r="AO12" s="340" t="str">
        <f t="shared" si="16"/>
        <v>V5 ACC 42% PNL -8867</v>
      </c>
      <c r="AP12" s="340" t="str">
        <f t="shared" si="16"/>
        <v>V6 ACC 54% PNL 2880</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858300.99064841692</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28" t="s">
        <v>287</v>
      </c>
      <c r="B14" s="329" t="s">
        <v>558</v>
      </c>
      <c r="C14" s="330" t="s">
        <v>1285</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H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28" t="s">
        <v>307</v>
      </c>
      <c r="B22" s="329" t="s">
        <v>484</v>
      </c>
      <c r="C22" s="330" t="s">
        <v>1285</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28" t="s">
        <v>320</v>
      </c>
      <c r="B29" s="329" t="s">
        <v>564</v>
      </c>
      <c r="C29" s="330" t="s">
        <v>1285</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28" t="s">
        <v>335</v>
      </c>
      <c r="B36" s="329" t="s">
        <v>568</v>
      </c>
      <c r="C36" s="330" t="s">
        <v>1285</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28" t="s">
        <v>341</v>
      </c>
      <c r="B39" s="329" t="s">
        <v>453</v>
      </c>
      <c r="C39" s="330" t="s">
        <v>1285</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5750</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7000</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330" t="s">
        <v>1285</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105072</v>
      </c>
      <c r="Y49" s="137">
        <v>7311</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147840</v>
      </c>
      <c r="Y54" s="137">
        <v>15640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69540</v>
      </c>
      <c r="Y77" s="137">
        <v>12000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H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2190000</v>
      </c>
      <c r="Y83" s="137">
        <v>8244</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28" t="s">
        <v>1054</v>
      </c>
      <c r="B89" s="329" t="s">
        <v>463</v>
      </c>
      <c r="C89" s="330" t="s">
        <v>1285</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0.29577464788732394</v>
      </c>
      <c r="AB94" s="193">
        <f t="shared" si="68"/>
        <v>0.71830985915492962</v>
      </c>
      <c r="AC94" s="193">
        <f t="shared" ref="AC94" si="69">COUNTIF(AC14:AC92,"&gt;0")/$B$10</f>
        <v>0.50704225352112675</v>
      </c>
      <c r="AD94" s="193">
        <f t="shared" si="68"/>
        <v>0.50704225352112675</v>
      </c>
      <c r="AE94" s="193">
        <f t="shared" si="68"/>
        <v>0.54929577464788737</v>
      </c>
      <c r="AF94" s="193">
        <f t="shared" si="68"/>
        <v>0.47887323943661969</v>
      </c>
      <c r="AG94" s="193">
        <f t="shared" si="68"/>
        <v>0.50704225352112675</v>
      </c>
      <c r="AH94" s="193">
        <f t="shared" si="68"/>
        <v>0.49295774647887325</v>
      </c>
      <c r="AI94" s="193">
        <f t="shared" ref="AI94" si="70">COUNTIF(AI14:AI92,"&gt;0")/$B$10</f>
        <v>0.52112676056338025</v>
      </c>
      <c r="AJ94" s="193">
        <f t="shared" si="68"/>
        <v>0.60563380281690138</v>
      </c>
      <c r="AK94" s="193">
        <f t="shared" si="68"/>
        <v>0.49295774647887325</v>
      </c>
      <c r="AL94" s="193">
        <f t="shared" si="68"/>
        <v>0.52112676056338025</v>
      </c>
      <c r="AM94" s="193">
        <f t="shared" si="68"/>
        <v>0.53521126760563376</v>
      </c>
      <c r="AN94" s="193">
        <f t="shared" si="68"/>
        <v>0.56338028169014087</v>
      </c>
      <c r="AO94" s="193">
        <f t="shared" si="68"/>
        <v>0.42253521126760563</v>
      </c>
      <c r="AP94" s="193">
        <f t="shared" si="68"/>
        <v>0.53521126760563376</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1294</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1" t="str">
        <f t="shared" ref="Z1:AP1" si="1">Z12</f>
        <v>MAX ACC 100% PNL 81797</v>
      </c>
      <c r="AA1" s="332" t="str">
        <f t="shared" si="1"/>
        <v>RISK-ON ACC 48% PNL -20431</v>
      </c>
      <c r="AB1" s="332" t="str">
        <f t="shared" si="1"/>
        <v>RISK-OFF ACC 52% PNL 20431</v>
      </c>
      <c r="AC1" s="332" t="str">
        <f t="shared" ref="AC1" si="2">AC12</f>
        <v>Previous ACC 56% PNL 18215</v>
      </c>
      <c r="AD1" s="295" t="str">
        <f t="shared" si="1"/>
        <v>Anti-Previous ACC 44% PNL -18215</v>
      </c>
      <c r="AE1" s="333" t="str">
        <f t="shared" si="1"/>
        <v>&gt;equity ACC 55% PNL 11803</v>
      </c>
      <c r="AF1" s="333" t="str">
        <f t="shared" si="1"/>
        <v>50/50 ACC 52% PNL 6575</v>
      </c>
      <c r="AG1" s="333" t="str">
        <f t="shared" si="1"/>
        <v>&lt;equity ACC 48% PNL -6157</v>
      </c>
      <c r="AH1" s="334" t="str">
        <f t="shared" si="1"/>
        <v>SEASONALITY ACC 48% PNL 8911</v>
      </c>
      <c r="AI1" s="334" t="str">
        <f t="shared" si="1"/>
        <v>ANTI-SEASONALITY ACC 52% PNL -8911</v>
      </c>
      <c r="AJ1" s="334" t="str">
        <f t="shared" si="1"/>
        <v>ADJ_SEASONALITY ACC 49% PNL 7559</v>
      </c>
      <c r="AK1" s="335" t="str">
        <f t="shared" si="1"/>
        <v>V1 ACC 52% PNL 3799</v>
      </c>
      <c r="AL1" s="335" t="str">
        <f t="shared" si="1"/>
        <v>V2 ACC 48% PNL -5587</v>
      </c>
      <c r="AM1" s="335" t="str">
        <f t="shared" si="1"/>
        <v>V3 ACC 48% PNL -11625</v>
      </c>
      <c r="AN1" s="335" t="str">
        <f t="shared" si="1"/>
        <v>V4 ACC 54% PNL 1137</v>
      </c>
      <c r="AO1" s="335" t="str">
        <f t="shared" si="1"/>
        <v>V5 ACC 55% PNL 7043</v>
      </c>
      <c r="AP1" s="335" t="str">
        <f t="shared" si="1"/>
        <v>V6 ACC 44% PNL -20779</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2">
        <f t="shared" ref="K2:K9" si="7">SUMIF($C$14:$C$92,$A2,E$14:E$92)/$B2</f>
        <v>0.1111111111111111</v>
      </c>
      <c r="L2" s="342">
        <f t="shared" ref="L2:O9" si="8">SUMIF($C$14:$C$92,$A2,I$14:I$92)/$B2</f>
        <v>-0.33333333333333331</v>
      </c>
      <c r="M2" s="342">
        <f t="shared" si="8"/>
        <v>0.55555555555555558</v>
      </c>
      <c r="N2" s="342">
        <f t="shared" si="8"/>
        <v>-0.33333333333333331</v>
      </c>
      <c r="O2" s="342">
        <f t="shared" si="8"/>
        <v>-0.1111111111111111</v>
      </c>
      <c r="P2" s="342">
        <f t="shared" ref="P2:V9" si="9">SUMIF($C$14:$C$92,$A2,O$14:O$92)/$B2</f>
        <v>-0.33333333333333331</v>
      </c>
      <c r="Q2" s="342">
        <f t="shared" si="9"/>
        <v>0.33333333333333331</v>
      </c>
      <c r="R2" s="342">
        <f t="shared" si="9"/>
        <v>0.1111111111111111</v>
      </c>
      <c r="S2" s="342">
        <f t="shared" si="9"/>
        <v>-0.55555555555555558</v>
      </c>
      <c r="T2" s="342">
        <f t="shared" si="9"/>
        <v>-0.1111111111111111</v>
      </c>
      <c r="U2" s="342">
        <f t="shared" si="9"/>
        <v>0.33333333333333331</v>
      </c>
      <c r="V2" s="342">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8.4507042253521125E-2</v>
      </c>
      <c r="F3" s="294">
        <f t="shared" si="3"/>
        <v>0</v>
      </c>
      <c r="G3" s="137">
        <f t="shared" si="4"/>
        <v>8198.79999999541</v>
      </c>
      <c r="H3" s="143">
        <f t="shared" si="5"/>
        <v>1366.4666666659016</v>
      </c>
      <c r="I3" s="186">
        <f t="shared" ref="I3:I9" si="13">SUMIF($C$14:$C$92,A3,F$14:F$92)/B3</f>
        <v>-1366.4666666659016</v>
      </c>
      <c r="J3" t="str">
        <f t="shared" si="6"/>
        <v>energy</v>
      </c>
      <c r="K3" s="342">
        <f t="shared" si="7"/>
        <v>0</v>
      </c>
      <c r="L3" s="342">
        <f t="shared" si="8"/>
        <v>-0.33333333333333331</v>
      </c>
      <c r="M3" s="342">
        <f t="shared" si="8"/>
        <v>0.33333333333333331</v>
      </c>
      <c r="N3" s="342">
        <f t="shared" si="8"/>
        <v>-0.33333333333333331</v>
      </c>
      <c r="O3" s="342">
        <f t="shared" si="8"/>
        <v>0.33333333333333331</v>
      </c>
      <c r="P3" s="342">
        <f t="shared" si="9"/>
        <v>0</v>
      </c>
      <c r="Q3" s="342">
        <f t="shared" si="9"/>
        <v>-0.33333333333333331</v>
      </c>
      <c r="R3" s="342">
        <f t="shared" si="9"/>
        <v>0.33333333333333331</v>
      </c>
      <c r="S3" s="342">
        <f t="shared" si="9"/>
        <v>-0.33333333333333331</v>
      </c>
      <c r="T3" s="342">
        <f t="shared" si="9"/>
        <v>0</v>
      </c>
      <c r="U3" s="342">
        <f t="shared" si="9"/>
        <v>0.33333333333333331</v>
      </c>
      <c r="V3" s="342">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0.14084507042253522</v>
      </c>
      <c r="F4" s="294">
        <f t="shared" si="3"/>
        <v>0.6</v>
      </c>
      <c r="G4" s="137">
        <f t="shared" si="4"/>
        <v>7712.9094010729423</v>
      </c>
      <c r="H4" s="143">
        <f t="shared" si="5"/>
        <v>771.2909401072942</v>
      </c>
      <c r="I4" s="186">
        <f t="shared" si="13"/>
        <v>167.79094010633113</v>
      </c>
      <c r="J4" t="str">
        <f t="shared" si="6"/>
        <v>grain</v>
      </c>
      <c r="K4" s="342">
        <f t="shared" si="7"/>
        <v>-0.2</v>
      </c>
      <c r="L4" s="342">
        <f t="shared" si="8"/>
        <v>0</v>
      </c>
      <c r="M4" s="342">
        <f t="shared" si="8"/>
        <v>0.2</v>
      </c>
      <c r="N4" s="342">
        <f t="shared" si="8"/>
        <v>0</v>
      </c>
      <c r="O4" s="342">
        <f t="shared" si="8"/>
        <v>0.6</v>
      </c>
      <c r="P4" s="342">
        <f t="shared" si="9"/>
        <v>0.2</v>
      </c>
      <c r="Q4" s="342">
        <f t="shared" si="9"/>
        <v>-0.6</v>
      </c>
      <c r="R4" s="342">
        <f t="shared" si="9"/>
        <v>0.2</v>
      </c>
      <c r="S4" s="342">
        <f t="shared" si="9"/>
        <v>-0.2</v>
      </c>
      <c r="T4" s="342">
        <f t="shared" si="9"/>
        <v>-0.4</v>
      </c>
      <c r="U4" s="342">
        <f t="shared" si="9"/>
        <v>-0.2</v>
      </c>
      <c r="V4" s="342">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0.29577464788732394</v>
      </c>
      <c r="F5" s="294">
        <f t="shared" si="3"/>
        <v>0.76190476190476186</v>
      </c>
      <c r="G5" s="137">
        <f t="shared" si="4"/>
        <v>17228.249574098092</v>
      </c>
      <c r="H5" s="143">
        <f t="shared" si="5"/>
        <v>820.39283686181386</v>
      </c>
      <c r="I5" s="186">
        <f t="shared" si="13"/>
        <v>504.55607495735552</v>
      </c>
      <c r="J5" t="str">
        <f t="shared" si="6"/>
        <v>index</v>
      </c>
      <c r="K5" s="342">
        <f t="shared" si="7"/>
        <v>0.42857142857142855</v>
      </c>
      <c r="L5" s="342">
        <f t="shared" si="8"/>
        <v>0.7142857142857143</v>
      </c>
      <c r="M5" s="342">
        <f t="shared" si="8"/>
        <v>-0.23809523809523808</v>
      </c>
      <c r="N5" s="342">
        <f t="shared" si="8"/>
        <v>0.7142857142857143</v>
      </c>
      <c r="O5" s="342">
        <f t="shared" si="8"/>
        <v>-0.33333333333333331</v>
      </c>
      <c r="P5" s="342">
        <f t="shared" si="9"/>
        <v>-4.7619047619047616E-2</v>
      </c>
      <c r="Q5" s="342">
        <f t="shared" si="9"/>
        <v>0.7142857142857143</v>
      </c>
      <c r="R5" s="342">
        <f t="shared" si="9"/>
        <v>-0.42857142857142855</v>
      </c>
      <c r="S5" s="342">
        <f t="shared" si="9"/>
        <v>0.33333333333333331</v>
      </c>
      <c r="T5" s="342">
        <f t="shared" si="9"/>
        <v>0.33333333333333331</v>
      </c>
      <c r="U5" s="342">
        <f t="shared" si="9"/>
        <v>-0.14285714285714285</v>
      </c>
      <c r="V5" s="342">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4.2253521126760563E-2</v>
      </c>
      <c r="F6" s="294">
        <f t="shared" si="3"/>
        <v>0.33333333333333331</v>
      </c>
      <c r="G6" s="137">
        <f t="shared" si="4"/>
        <v>4864.9999999959482</v>
      </c>
      <c r="H6" s="143">
        <f t="shared" si="5"/>
        <v>1621.6666666653161</v>
      </c>
      <c r="I6" s="186">
        <f t="shared" si="13"/>
        <v>-1241.6666666653539</v>
      </c>
      <c r="J6" t="str">
        <f t="shared" si="6"/>
        <v>meat</v>
      </c>
      <c r="K6" s="342">
        <f t="shared" si="7"/>
        <v>0.33333333333333331</v>
      </c>
      <c r="L6" s="342">
        <f t="shared" si="8"/>
        <v>-1</v>
      </c>
      <c r="M6" s="342">
        <f t="shared" si="8"/>
        <v>-0.33333333333333331</v>
      </c>
      <c r="N6" s="342">
        <f t="shared" si="8"/>
        <v>0.33333333333333331</v>
      </c>
      <c r="O6" s="342">
        <f t="shared" si="8"/>
        <v>-0.33333333333333331</v>
      </c>
      <c r="P6" s="342">
        <f t="shared" si="9"/>
        <v>-1</v>
      </c>
      <c r="Q6" s="342">
        <f t="shared" si="9"/>
        <v>0.33333333333333331</v>
      </c>
      <c r="R6" s="342">
        <f t="shared" si="9"/>
        <v>-1</v>
      </c>
      <c r="S6" s="342">
        <f t="shared" si="9"/>
        <v>-1</v>
      </c>
      <c r="T6" s="342">
        <f t="shared" si="9"/>
        <v>-1</v>
      </c>
      <c r="U6" s="342">
        <f t="shared" si="9"/>
        <v>0.33333333333333331</v>
      </c>
      <c r="V6" s="342">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7.0422535211267609E-2</v>
      </c>
      <c r="F7" s="294">
        <f t="shared" si="3"/>
        <v>0.8</v>
      </c>
      <c r="G7" s="137">
        <f t="shared" si="4"/>
        <v>9965.0000000026503</v>
      </c>
      <c r="H7" s="143">
        <f t="shared" si="5"/>
        <v>1993.00000000053</v>
      </c>
      <c r="I7" s="186">
        <f t="shared" si="13"/>
        <v>1182.9999999990559</v>
      </c>
      <c r="J7" t="str">
        <f t="shared" si="6"/>
        <v>metal</v>
      </c>
      <c r="K7" s="342">
        <f t="shared" si="7"/>
        <v>1</v>
      </c>
      <c r="L7" s="342">
        <f t="shared" si="8"/>
        <v>0.2</v>
      </c>
      <c r="M7" s="342">
        <f t="shared" si="8"/>
        <v>1</v>
      </c>
      <c r="N7" s="342">
        <f t="shared" si="8"/>
        <v>0.2</v>
      </c>
      <c r="O7" s="342">
        <f t="shared" si="8"/>
        <v>0.2</v>
      </c>
      <c r="P7" s="342">
        <f t="shared" si="9"/>
        <v>1</v>
      </c>
      <c r="Q7" s="342">
        <f t="shared" si="9"/>
        <v>0.6</v>
      </c>
      <c r="R7" s="342">
        <f t="shared" si="9"/>
        <v>1</v>
      </c>
      <c r="S7" s="342">
        <f t="shared" si="9"/>
        <v>-0.6</v>
      </c>
      <c r="T7" s="342">
        <f t="shared" si="9"/>
        <v>0.6</v>
      </c>
      <c r="U7" s="342">
        <f t="shared" si="9"/>
        <v>-0.2</v>
      </c>
      <c r="V7" s="342">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0.14084507042253522</v>
      </c>
      <c r="F8" s="294">
        <f t="shared" si="3"/>
        <v>0.8</v>
      </c>
      <c r="G8" s="137">
        <f t="shared" si="4"/>
        <v>21074.136049592264</v>
      </c>
      <c r="H8" s="143">
        <f t="shared" si="5"/>
        <v>2107.4136049592262</v>
      </c>
      <c r="I8" s="186">
        <f t="shared" si="13"/>
        <v>1708.1476049591358</v>
      </c>
      <c r="J8" t="str">
        <f t="shared" si="6"/>
        <v>rates</v>
      </c>
      <c r="K8" s="342">
        <f t="shared" si="7"/>
        <v>0</v>
      </c>
      <c r="L8" s="342">
        <f t="shared" si="8"/>
        <v>-0.6</v>
      </c>
      <c r="M8" s="342">
        <f t="shared" si="8"/>
        <v>0.4</v>
      </c>
      <c r="N8" s="342">
        <f t="shared" si="8"/>
        <v>-0.4</v>
      </c>
      <c r="O8" s="342">
        <f t="shared" si="8"/>
        <v>1</v>
      </c>
      <c r="P8" s="342">
        <f t="shared" si="9"/>
        <v>-0.2</v>
      </c>
      <c r="Q8" s="342">
        <f t="shared" si="9"/>
        <v>-0.8</v>
      </c>
      <c r="R8" s="342">
        <f t="shared" si="9"/>
        <v>-0.2</v>
      </c>
      <c r="S8" s="342">
        <f t="shared" si="9"/>
        <v>-0.8</v>
      </c>
      <c r="T8" s="342">
        <f t="shared" si="9"/>
        <v>-0.6</v>
      </c>
      <c r="U8" s="342">
        <f t="shared" si="9"/>
        <v>0</v>
      </c>
      <c r="V8" s="342">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7</v>
      </c>
      <c r="C9" s="200">
        <f t="shared" si="12"/>
        <v>9.8591549295774641E-2</v>
      </c>
      <c r="D9" s="126"/>
      <c r="F9" s="294">
        <f t="shared" si="3"/>
        <v>0.14285714285714285</v>
      </c>
      <c r="G9" s="199">
        <f t="shared" si="4"/>
        <v>5893.6999999980499</v>
      </c>
      <c r="H9" s="143">
        <f t="shared" si="5"/>
        <v>841.95714285686427</v>
      </c>
      <c r="I9" s="186">
        <f t="shared" si="13"/>
        <v>-773.38571428529099</v>
      </c>
      <c r="J9" t="str">
        <f t="shared" si="6"/>
        <v>soft</v>
      </c>
      <c r="K9" s="342">
        <f t="shared" si="7"/>
        <v>0.14285714285714285</v>
      </c>
      <c r="L9" s="342">
        <f t="shared" si="8"/>
        <v>0.14285714285714285</v>
      </c>
      <c r="M9" s="342">
        <f t="shared" si="8"/>
        <v>-0.14285714285714285</v>
      </c>
      <c r="N9" s="342">
        <f t="shared" si="8"/>
        <v>0.14285714285714285</v>
      </c>
      <c r="O9" s="342">
        <f t="shared" si="8"/>
        <v>-0.42857142857142855</v>
      </c>
      <c r="P9" s="342">
        <f t="shared" si="9"/>
        <v>-0.14285714285714285</v>
      </c>
      <c r="Q9" s="342">
        <f t="shared" si="9"/>
        <v>0.14285714285714285</v>
      </c>
      <c r="R9" s="342">
        <f t="shared" si="9"/>
        <v>-0.14285714285714285</v>
      </c>
      <c r="S9" s="342">
        <f t="shared" si="9"/>
        <v>0.42857142857142855</v>
      </c>
      <c r="T9" s="342">
        <f t="shared" si="9"/>
        <v>0.42857142857142855</v>
      </c>
      <c r="U9" s="342">
        <f t="shared" si="9"/>
        <v>0.14285714285714285</v>
      </c>
      <c r="V9" s="342">
        <f t="shared" si="9"/>
        <v>0.14285714285714285</v>
      </c>
      <c r="W9" s="286"/>
      <c r="X9" s="6"/>
      <c r="Y9" s="17" t="s">
        <v>304</v>
      </c>
      <c r="Z9" s="283">
        <f t="shared" si="10"/>
        <v>5893.6999999980499</v>
      </c>
      <c r="AA9" s="283">
        <f t="shared" si="10"/>
        <v>-5413.6999999970367</v>
      </c>
      <c r="AB9" s="283">
        <f t="shared" si="10"/>
        <v>5413.6999999970367</v>
      </c>
      <c r="AC9" s="283">
        <f t="shared" si="10"/>
        <v>-471.30000000674067</v>
      </c>
      <c r="AD9" s="283">
        <f t="shared" si="10"/>
        <v>471.30000000674067</v>
      </c>
      <c r="AE9" s="283">
        <f t="shared" si="10"/>
        <v>4093.6999999994941</v>
      </c>
      <c r="AF9" s="283">
        <f t="shared" si="10"/>
        <v>-2471.3000000015168</v>
      </c>
      <c r="AG9" s="283">
        <f t="shared" si="10"/>
        <v>-2471.3000000015168</v>
      </c>
      <c r="AH9" s="283">
        <f t="shared" si="10"/>
        <v>3833.6999999977388</v>
      </c>
      <c r="AI9" s="283">
        <f t="shared" si="10"/>
        <v>-3833.6999999977388</v>
      </c>
      <c r="AJ9" s="283">
        <f t="shared" si="10"/>
        <v>1011.3000000007496</v>
      </c>
      <c r="AK9" s="283">
        <f t="shared" si="10"/>
        <v>-2471.3000000015168</v>
      </c>
      <c r="AL9" s="283">
        <f t="shared" si="10"/>
        <v>2471.3000000015168</v>
      </c>
      <c r="AM9" s="283">
        <f t="shared" si="10"/>
        <v>-3833.6999999977388</v>
      </c>
      <c r="AN9" s="283">
        <f t="shared" si="10"/>
        <v>-3833.6999999977388</v>
      </c>
      <c r="AO9" s="283">
        <f t="shared" si="10"/>
        <v>988.69999999402648</v>
      </c>
      <c r="AP9" s="283">
        <f t="shared" si="10"/>
        <v>-728.69999999227093</v>
      </c>
    </row>
    <row r="10" spans="1:42" outlineLevel="1" x14ac:dyDescent="0.25">
      <c r="B10">
        <f>SUM(B2:B9)</f>
        <v>71</v>
      </c>
      <c r="C10" s="193">
        <f t="shared" si="12"/>
        <v>1</v>
      </c>
      <c r="D10" s="126"/>
      <c r="F10" s="294">
        <f>SUMIFS(H$14:H$92,H$14:H$92,1,$C$14:$C$92,"&lt;&gt;offline")/$B10</f>
        <v>0.57746478873239437</v>
      </c>
      <c r="G10" s="167">
        <f>SUM(G2:G9)</f>
        <v>81796.795024756764</v>
      </c>
      <c r="H10" s="143">
        <f t="shared" si="5"/>
        <v>1152.0675355599544</v>
      </c>
      <c r="I10">
        <f>SUM(F14:F92)/B10</f>
        <v>245.93750739113148</v>
      </c>
      <c r="J10" s="137"/>
      <c r="K10" s="6"/>
      <c r="L10" s="292"/>
      <c r="M10" s="286"/>
      <c r="N10" s="292"/>
      <c r="O10" s="6"/>
      <c r="R10" s="6"/>
      <c r="S10" s="286"/>
      <c r="T10" s="286"/>
      <c r="U10" s="286"/>
      <c r="V10" s="6"/>
      <c r="W10" s="286"/>
      <c r="X10" s="6"/>
      <c r="Y10" s="6" t="s">
        <v>1245</v>
      </c>
      <c r="Z10" s="284">
        <f>SUM(Z2:Z9)</f>
        <v>81796.795024756764</v>
      </c>
      <c r="AA10" s="284">
        <f t="shared" ref="AA10:AP10" si="14">SUM(AA2:AA9)</f>
        <v>-20431.389074419334</v>
      </c>
      <c r="AB10" s="284">
        <f t="shared" si="14"/>
        <v>20431.389074419334</v>
      </c>
      <c r="AC10" s="284">
        <f t="shared" si="14"/>
        <v>18214.910848771869</v>
      </c>
      <c r="AD10" s="284">
        <f t="shared" si="14"/>
        <v>-18214.910848771869</v>
      </c>
      <c r="AE10" s="284">
        <f t="shared" si="14"/>
        <v>11802.859276305624</v>
      </c>
      <c r="AF10" s="284">
        <f t="shared" si="14"/>
        <v>6575.1588250147634</v>
      </c>
      <c r="AG10" s="284">
        <f t="shared" si="14"/>
        <v>-6157.0599771037978</v>
      </c>
      <c r="AH10" s="284">
        <f t="shared" si="14"/>
        <v>8911.1530765644638</v>
      </c>
      <c r="AI10" s="284">
        <f t="shared" ref="AI10" si="15">SUM(AI2:AI9)</f>
        <v>-8911.1530765644638</v>
      </c>
      <c r="AJ10" s="284">
        <f t="shared" si="14"/>
        <v>7559.1762741772891</v>
      </c>
      <c r="AK10" s="284">
        <f t="shared" si="14"/>
        <v>3798.5960228990257</v>
      </c>
      <c r="AL10" s="284">
        <f t="shared" si="14"/>
        <v>-5587.4087258280488</v>
      </c>
      <c r="AM10" s="284">
        <f t="shared" si="14"/>
        <v>-11625.409076579592</v>
      </c>
      <c r="AN10" s="284">
        <f t="shared" si="14"/>
        <v>1136.9650226138192</v>
      </c>
      <c r="AO10" s="284">
        <f t="shared" si="14"/>
        <v>7043.2197495625724</v>
      </c>
      <c r="AP10" s="284">
        <f t="shared" si="14"/>
        <v>-20778.522848765493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81797</v>
      </c>
      <c r="AA12" s="308" t="str">
        <f t="shared" si="16"/>
        <v>RISK-ON ACC 48% PNL -20431</v>
      </c>
      <c r="AB12" s="308" t="str">
        <f t="shared" si="16"/>
        <v>RISK-OFF ACC 52% PNL 20431</v>
      </c>
      <c r="AC12" s="308" t="str">
        <f t="shared" si="16"/>
        <v>Previous ACC 56% PNL 18215</v>
      </c>
      <c r="AD12" s="337" t="str">
        <f t="shared" si="16"/>
        <v>Anti-Previous ACC 44% PNL -18215</v>
      </c>
      <c r="AE12" s="338" t="str">
        <f t="shared" si="16"/>
        <v>&gt;equity ACC 55% PNL 11803</v>
      </c>
      <c r="AF12" s="338" t="str">
        <f t="shared" si="16"/>
        <v>50/50 ACC 52% PNL 6575</v>
      </c>
      <c r="AG12" s="338" t="str">
        <f t="shared" si="16"/>
        <v>&lt;equity ACC 48% PNL -6157</v>
      </c>
      <c r="AH12" s="339" t="str">
        <f t="shared" si="16"/>
        <v>SEASONALITY ACC 48% PNL 8911</v>
      </c>
      <c r="AI12" s="339" t="str">
        <f t="shared" si="16"/>
        <v>ANTI-SEASONALITY ACC 52% PNL -8911</v>
      </c>
      <c r="AJ12" s="339" t="str">
        <f t="shared" si="16"/>
        <v>ADJ_SEASONALITY ACC 49% PNL 7559</v>
      </c>
      <c r="AK12" s="340" t="str">
        <f t="shared" si="16"/>
        <v>V1 ACC 52% PNL 3799</v>
      </c>
      <c r="AL12" s="340" t="str">
        <f t="shared" si="16"/>
        <v>V2 ACC 48% PNL -5587</v>
      </c>
      <c r="AM12" s="340" t="str">
        <f t="shared" si="16"/>
        <v>V3 ACC 48% PNL -11625</v>
      </c>
      <c r="AN12" s="340" t="str">
        <f t="shared" si="16"/>
        <v>V4 ACC 54% PNL 1137</v>
      </c>
      <c r="AO12" s="340" t="str">
        <f t="shared" si="16"/>
        <v>V5 ACC 55% PNL 7043</v>
      </c>
      <c r="AP12" s="340" t="str">
        <f t="shared" si="16"/>
        <v>V6 ACC 44% PNL -20779</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858300.99064841692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28" t="s">
        <v>287</v>
      </c>
      <c r="B14" s="329" t="s">
        <v>558</v>
      </c>
      <c r="C14" s="330" t="s">
        <v>1285</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H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28" t="s">
        <v>307</v>
      </c>
      <c r="B22" s="329" t="s">
        <v>484</v>
      </c>
      <c r="C22" s="330" t="s">
        <v>1285</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28" t="s">
        <v>320</v>
      </c>
      <c r="B29" s="329" t="s">
        <v>564</v>
      </c>
      <c r="C29" s="330" t="s">
        <v>1285</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28" t="s">
        <v>335</v>
      </c>
      <c r="B36" s="329" t="s">
        <v>568</v>
      </c>
      <c r="C36" s="330" t="s">
        <v>1285</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28" t="s">
        <v>341</v>
      </c>
      <c r="B39" s="329" t="s">
        <v>453</v>
      </c>
      <c r="C39" s="330" t="s">
        <v>1285</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330" t="s">
        <v>1285</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126770</v>
      </c>
      <c r="Y54" s="137">
        <v>15640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67660</v>
      </c>
      <c r="Y77" s="137">
        <v>12000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H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8244</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28" t="s">
        <v>1054</v>
      </c>
      <c r="B89" s="329" t="s">
        <v>463</v>
      </c>
      <c r="C89" s="330" t="s">
        <v>1285</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0.47887323943661969</v>
      </c>
      <c r="AB94" s="193">
        <f t="shared" si="68"/>
        <v>0.52112676056338025</v>
      </c>
      <c r="AC94" s="193">
        <f t="shared" ref="AC94" si="69">COUNTIF(AC14:AC92,"&gt;0")/$B$10</f>
        <v>0.56338028169014087</v>
      </c>
      <c r="AD94" s="193">
        <f t="shared" si="68"/>
        <v>0.43661971830985913</v>
      </c>
      <c r="AE94" s="193">
        <f t="shared" si="68"/>
        <v>0.54929577464788737</v>
      </c>
      <c r="AF94" s="193">
        <f t="shared" si="68"/>
        <v>0.52112676056338025</v>
      </c>
      <c r="AG94" s="193">
        <f t="shared" si="68"/>
        <v>0.47887323943661969</v>
      </c>
      <c r="AH94" s="193">
        <f t="shared" si="68"/>
        <v>0.47887323943661969</v>
      </c>
      <c r="AI94" s="193">
        <f t="shared" ref="AI94" si="70">COUNTIF(AI14:AI92,"&gt;0")/$B$10</f>
        <v>0.52112676056338025</v>
      </c>
      <c r="AJ94" s="193">
        <f t="shared" si="68"/>
        <v>0.49295774647887325</v>
      </c>
      <c r="AK94" s="193">
        <f t="shared" si="68"/>
        <v>0.52112676056338025</v>
      </c>
      <c r="AL94" s="193">
        <f t="shared" si="68"/>
        <v>0.47887323943661969</v>
      </c>
      <c r="AM94" s="193">
        <f t="shared" si="68"/>
        <v>0.47887323943661969</v>
      </c>
      <c r="AN94" s="193">
        <f t="shared" si="68"/>
        <v>0.53521126760563376</v>
      </c>
      <c r="AO94" s="193">
        <f t="shared" si="68"/>
        <v>0.54929577464788737</v>
      </c>
      <c r="AP94" s="193">
        <f t="shared" si="68"/>
        <v>0.43661971830985913</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1294</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1" t="str">
        <f t="shared" ref="Z1:AP1" si="1">Z12</f>
        <v>MAX ACC 100% PNL 62111</v>
      </c>
      <c r="AA1" s="332" t="str">
        <f t="shared" si="1"/>
        <v>RISK-ON ACC 59% PNL 4095</v>
      </c>
      <c r="AB1" s="332" t="str">
        <f t="shared" si="1"/>
        <v>RISK-OFF ACC 41% PNL -4095</v>
      </c>
      <c r="AC1" s="332" t="str">
        <f t="shared" ref="AC1" si="2">AC12</f>
        <v>Previous ACC 44% PNL -6616</v>
      </c>
      <c r="AD1" s="295" t="str">
        <f t="shared" si="1"/>
        <v>Anti-Previous ACC 56% PNL 6616</v>
      </c>
      <c r="AE1" s="333" t="str">
        <f t="shared" si="1"/>
        <v>&gt;equity ACC 44% PNL -13859</v>
      </c>
      <c r="AF1" s="333" t="str">
        <f t="shared" si="1"/>
        <v>50/50 ACC 46% PNL -5434</v>
      </c>
      <c r="AG1" s="333" t="str">
        <f t="shared" si="1"/>
        <v>&lt;equity ACC 48% PNL -2373</v>
      </c>
      <c r="AH1" s="334" t="str">
        <f t="shared" si="1"/>
        <v>SEASONALITY ACC 63% PNL 11102</v>
      </c>
      <c r="AI1" s="334" t="str">
        <f t="shared" si="1"/>
        <v>ANTI-SEASONALITY ACC 37% PNL -11102</v>
      </c>
      <c r="AJ1" s="334" t="str">
        <f t="shared" si="1"/>
        <v>ADJ_SEASONALITY ACC 59% PNL 4404</v>
      </c>
      <c r="AK1" s="335" t="str">
        <f t="shared" si="1"/>
        <v>V1 ACC 41% PNL -11163</v>
      </c>
      <c r="AL1" s="335" t="str">
        <f t="shared" si="1"/>
        <v>V2 ACC 52% PNL 528</v>
      </c>
      <c r="AM1" s="335" t="str">
        <f t="shared" si="1"/>
        <v>V3 ACC 46% PNL 470</v>
      </c>
      <c r="AN1" s="335" t="str">
        <f t="shared" si="1"/>
        <v>V4 ACC 41% PNL -10235</v>
      </c>
      <c r="AO1" s="335" t="str">
        <f t="shared" si="1"/>
        <v>V5 ACC 39% PNL -10028</v>
      </c>
      <c r="AP1" s="335" t="str">
        <f t="shared" si="1"/>
        <v>V6 ACC 46% PNL -10998</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2">
        <f t="shared" ref="K2:K9" si="7">SUMIF($C$14:$C$92,$A2,E$14:E$92)/$B2</f>
        <v>0.1111111111111111</v>
      </c>
      <c r="L2" s="342">
        <f t="shared" ref="L2:O9" si="8">SUMIF($C$14:$C$92,$A2,I$14:I$92)/$B2</f>
        <v>-0.33333333333333331</v>
      </c>
      <c r="M2" s="342">
        <f t="shared" si="8"/>
        <v>0.33333333333333331</v>
      </c>
      <c r="N2" s="342">
        <f t="shared" si="8"/>
        <v>-0.33333333333333331</v>
      </c>
      <c r="O2" s="342">
        <f t="shared" si="8"/>
        <v>-0.33333333333333331</v>
      </c>
      <c r="P2" s="342">
        <f t="shared" ref="P2:V9" si="9">SUMIF($C$14:$C$92,$A2,O$14:O$92)/$B2</f>
        <v>0.1111111111111111</v>
      </c>
      <c r="Q2" s="342">
        <f t="shared" si="9"/>
        <v>-0.1111111111111111</v>
      </c>
      <c r="R2" s="342">
        <f t="shared" si="9"/>
        <v>0.1111111111111111</v>
      </c>
      <c r="S2" s="342">
        <f t="shared" si="9"/>
        <v>0.1111111111111111</v>
      </c>
      <c r="T2" s="342">
        <f t="shared" si="9"/>
        <v>0.33333333333333331</v>
      </c>
      <c r="U2" s="342">
        <f t="shared" si="9"/>
        <v>0.1111111111111111</v>
      </c>
      <c r="V2" s="342">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8.4507042253521125E-2</v>
      </c>
      <c r="F3" s="294">
        <f t="shared" si="3"/>
        <v>0.5</v>
      </c>
      <c r="G3" s="137">
        <f t="shared" si="4"/>
        <v>2413.4215528859586</v>
      </c>
      <c r="H3" s="143">
        <f t="shared" si="5"/>
        <v>402.23692548099308</v>
      </c>
      <c r="I3" s="186">
        <f t="shared" ref="I3:I9" si="13">SUMIF($C$14:$C$92,A3,F$14:F$92)/B3</f>
        <v>-215.22225306624773</v>
      </c>
      <c r="J3" t="str">
        <f t="shared" si="6"/>
        <v>energy</v>
      </c>
      <c r="K3" s="342">
        <f t="shared" si="7"/>
        <v>-1</v>
      </c>
      <c r="L3" s="342">
        <f t="shared" si="8"/>
        <v>-0.66666666666666663</v>
      </c>
      <c r="M3" s="342">
        <f t="shared" si="8"/>
        <v>0.33333333333333331</v>
      </c>
      <c r="N3" s="342">
        <f t="shared" si="8"/>
        <v>-0.66666666666666663</v>
      </c>
      <c r="O3" s="342">
        <f t="shared" si="8"/>
        <v>0.33333333333333331</v>
      </c>
      <c r="P3" s="342">
        <f t="shared" si="9"/>
        <v>0</v>
      </c>
      <c r="Q3" s="342">
        <f t="shared" si="9"/>
        <v>-0.66666666666666663</v>
      </c>
      <c r="R3" s="342">
        <f t="shared" si="9"/>
        <v>0.66666666666666663</v>
      </c>
      <c r="S3" s="342">
        <f t="shared" si="9"/>
        <v>-0.33333333333333331</v>
      </c>
      <c r="T3" s="342">
        <f t="shared" si="9"/>
        <v>-0.33333333333333331</v>
      </c>
      <c r="U3" s="342">
        <f t="shared" si="9"/>
        <v>-0.33333333333333331</v>
      </c>
      <c r="V3" s="342">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0.14084507042253522</v>
      </c>
      <c r="F4" s="294">
        <f t="shared" si="3"/>
        <v>0.4</v>
      </c>
      <c r="G4" s="137">
        <f t="shared" si="4"/>
        <v>12687.274540089913</v>
      </c>
      <c r="H4" s="143">
        <f t="shared" si="5"/>
        <v>1268.7274540089913</v>
      </c>
      <c r="I4" s="186">
        <f t="shared" si="13"/>
        <v>-764.48240071537543</v>
      </c>
      <c r="J4" t="str">
        <f t="shared" si="6"/>
        <v>grain</v>
      </c>
      <c r="K4" s="342">
        <f t="shared" si="7"/>
        <v>-0.4</v>
      </c>
      <c r="L4" s="342">
        <f t="shared" si="8"/>
        <v>0.2</v>
      </c>
      <c r="M4" s="342">
        <f t="shared" si="8"/>
        <v>0.2</v>
      </c>
      <c r="N4" s="342">
        <f t="shared" si="8"/>
        <v>-0.2</v>
      </c>
      <c r="O4" s="342">
        <f t="shared" si="8"/>
        <v>0</v>
      </c>
      <c r="P4" s="342">
        <f t="shared" si="9"/>
        <v>0</v>
      </c>
      <c r="Q4" s="342">
        <f t="shared" si="9"/>
        <v>-0.2</v>
      </c>
      <c r="R4" s="342">
        <f t="shared" si="9"/>
        <v>0.2</v>
      </c>
      <c r="S4" s="342">
        <f t="shared" si="9"/>
        <v>0.4</v>
      </c>
      <c r="T4" s="342">
        <f t="shared" si="9"/>
        <v>0.2</v>
      </c>
      <c r="U4" s="342">
        <f t="shared" si="9"/>
        <v>-0.2</v>
      </c>
      <c r="V4" s="342">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0.29577464788732394</v>
      </c>
      <c r="F5" s="294">
        <f t="shared" si="3"/>
        <v>0.7142857142857143</v>
      </c>
      <c r="G5" s="137">
        <f t="shared" si="4"/>
        <v>14969.921909452831</v>
      </c>
      <c r="H5" s="143">
        <f t="shared" si="5"/>
        <v>712.8534242596586</v>
      </c>
      <c r="I5" s="186">
        <f t="shared" si="13"/>
        <v>355.91730614137214</v>
      </c>
      <c r="J5" t="str">
        <f t="shared" si="6"/>
        <v>index</v>
      </c>
      <c r="K5" s="342">
        <f t="shared" si="7"/>
        <v>-0.33333333333333331</v>
      </c>
      <c r="L5" s="342">
        <f t="shared" si="8"/>
        <v>0.7142857142857143</v>
      </c>
      <c r="M5" s="342">
        <f t="shared" si="8"/>
        <v>-0.52380952380952384</v>
      </c>
      <c r="N5" s="342">
        <f t="shared" si="8"/>
        <v>0.61904761904761907</v>
      </c>
      <c r="O5" s="342">
        <f t="shared" si="8"/>
        <v>4.7619047619047616E-2</v>
      </c>
      <c r="P5" s="342">
        <f t="shared" si="9"/>
        <v>0.14285714285714285</v>
      </c>
      <c r="Q5" s="342">
        <f t="shared" si="9"/>
        <v>4.7619047619047616E-2</v>
      </c>
      <c r="R5" s="342">
        <f t="shared" si="9"/>
        <v>-0.23809523809523808</v>
      </c>
      <c r="S5" s="342">
        <f t="shared" si="9"/>
        <v>0.52380952380952384</v>
      </c>
      <c r="T5" s="342">
        <f t="shared" si="9"/>
        <v>4.7619047619047616E-2</v>
      </c>
      <c r="U5" s="342">
        <f t="shared" si="9"/>
        <v>-0.80952380952380953</v>
      </c>
      <c r="V5" s="342">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4.2253521126760563E-2</v>
      </c>
      <c r="F6" s="294">
        <f t="shared" si="3"/>
        <v>0.66666666666666663</v>
      </c>
      <c r="G6" s="137">
        <f t="shared" si="4"/>
        <v>3725.2084011961833</v>
      </c>
      <c r="H6" s="143">
        <f t="shared" si="5"/>
        <v>1241.736133732061</v>
      </c>
      <c r="I6" s="186">
        <f t="shared" si="13"/>
        <v>477.1155691122612</v>
      </c>
      <c r="J6" t="str">
        <f t="shared" si="6"/>
        <v>meat</v>
      </c>
      <c r="K6" s="342">
        <f t="shared" si="7"/>
        <v>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-1</v>
      </c>
      <c r="T6" s="342">
        <f t="shared" si="9"/>
        <v>-1</v>
      </c>
      <c r="U6" s="342">
        <f t="shared" si="9"/>
        <v>0.33333333333333331</v>
      </c>
      <c r="V6" s="342">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7.0422535211267609E-2</v>
      </c>
      <c r="F7" s="294">
        <f t="shared" si="3"/>
        <v>1</v>
      </c>
      <c r="G7" s="137">
        <f t="shared" si="4"/>
        <v>2712.2280012388733</v>
      </c>
      <c r="H7" s="143">
        <f t="shared" si="5"/>
        <v>542.44560024777468</v>
      </c>
      <c r="I7" s="186">
        <f t="shared" si="13"/>
        <v>542.44560024777468</v>
      </c>
      <c r="J7" t="str">
        <f t="shared" si="6"/>
        <v>metal</v>
      </c>
      <c r="K7" s="342">
        <f t="shared" si="7"/>
        <v>-0.2</v>
      </c>
      <c r="L7" s="342">
        <f t="shared" si="8"/>
        <v>-0.2</v>
      </c>
      <c r="M7" s="342">
        <f t="shared" si="8"/>
        <v>0.2</v>
      </c>
      <c r="N7" s="342">
        <f t="shared" si="8"/>
        <v>-0.2</v>
      </c>
      <c r="O7" s="342">
        <f t="shared" si="8"/>
        <v>0.6</v>
      </c>
      <c r="P7" s="342">
        <f t="shared" si="9"/>
        <v>1</v>
      </c>
      <c r="Q7" s="342">
        <f t="shared" si="9"/>
        <v>-0.2</v>
      </c>
      <c r="R7" s="342">
        <f t="shared" si="9"/>
        <v>0.2</v>
      </c>
      <c r="S7" s="342">
        <f t="shared" si="9"/>
        <v>-0.6</v>
      </c>
      <c r="T7" s="342">
        <f t="shared" si="9"/>
        <v>-0.6</v>
      </c>
      <c r="U7" s="342">
        <f t="shared" si="9"/>
        <v>-0.6</v>
      </c>
      <c r="V7" s="342">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0.14084507042253522</v>
      </c>
      <c r="F8" s="294">
        <f t="shared" si="3"/>
        <v>0.5</v>
      </c>
      <c r="G8" s="137">
        <f t="shared" si="4"/>
        <v>5702.5317196438509</v>
      </c>
      <c r="H8" s="143">
        <f t="shared" si="5"/>
        <v>570.25317196438505</v>
      </c>
      <c r="I8" s="186">
        <f t="shared" si="13"/>
        <v>-72.078468508770868</v>
      </c>
      <c r="J8" t="str">
        <f t="shared" si="6"/>
        <v>rates</v>
      </c>
      <c r="K8" s="342">
        <f t="shared" si="7"/>
        <v>-0.2</v>
      </c>
      <c r="L8" s="342">
        <f t="shared" si="8"/>
        <v>-0.2</v>
      </c>
      <c r="M8" s="342">
        <f t="shared" si="8"/>
        <v>0</v>
      </c>
      <c r="N8" s="342">
        <f t="shared" si="8"/>
        <v>-0.2</v>
      </c>
      <c r="O8" s="342">
        <f t="shared" si="8"/>
        <v>1</v>
      </c>
      <c r="P8" s="342">
        <f t="shared" si="9"/>
        <v>-0.4</v>
      </c>
      <c r="Q8" s="342">
        <f t="shared" si="9"/>
        <v>-0.4</v>
      </c>
      <c r="R8" s="342">
        <f t="shared" si="9"/>
        <v>0</v>
      </c>
      <c r="S8" s="342">
        <f t="shared" si="9"/>
        <v>-0.8</v>
      </c>
      <c r="T8" s="342">
        <f t="shared" si="9"/>
        <v>-0.8</v>
      </c>
      <c r="U8" s="342">
        <f t="shared" si="9"/>
        <v>0.2</v>
      </c>
      <c r="V8" s="342">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7</v>
      </c>
      <c r="C9" s="200">
        <f t="shared" si="12"/>
        <v>9.8591549295774641E-2</v>
      </c>
      <c r="D9" s="126"/>
      <c r="F9" s="294">
        <f t="shared" si="3"/>
        <v>0.5714285714285714</v>
      </c>
      <c r="G9" s="199">
        <f t="shared" si="4"/>
        <v>10546.421778238448</v>
      </c>
      <c r="H9" s="143">
        <f t="shared" si="5"/>
        <v>1506.6316826054924</v>
      </c>
      <c r="I9" s="186">
        <f t="shared" si="13"/>
        <v>618.11513083643251</v>
      </c>
      <c r="J9" t="str">
        <f t="shared" si="6"/>
        <v>soft</v>
      </c>
      <c r="K9" s="342">
        <f t="shared" si="7"/>
        <v>-0.42857142857142855</v>
      </c>
      <c r="L9" s="342">
        <f t="shared" si="8"/>
        <v>-0.42857142857142855</v>
      </c>
      <c r="M9" s="342">
        <f t="shared" si="8"/>
        <v>-0.42857142857142855</v>
      </c>
      <c r="N9" s="342">
        <f t="shared" si="8"/>
        <v>-0.7142857142857143</v>
      </c>
      <c r="O9" s="342">
        <f t="shared" si="8"/>
        <v>-0.42857142857142855</v>
      </c>
      <c r="P9" s="342">
        <f t="shared" si="9"/>
        <v>-0.14285714285714285</v>
      </c>
      <c r="Q9" s="342">
        <f t="shared" si="9"/>
        <v>-0.14285714285714285</v>
      </c>
      <c r="R9" s="342">
        <f t="shared" si="9"/>
        <v>-0.14285714285714285</v>
      </c>
      <c r="S9" s="342">
        <f t="shared" si="9"/>
        <v>-0.14285714285714285</v>
      </c>
      <c r="T9" s="342">
        <f t="shared" si="9"/>
        <v>-0.42857142857142855</v>
      </c>
      <c r="U9" s="342">
        <f t="shared" si="9"/>
        <v>0.14285714285714285</v>
      </c>
      <c r="V9" s="342">
        <f t="shared" si="9"/>
        <v>0.14285714285714285</v>
      </c>
      <c r="W9" s="286"/>
      <c r="X9" s="6"/>
      <c r="Y9" s="17" t="s">
        <v>304</v>
      </c>
      <c r="Z9" s="283">
        <f t="shared" si="10"/>
        <v>10546.421778238448</v>
      </c>
      <c r="AA9" s="283">
        <f t="shared" si="10"/>
        <v>4326.8059158550277</v>
      </c>
      <c r="AB9" s="283">
        <f t="shared" si="10"/>
        <v>-4326.8059158550277</v>
      </c>
      <c r="AC9" s="283">
        <f t="shared" si="10"/>
        <v>-1289.7313480898049</v>
      </c>
      <c r="AD9" s="283">
        <f t="shared" si="10"/>
        <v>1289.7313480898049</v>
      </c>
      <c r="AE9" s="283">
        <f t="shared" si="10"/>
        <v>-3813.8959487686434</v>
      </c>
      <c r="AF9" s="283">
        <f t="shared" si="10"/>
        <v>-8106.2745685800801</v>
      </c>
      <c r="AG9" s="283">
        <f t="shared" si="10"/>
        <v>-7866.5268460851275</v>
      </c>
      <c r="AH9" s="283">
        <f t="shared" si="10"/>
        <v>-25.156065030309037</v>
      </c>
      <c r="AI9" s="283">
        <f t="shared" si="10"/>
        <v>25.156065030309037</v>
      </c>
      <c r="AJ9" s="283">
        <f t="shared" si="10"/>
        <v>-2465.303274688677</v>
      </c>
      <c r="AK9" s="283">
        <f t="shared" si="10"/>
        <v>-4829.4522783199045</v>
      </c>
      <c r="AL9" s="283">
        <f t="shared" si="10"/>
        <v>-264.90378752526067</v>
      </c>
      <c r="AM9" s="283">
        <f t="shared" si="10"/>
        <v>-3011.918502734914</v>
      </c>
      <c r="AN9" s="283">
        <f t="shared" si="10"/>
        <v>-8106.2745685800801</v>
      </c>
      <c r="AO9" s="283">
        <f t="shared" si="10"/>
        <v>3564.8769952604089</v>
      </c>
      <c r="AP9" s="283">
        <f t="shared" si="10"/>
        <v>-2259.2608131535781</v>
      </c>
    </row>
    <row r="10" spans="1:42" outlineLevel="1" x14ac:dyDescent="0.25">
      <c r="B10">
        <f>SUM(B2:B9)</f>
        <v>71</v>
      </c>
      <c r="C10" s="193">
        <f t="shared" si="12"/>
        <v>1</v>
      </c>
      <c r="D10" s="126"/>
      <c r="F10" s="294">
        <f>SUMIFS(H$14:H$92,H$14:H$92,1,$C$14:$C$92,"&lt;&gt;offline")/$B10</f>
        <v>0.60563380281690138</v>
      </c>
      <c r="G10" s="167">
        <f>SUM(G2:G9)</f>
        <v>62111.158181049977</v>
      </c>
      <c r="H10" s="143">
        <f t="shared" si="5"/>
        <v>874.80504480352079</v>
      </c>
      <c r="I10">
        <f>SUM(F14:F92)/B10</f>
        <v>128.80586241988792</v>
      </c>
      <c r="J10" s="137"/>
      <c r="K10" s="6"/>
      <c r="L10" s="292"/>
      <c r="M10" s="286"/>
      <c r="N10" s="292"/>
      <c r="O10" s="6"/>
      <c r="R10" s="6"/>
      <c r="S10" s="286"/>
      <c r="T10" s="286"/>
      <c r="U10" s="286"/>
      <c r="V10" s="6"/>
      <c r="W10" s="286"/>
      <c r="X10" s="6"/>
      <c r="Y10" s="6" t="s">
        <v>1245</v>
      </c>
      <c r="Z10" s="284">
        <f>SUM(Z2:Z9)</f>
        <v>62111.158181049977</v>
      </c>
      <c r="AA10" s="284">
        <f t="shared" ref="AA10:AP10" si="14">SUM(AA2:AA9)</f>
        <v>4094.6865844704762</v>
      </c>
      <c r="AB10" s="284">
        <f t="shared" si="14"/>
        <v>-4094.6865844704762</v>
      </c>
      <c r="AC10" s="284">
        <f t="shared" si="14"/>
        <v>-6615.6664871967187</v>
      </c>
      <c r="AD10" s="284">
        <f t="shared" si="14"/>
        <v>6615.6664871967187</v>
      </c>
      <c r="AE10" s="284">
        <f t="shared" si="14"/>
        <v>-13858.834735306791</v>
      </c>
      <c r="AF10" s="284">
        <f t="shared" si="14"/>
        <v>-5433.7782612768942</v>
      </c>
      <c r="AG10" s="284">
        <f t="shared" si="14"/>
        <v>-2372.6970765284996</v>
      </c>
      <c r="AH10" s="284">
        <f t="shared" si="14"/>
        <v>11102.070232675227</v>
      </c>
      <c r="AI10" s="284">
        <f t="shared" ref="AI10" si="15">SUM(AI2:AI9)</f>
        <v>-11102.070232675227</v>
      </c>
      <c r="AJ10" s="284">
        <f t="shared" si="14"/>
        <v>4403.7099072500696</v>
      </c>
      <c r="AK10" s="284">
        <f t="shared" si="14"/>
        <v>-11162.859788605041</v>
      </c>
      <c r="AL10" s="284">
        <f t="shared" si="14"/>
        <v>527.9979649388797</v>
      </c>
      <c r="AM10" s="284">
        <f t="shared" si="14"/>
        <v>470.39160368675493</v>
      </c>
      <c r="AN10" s="284">
        <f t="shared" si="14"/>
        <v>-10234.860930459841</v>
      </c>
      <c r="AO10" s="284">
        <f t="shared" si="14"/>
        <v>-10028.311790955717</v>
      </c>
      <c r="AP10" s="284">
        <f t="shared" si="14"/>
        <v>-10997.786883735676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62111</v>
      </c>
      <c r="AA12" s="308" t="str">
        <f t="shared" si="16"/>
        <v>RISK-ON ACC 59% PNL 4095</v>
      </c>
      <c r="AB12" s="308" t="str">
        <f t="shared" si="16"/>
        <v>RISK-OFF ACC 41% PNL -4095</v>
      </c>
      <c r="AC12" s="308" t="str">
        <f t="shared" si="16"/>
        <v>Previous ACC 44% PNL -6616</v>
      </c>
      <c r="AD12" s="337" t="str">
        <f t="shared" si="16"/>
        <v>Anti-Previous ACC 56% PNL 6616</v>
      </c>
      <c r="AE12" s="338" t="str">
        <f t="shared" si="16"/>
        <v>&gt;equity ACC 44% PNL -13859</v>
      </c>
      <c r="AF12" s="338" t="str">
        <f t="shared" si="16"/>
        <v>50/50 ACC 46% PNL -5434</v>
      </c>
      <c r="AG12" s="338" t="str">
        <f t="shared" si="16"/>
        <v>&lt;equity ACC 48% PNL -2373</v>
      </c>
      <c r="AH12" s="339" t="str">
        <f t="shared" si="16"/>
        <v>SEASONALITY ACC 63% PNL 11102</v>
      </c>
      <c r="AI12" s="339" t="str">
        <f t="shared" si="16"/>
        <v>ANTI-SEASONALITY ACC 37% PNL -11102</v>
      </c>
      <c r="AJ12" s="339" t="str">
        <f t="shared" si="16"/>
        <v>ADJ_SEASONALITY ACC 59% PNL 4404</v>
      </c>
      <c r="AK12" s="340" t="str">
        <f t="shared" si="16"/>
        <v>V1 ACC 41% PNL -11163</v>
      </c>
      <c r="AL12" s="340" t="str">
        <f t="shared" si="16"/>
        <v>V2 ACC 52% PNL 528</v>
      </c>
      <c r="AM12" s="340" t="str">
        <f t="shared" si="16"/>
        <v>V3 ACC 46% PNL 470</v>
      </c>
      <c r="AN12" s="340" t="str">
        <f t="shared" si="16"/>
        <v>V4 ACC 41% PNL -10235</v>
      </c>
      <c r="AO12" s="340" t="str">
        <f t="shared" si="16"/>
        <v>V5 ACC 39% PNL -10028</v>
      </c>
      <c r="AP12" s="340" t="str">
        <f t="shared" si="16"/>
        <v>V6 ACC 46% PNL -10998</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858300.99064841692</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28" t="s">
        <v>287</v>
      </c>
      <c r="B14" s="329" t="s">
        <v>558</v>
      </c>
      <c r="C14" s="330" t="s">
        <v>1285</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H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28" t="s">
        <v>307</v>
      </c>
      <c r="B22" s="329" t="s">
        <v>484</v>
      </c>
      <c r="C22" s="330" t="s">
        <v>1285</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28" t="s">
        <v>320</v>
      </c>
      <c r="B29" s="329" t="s">
        <v>564</v>
      </c>
      <c r="C29" s="330" t="s">
        <v>1285</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28" t="s">
        <v>335</v>
      </c>
      <c r="B36" s="329" t="s">
        <v>568</v>
      </c>
      <c r="C36" s="330" t="s">
        <v>1285</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28" t="s">
        <v>341</v>
      </c>
      <c r="B39" s="329" t="s">
        <v>453</v>
      </c>
      <c r="C39" s="330" t="s">
        <v>1285</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330" t="s">
        <v>1285</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126770</v>
      </c>
      <c r="Y54" s="137">
        <v>15640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67660</v>
      </c>
      <c r="Y77" s="137">
        <v>12000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H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28" t="s">
        <v>1054</v>
      </c>
      <c r="B89" s="329" t="s">
        <v>463</v>
      </c>
      <c r="C89" s="330" t="s">
        <v>1285</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0.59154929577464788</v>
      </c>
      <c r="AB94" s="193">
        <f t="shared" si="68"/>
        <v>0.40845070422535212</v>
      </c>
      <c r="AC94" s="193">
        <f t="shared" ref="AC94" si="69">COUNTIF(AC14:AC92,"&gt;0")/$B$10</f>
        <v>0.43661971830985913</v>
      </c>
      <c r="AD94" s="193">
        <f t="shared" si="68"/>
        <v>0.56338028169014087</v>
      </c>
      <c r="AE94" s="193">
        <f t="shared" si="68"/>
        <v>0.43661971830985913</v>
      </c>
      <c r="AF94" s="193">
        <f t="shared" si="68"/>
        <v>0.46478873239436619</v>
      </c>
      <c r="AG94" s="193">
        <f t="shared" si="68"/>
        <v>0.47887323943661969</v>
      </c>
      <c r="AH94" s="193">
        <f t="shared" si="68"/>
        <v>0.63380281690140849</v>
      </c>
      <c r="AI94" s="193">
        <f t="shared" ref="AI94" si="70">COUNTIF(AI14:AI92,"&gt;0")/$B$10</f>
        <v>0.36619718309859156</v>
      </c>
      <c r="AJ94" s="193">
        <f t="shared" si="68"/>
        <v>0.59154929577464788</v>
      </c>
      <c r="AK94" s="193">
        <f t="shared" si="68"/>
        <v>0.40845070422535212</v>
      </c>
      <c r="AL94" s="193">
        <f t="shared" si="68"/>
        <v>0.52112676056338025</v>
      </c>
      <c r="AM94" s="193">
        <f t="shared" si="68"/>
        <v>0.46478873239436619</v>
      </c>
      <c r="AN94" s="193">
        <f t="shared" si="68"/>
        <v>0.40845070422535212</v>
      </c>
      <c r="AO94" s="193">
        <f t="shared" si="68"/>
        <v>0.39436619718309857</v>
      </c>
      <c r="AP94" s="193">
        <f t="shared" si="68"/>
        <v>0.46478873239436619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1294</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1" t="str">
        <f t="shared" ref="Z1:AP1" si="1">Z12</f>
        <v>MAX ACC 99% PNL 64072</v>
      </c>
      <c r="AA1" s="332" t="str">
        <f t="shared" si="1"/>
        <v>RISK-ON ACC 44% PNL -10014</v>
      </c>
      <c r="AB1" s="332" t="str">
        <f t="shared" si="1"/>
        <v>RISK-OFF ACC 55% PNL 10014</v>
      </c>
      <c r="AC1" s="332" t="str">
        <f t="shared" ref="AC1" si="2">AC12</f>
        <v>Previous ACC 54% PNL 19075</v>
      </c>
      <c r="AD1" s="295" t="str">
        <f t="shared" si="1"/>
        <v>Anti-Previous ACC 45% PNL -19075</v>
      </c>
      <c r="AE1" s="333" t="str">
        <f t="shared" si="1"/>
        <v>&gt;equity ACC 49% PNL 2348</v>
      </c>
      <c r="AF1" s="333" t="str">
        <f t="shared" si="1"/>
        <v>50/50 ACC 44% PNL 2014</v>
      </c>
      <c r="AG1" s="333" t="str">
        <f t="shared" si="1"/>
        <v>&lt;equity ACC 51% PNL 14701</v>
      </c>
      <c r="AH1" s="334" t="str">
        <f t="shared" si="1"/>
        <v>SEASONALITY ACC 52% PNL 6799</v>
      </c>
      <c r="AI1" s="334" t="str">
        <f t="shared" si="1"/>
        <v>ANTI-SEASONALITY ACC 46% PNL -6799</v>
      </c>
      <c r="AJ1" s="334" t="str">
        <f t="shared" si="1"/>
        <v>ADJ_SEASONALITY ACC 52% PNL 7577</v>
      </c>
      <c r="AK1" s="335" t="str">
        <f t="shared" si="1"/>
        <v>V1 ACC 56% PNL 29754</v>
      </c>
      <c r="AL1" s="335" t="str">
        <f t="shared" si="1"/>
        <v>V2 ACC 48% PNL -5289</v>
      </c>
      <c r="AM1" s="335" t="str">
        <f t="shared" si="1"/>
        <v>V3 ACC 39% PNL -22213</v>
      </c>
      <c r="AN1" s="335" t="str">
        <f t="shared" si="1"/>
        <v>V4 ACC 45% PNL -1587</v>
      </c>
      <c r="AO1" s="335" t="str">
        <f t="shared" si="1"/>
        <v>V5 ACC 46% PNL -6213</v>
      </c>
      <c r="AP1" s="335" t="str">
        <f t="shared" si="1"/>
        <v>V6 ACC 46% PNL -7026</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2">
        <f t="shared" ref="K2:K9" si="7">SUMIF($C$14:$C$92,$A2,E$14:E$92)/$B2</f>
        <v>-0.33333333333333331</v>
      </c>
      <c r="L2" s="342">
        <f t="shared" ref="L2:O9" si="8">SUMIF($C$14:$C$92,$A2,I$14:I$92)/$B2</f>
        <v>-0.33333333333333331</v>
      </c>
      <c r="M2" s="342">
        <f t="shared" si="8"/>
        <v>0.1111111111111111</v>
      </c>
      <c r="N2" s="342">
        <f t="shared" si="8"/>
        <v>-0.55555555555555558</v>
      </c>
      <c r="O2" s="342">
        <f t="shared" si="8"/>
        <v>-0.33333333333333331</v>
      </c>
      <c r="P2" s="342">
        <f t="shared" ref="P2:V9" si="9">SUMIF($C$14:$C$92,$A2,O$14:O$92)/$B2</f>
        <v>-0.1111111111111111</v>
      </c>
      <c r="Q2" s="342">
        <f t="shared" si="9"/>
        <v>-0.33333333333333331</v>
      </c>
      <c r="R2" s="342">
        <f t="shared" si="9"/>
        <v>0.1111111111111111</v>
      </c>
      <c r="S2" s="342">
        <f t="shared" si="9"/>
        <v>0.33333333333333331</v>
      </c>
      <c r="T2" s="342">
        <f t="shared" si="9"/>
        <v>0.1111111111111111</v>
      </c>
      <c r="U2" s="342">
        <f t="shared" si="9"/>
        <v>0.33333333333333331</v>
      </c>
      <c r="V2" s="342">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8.4507042253521125E-2</v>
      </c>
      <c r="F3" s="294">
        <f t="shared" si="3"/>
        <v>0</v>
      </c>
      <c r="G3" s="137">
        <f t="shared" si="4"/>
        <v>8483.4688135389843</v>
      </c>
      <c r="H3" s="143">
        <f t="shared" si="5"/>
        <v>1413.911468923164</v>
      </c>
      <c r="I3" s="186">
        <f t="shared" ref="I3:I9" si="13">SUMIF($C$14:$C$92,A3,F$14:F$92)/B3</f>
        <v>-1413.911468923164</v>
      </c>
      <c r="J3" t="str">
        <f t="shared" si="6"/>
        <v>energy</v>
      </c>
      <c r="K3" s="342">
        <f t="shared" si="7"/>
        <v>-0.33333333333333331</v>
      </c>
      <c r="L3" s="342">
        <f t="shared" si="8"/>
        <v>-0.33333333333333331</v>
      </c>
      <c r="M3" s="342">
        <f t="shared" si="8"/>
        <v>0</v>
      </c>
      <c r="N3" s="342">
        <f t="shared" si="8"/>
        <v>-0.33333333333333331</v>
      </c>
      <c r="O3" s="342">
        <f t="shared" si="8"/>
        <v>0.33333333333333331</v>
      </c>
      <c r="P3" s="342">
        <f t="shared" si="9"/>
        <v>0</v>
      </c>
      <c r="Q3" s="342">
        <f t="shared" si="9"/>
        <v>-0.66666666666666663</v>
      </c>
      <c r="R3" s="342">
        <f t="shared" si="9"/>
        <v>0</v>
      </c>
      <c r="S3" s="342">
        <f t="shared" si="9"/>
        <v>0</v>
      </c>
      <c r="T3" s="342">
        <f t="shared" si="9"/>
        <v>-0.33333333333333331</v>
      </c>
      <c r="U3" s="342">
        <f t="shared" si="9"/>
        <v>0.33333333333333331</v>
      </c>
      <c r="V3" s="342">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0.14084507042253522</v>
      </c>
      <c r="F4" s="294">
        <f t="shared" si="3"/>
        <v>0.3</v>
      </c>
      <c r="G4" s="137">
        <f t="shared" si="4"/>
        <v>11267.204903600079</v>
      </c>
      <c r="H4" s="143">
        <f t="shared" si="5"/>
        <v>1126.7204903600079</v>
      </c>
      <c r="I4" s="186">
        <f t="shared" si="13"/>
        <v>-781.00897515353461</v>
      </c>
      <c r="J4" t="str">
        <f t="shared" si="6"/>
        <v>grain</v>
      </c>
      <c r="K4" s="342">
        <f t="shared" si="7"/>
        <v>-0.2</v>
      </c>
      <c r="L4" s="342">
        <f t="shared" si="8"/>
        <v>0.4</v>
      </c>
      <c r="M4" s="342">
        <f t="shared" si="8"/>
        <v>0.2</v>
      </c>
      <c r="N4" s="342">
        <f t="shared" si="8"/>
        <v>-0.2</v>
      </c>
      <c r="O4" s="342">
        <f t="shared" si="8"/>
        <v>-0.6</v>
      </c>
      <c r="P4" s="342">
        <f t="shared" si="9"/>
        <v>-0.6</v>
      </c>
      <c r="Q4" s="342">
        <f t="shared" si="9"/>
        <v>-0.2</v>
      </c>
      <c r="R4" s="342">
        <f t="shared" si="9"/>
        <v>0</v>
      </c>
      <c r="S4" s="342">
        <f t="shared" si="9"/>
        <v>0.6</v>
      </c>
      <c r="T4" s="342">
        <f t="shared" si="9"/>
        <v>0.6</v>
      </c>
      <c r="U4" s="342">
        <f t="shared" si="9"/>
        <v>0.6</v>
      </c>
      <c r="V4" s="342">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0.29577464788732394</v>
      </c>
      <c r="F5" s="294">
        <f t="shared" si="3"/>
        <v>0.33333333333333331</v>
      </c>
      <c r="G5" s="137">
        <f t="shared" si="4"/>
        <v>12629.843049412104</v>
      </c>
      <c r="H5" s="143">
        <f t="shared" si="5"/>
        <v>601.42109759105256</v>
      </c>
      <c r="I5" s="186">
        <f t="shared" si="13"/>
        <v>-160.91651282290272</v>
      </c>
      <c r="J5" t="str">
        <f t="shared" si="6"/>
        <v>index</v>
      </c>
      <c r="K5" s="342">
        <f t="shared" si="7"/>
        <v>0.33333333333333331</v>
      </c>
      <c r="L5" s="342">
        <f t="shared" si="8"/>
        <v>0.42857142857142855</v>
      </c>
      <c r="M5" s="342">
        <f t="shared" si="8"/>
        <v>-0.42857142857142855</v>
      </c>
      <c r="N5" s="342">
        <f t="shared" si="8"/>
        <v>0.42857142857142855</v>
      </c>
      <c r="O5" s="342">
        <f t="shared" si="8"/>
        <v>-0.61904761904761907</v>
      </c>
      <c r="P5" s="342">
        <f t="shared" si="9"/>
        <v>0.42857142857142855</v>
      </c>
      <c r="Q5" s="342">
        <f t="shared" si="9"/>
        <v>0.61904761904761907</v>
      </c>
      <c r="R5" s="342">
        <f t="shared" si="9"/>
        <v>-0.23809523809523808</v>
      </c>
      <c r="S5" s="342">
        <f t="shared" si="9"/>
        <v>0.42857142857142855</v>
      </c>
      <c r="T5" s="342">
        <f t="shared" si="9"/>
        <v>0.33333333333333331</v>
      </c>
      <c r="U5" s="342">
        <f t="shared" si="9"/>
        <v>-0.33333333333333331</v>
      </c>
      <c r="V5" s="342">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4.2253521126760563E-2</v>
      </c>
      <c r="F6" s="294">
        <f t="shared" si="3"/>
        <v>1</v>
      </c>
      <c r="G6" s="137">
        <f t="shared" si="4"/>
        <v>9138.991191611256</v>
      </c>
      <c r="H6" s="143">
        <f t="shared" si="5"/>
        <v>3046.330397203752</v>
      </c>
      <c r="I6" s="186">
        <f t="shared" si="13"/>
        <v>3046.330397203752</v>
      </c>
      <c r="J6" t="str">
        <f t="shared" si="6"/>
        <v>meat</v>
      </c>
      <c r="K6" s="342">
        <f t="shared" si="7"/>
        <v>1</v>
      </c>
      <c r="L6" s="342">
        <f t="shared" si="8"/>
        <v>0.33333333333333331</v>
      </c>
      <c r="M6" s="342">
        <f t="shared" si="8"/>
        <v>1</v>
      </c>
      <c r="N6" s="342">
        <f t="shared" si="8"/>
        <v>-0.33333333333333331</v>
      </c>
      <c r="O6" s="342">
        <f t="shared" si="8"/>
        <v>0.33333333333333331</v>
      </c>
      <c r="P6" s="342">
        <f t="shared" si="9"/>
        <v>-0.33333333333333331</v>
      </c>
      <c r="Q6" s="342">
        <f t="shared" si="9"/>
        <v>0.33333333333333331</v>
      </c>
      <c r="R6" s="342">
        <f t="shared" si="9"/>
        <v>-0.33333333333333331</v>
      </c>
      <c r="S6" s="342">
        <f t="shared" si="9"/>
        <v>-1</v>
      </c>
      <c r="T6" s="342">
        <f t="shared" si="9"/>
        <v>-0.33333333333333331</v>
      </c>
      <c r="U6" s="342">
        <f t="shared" si="9"/>
        <v>1</v>
      </c>
      <c r="V6" s="342">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7.0422535211267609E-2</v>
      </c>
      <c r="F7" s="294">
        <f t="shared" si="3"/>
        <v>0.4</v>
      </c>
      <c r="G7" s="137">
        <f t="shared" si="4"/>
        <v>2458.9992675024018</v>
      </c>
      <c r="H7" s="143">
        <f t="shared" si="5"/>
        <v>491.79985350048037</v>
      </c>
      <c r="I7" s="186">
        <f t="shared" si="13"/>
        <v>-273.67464396763563</v>
      </c>
      <c r="J7" t="str">
        <f t="shared" si="6"/>
        <v>metal</v>
      </c>
      <c r="K7" s="342">
        <f t="shared" si="7"/>
        <v>-0.6</v>
      </c>
      <c r="L7" s="342">
        <f t="shared" si="8"/>
        <v>-0.6</v>
      </c>
      <c r="M7" s="342">
        <f t="shared" si="8"/>
        <v>-0.2</v>
      </c>
      <c r="N7" s="342">
        <f t="shared" si="8"/>
        <v>-0.2</v>
      </c>
      <c r="O7" s="342">
        <f t="shared" si="8"/>
        <v>-0.2</v>
      </c>
      <c r="P7" s="342">
        <f t="shared" si="9"/>
        <v>0.6</v>
      </c>
      <c r="Q7" s="342">
        <f t="shared" si="9"/>
        <v>-0.2</v>
      </c>
      <c r="R7" s="342">
        <f t="shared" si="9"/>
        <v>0.2</v>
      </c>
      <c r="S7" s="342">
        <f t="shared" si="9"/>
        <v>0.2</v>
      </c>
      <c r="T7" s="342">
        <f t="shared" si="9"/>
        <v>0.2</v>
      </c>
      <c r="U7" s="342">
        <f t="shared" si="9"/>
        <v>-1</v>
      </c>
      <c r="V7" s="342">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0.14084507042253522</v>
      </c>
      <c r="F8" s="294">
        <f t="shared" si="3"/>
        <v>0.4</v>
      </c>
      <c r="G8" s="137">
        <f t="shared" si="4"/>
        <v>5549.1222995012513</v>
      </c>
      <c r="H8" s="143">
        <f t="shared" si="5"/>
        <v>554.91222995012515</v>
      </c>
      <c r="I8" s="186">
        <f t="shared" si="13"/>
        <v>55.760563988297555</v>
      </c>
      <c r="J8" t="str">
        <f t="shared" si="6"/>
        <v>rates</v>
      </c>
      <c r="K8" s="342">
        <f t="shared" si="7"/>
        <v>0.2</v>
      </c>
      <c r="L8" s="342">
        <f t="shared" si="8"/>
        <v>0</v>
      </c>
      <c r="M8" s="342">
        <f t="shared" si="8"/>
        <v>0</v>
      </c>
      <c r="N8" s="342">
        <f t="shared" si="8"/>
        <v>0.2</v>
      </c>
      <c r="O8" s="342">
        <f t="shared" si="8"/>
        <v>1</v>
      </c>
      <c r="P8" s="342">
        <f t="shared" si="9"/>
        <v>-0.4</v>
      </c>
      <c r="Q8" s="342">
        <f t="shared" si="9"/>
        <v>0</v>
      </c>
      <c r="R8" s="342">
        <f t="shared" si="9"/>
        <v>-0.4</v>
      </c>
      <c r="S8" s="342">
        <f t="shared" si="9"/>
        <v>-0.8</v>
      </c>
      <c r="T8" s="342">
        <f t="shared" si="9"/>
        <v>-0.8</v>
      </c>
      <c r="U8" s="342">
        <f t="shared" si="9"/>
        <v>0.2</v>
      </c>
      <c r="V8" s="342">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7</v>
      </c>
      <c r="C9" s="200">
        <f t="shared" si="12"/>
        <v>9.8591549295774641E-2</v>
      </c>
      <c r="D9" s="126"/>
      <c r="F9" s="294">
        <f t="shared" si="3"/>
        <v>0.2857142857142857</v>
      </c>
      <c r="G9" s="199">
        <f t="shared" si="4"/>
        <v>6888.8826064362429</v>
      </c>
      <c r="H9" s="143">
        <f t="shared" si="5"/>
        <v>984.12608663374897</v>
      </c>
      <c r="I9" s="186">
        <f t="shared" si="13"/>
        <v>224.356421808124</v>
      </c>
      <c r="J9" t="str">
        <f t="shared" si="6"/>
        <v>soft</v>
      </c>
      <c r="K9" s="342">
        <f t="shared" si="7"/>
        <v>-0.7142857142857143</v>
      </c>
      <c r="L9" s="342">
        <f t="shared" si="8"/>
        <v>0.14285714285714285</v>
      </c>
      <c r="M9" s="342">
        <f t="shared" si="8"/>
        <v>-0.42857142857142855</v>
      </c>
      <c r="N9" s="342">
        <f t="shared" si="8"/>
        <v>-0.14285714285714285</v>
      </c>
      <c r="O9" s="342">
        <f t="shared" si="8"/>
        <v>-0.42857142857142855</v>
      </c>
      <c r="P9" s="342">
        <f t="shared" si="9"/>
        <v>0.14285714285714285</v>
      </c>
      <c r="Q9" s="342">
        <f t="shared" si="9"/>
        <v>-0.14285714285714285</v>
      </c>
      <c r="R9" s="342">
        <f t="shared" si="9"/>
        <v>0.14285714285714285</v>
      </c>
      <c r="S9" s="342">
        <f t="shared" si="9"/>
        <v>0.42857142857142855</v>
      </c>
      <c r="T9" s="342">
        <f t="shared" si="9"/>
        <v>0.42857142857142855</v>
      </c>
      <c r="U9" s="342">
        <f t="shared" si="9"/>
        <v>-0.42857142857142855</v>
      </c>
      <c r="V9" s="342">
        <f t="shared" si="9"/>
        <v>0.14285714285714285</v>
      </c>
      <c r="W9" s="286"/>
      <c r="X9" s="6"/>
      <c r="Y9" s="17" t="s">
        <v>304</v>
      </c>
      <c r="Z9" s="283">
        <f t="shared" si="10"/>
        <v>6888.8826064362429</v>
      </c>
      <c r="AA9" s="283">
        <f t="shared" si="10"/>
        <v>1570.494952656868</v>
      </c>
      <c r="AB9" s="283">
        <f t="shared" si="10"/>
        <v>-1570.494952656868</v>
      </c>
      <c r="AC9" s="283">
        <f t="shared" si="10"/>
        <v>438.30137200248555</v>
      </c>
      <c r="AD9" s="283">
        <f t="shared" si="10"/>
        <v>-438.30137200248555</v>
      </c>
      <c r="AE9" s="283">
        <f t="shared" si="10"/>
        <v>-5289.8929354769489</v>
      </c>
      <c r="AF9" s="283">
        <f t="shared" si="10"/>
        <v>3288.1151990619674</v>
      </c>
      <c r="AG9" s="283">
        <f t="shared" si="10"/>
        <v>4478.559612931007</v>
      </c>
      <c r="AH9" s="283">
        <f t="shared" si="10"/>
        <v>-3051.5597444788968</v>
      </c>
      <c r="AI9" s="283">
        <f t="shared" si="10"/>
        <v>3051.5597444788968</v>
      </c>
      <c r="AJ9" s="283">
        <f t="shared" si="10"/>
        <v>-2233.2078336885838</v>
      </c>
      <c r="AK9" s="283">
        <f t="shared" si="10"/>
        <v>6770.9577272989773</v>
      </c>
      <c r="AL9" s="283">
        <f t="shared" si="10"/>
        <v>-6770.9577272989773</v>
      </c>
      <c r="AM9" s="283">
        <f t="shared" si="10"/>
        <v>759.16163011092704</v>
      </c>
      <c r="AN9" s="283">
        <f t="shared" si="10"/>
        <v>759.16163011092704</v>
      </c>
      <c r="AO9" s="283">
        <f t="shared" si="10"/>
        <v>-2090.6521969485548</v>
      </c>
      <c r="AP9" s="283">
        <f t="shared" si="10"/>
        <v>1042.7634198195433</v>
      </c>
    </row>
    <row r="10" spans="1:42" outlineLevel="1" x14ac:dyDescent="0.25">
      <c r="B10">
        <f>SUM(B2:B9)</f>
        <v>71</v>
      </c>
      <c r="C10" s="193">
        <f t="shared" si="12"/>
        <v>1</v>
      </c>
      <c r="D10" s="126"/>
      <c r="F10" s="294">
        <f>SUMIFS(H$14:H$92,H$14:H$92,1,$C$14:$C$92,"&lt;&gt;offline")/$B10</f>
        <v>0.36619718309859156</v>
      </c>
      <c r="G10" s="167">
        <f>SUM(G2:G9)</f>
        <v>64071.949678545083</v>
      </c>
      <c r="H10" s="143">
        <f t="shared" si="5"/>
        <v>902.42182645838147</v>
      </c>
      <c r="I10">
        <f>SUM(F14:F92)/B10</f>
        <v>-156.72274497613225</v>
      </c>
      <c r="J10" s="137"/>
      <c r="K10" s="6"/>
      <c r="L10" s="292"/>
      <c r="M10" s="286"/>
      <c r="N10" s="292"/>
      <c r="O10" s="6"/>
      <c r="R10" s="6"/>
      <c r="S10" s="286"/>
      <c r="T10" s="286"/>
      <c r="U10" s="286"/>
      <c r="V10" s="6"/>
      <c r="W10" s="286"/>
      <c r="X10" s="6"/>
      <c r="Y10" s="6" t="s">
        <v>1245</v>
      </c>
      <c r="Z10" s="284">
        <f>SUM(Z2:Z9)</f>
        <v>64071.949678545083</v>
      </c>
      <c r="AA10" s="284">
        <f t="shared" ref="AA10:AP10" si="14">SUM(AA2:AA9)</f>
        <v>-10014.384272197363</v>
      </c>
      <c r="AB10" s="284">
        <f t="shared" si="14"/>
        <v>10014.384272197363</v>
      </c>
      <c r="AC10" s="284">
        <f t="shared" si="14"/>
        <v>19074.706342413305</v>
      </c>
      <c r="AD10" s="284">
        <f t="shared" si="14"/>
        <v>-19074.706342413305</v>
      </c>
      <c r="AE10" s="284">
        <f t="shared" si="14"/>
        <v>2348.4467146917295</v>
      </c>
      <c r="AF10" s="284">
        <f t="shared" si="14"/>
        <v>2013.6502058535609</v>
      </c>
      <c r="AG10" s="284">
        <f t="shared" si="14"/>
        <v>14700.977493173608</v>
      </c>
      <c r="AH10" s="284">
        <f t="shared" si="14"/>
        <v>6798.5657423431676</v>
      </c>
      <c r="AI10" s="284">
        <f t="shared" ref="AI10" si="15">SUM(AI2:AI9)</f>
        <v>-6798.5657423431676</v>
      </c>
      <c r="AJ10" s="284">
        <f t="shared" si="14"/>
        <v>7577.3546416247682</v>
      </c>
      <c r="AK10" s="284">
        <f t="shared" si="14"/>
        <v>29753.522011212688</v>
      </c>
      <c r="AL10" s="284">
        <f t="shared" si="14"/>
        <v>-5288.5282592509338</v>
      </c>
      <c r="AM10" s="284">
        <f t="shared" si="14"/>
        <v>-22213.224570653019</v>
      </c>
      <c r="AN10" s="284">
        <f t="shared" si="14"/>
        <v>-1587.4196253078462</v>
      </c>
      <c r="AO10" s="284">
        <f t="shared" si="14"/>
        <v>-6213.2342613555047</v>
      </c>
      <c r="AP10" s="284">
        <f t="shared" si="14"/>
        <v>-7026.2929476313766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99% PNL 64072</v>
      </c>
      <c r="AA12" s="308" t="str">
        <f t="shared" si="16"/>
        <v>RISK-ON ACC 44% PNL -10014</v>
      </c>
      <c r="AB12" s="308" t="str">
        <f t="shared" si="16"/>
        <v>RISK-OFF ACC 55% PNL 10014</v>
      </c>
      <c r="AC12" s="308" t="str">
        <f t="shared" si="16"/>
        <v>Previous ACC 54% PNL 19075</v>
      </c>
      <c r="AD12" s="337" t="str">
        <f t="shared" si="16"/>
        <v>Anti-Previous ACC 45% PNL -19075</v>
      </c>
      <c r="AE12" s="338" t="str">
        <f t="shared" si="16"/>
        <v>&gt;equity ACC 49% PNL 2348</v>
      </c>
      <c r="AF12" s="338" t="str">
        <f t="shared" si="16"/>
        <v>50/50 ACC 44% PNL 2014</v>
      </c>
      <c r="AG12" s="338" t="str">
        <f t="shared" si="16"/>
        <v>&lt;equity ACC 51% PNL 14701</v>
      </c>
      <c r="AH12" s="339" t="str">
        <f t="shared" si="16"/>
        <v>SEASONALITY ACC 52% PNL 6799</v>
      </c>
      <c r="AI12" s="339" t="str">
        <f t="shared" si="16"/>
        <v>ANTI-SEASONALITY ACC 46% PNL -6799</v>
      </c>
      <c r="AJ12" s="339" t="str">
        <f t="shared" si="16"/>
        <v>ADJ_SEASONALITY ACC 52% PNL 7577</v>
      </c>
      <c r="AK12" s="340" t="str">
        <f t="shared" si="16"/>
        <v>V1 ACC 56% PNL 29754</v>
      </c>
      <c r="AL12" s="340" t="str">
        <f t="shared" si="16"/>
        <v>V2 ACC 48% PNL -5289</v>
      </c>
      <c r="AM12" s="340" t="str">
        <f t="shared" si="16"/>
        <v>V3 ACC 39% PNL -22213</v>
      </c>
      <c r="AN12" s="340" t="str">
        <f t="shared" si="16"/>
        <v>V4 ACC 45% PNL -1587</v>
      </c>
      <c r="AO12" s="340" t="str">
        <f t="shared" si="16"/>
        <v>V5 ACC 46% PNL -6213</v>
      </c>
      <c r="AP12" s="340" t="str">
        <f t="shared" si="16"/>
        <v>V6 ACC 46% PNL -7026</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858300.99064841692</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28" t="s">
        <v>287</v>
      </c>
      <c r="B14" s="329" t="s">
        <v>558</v>
      </c>
      <c r="C14" s="330" t="s">
        <v>1285</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H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28" t="s">
        <v>307</v>
      </c>
      <c r="B22" s="329" t="s">
        <v>484</v>
      </c>
      <c r="C22" s="330" t="s">
        <v>1285</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28" t="s">
        <v>320</v>
      </c>
      <c r="B29" s="329" t="s">
        <v>564</v>
      </c>
      <c r="C29" s="330" t="s">
        <v>1285</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28" t="s">
        <v>335</v>
      </c>
      <c r="B36" s="329" t="s">
        <v>568</v>
      </c>
      <c r="C36" s="330" t="s">
        <v>1285</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28" t="s">
        <v>341</v>
      </c>
      <c r="B39" s="329" t="s">
        <v>453</v>
      </c>
      <c r="C39" s="330" t="s">
        <v>1285</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330" t="s">
        <v>1285</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126770</v>
      </c>
      <c r="Y54" s="137">
        <v>15640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67660</v>
      </c>
      <c r="Y77" s="137">
        <v>12000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H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8244</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28" t="s">
        <v>1054</v>
      </c>
      <c r="B89" s="329" t="s">
        <v>463</v>
      </c>
      <c r="C89" s="330" t="s">
        <v>1285</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P94" si="68">COUNTIF(AA14:AA92,"&gt;0")/$B$10</f>
        <v>0.43661971830985913</v>
      </c>
      <c r="AB94" s="193">
        <f t="shared" si="68"/>
        <v>0.54929577464788737</v>
      </c>
      <c r="AC94" s="193">
        <f t="shared" ref="AC94" si="69">COUNTIF(AC14:AC92,"&gt;0")/$B$10</f>
        <v>0.53521126760563376</v>
      </c>
      <c r="AD94" s="193">
        <f t="shared" si="68"/>
        <v>0.45070422535211269</v>
      </c>
      <c r="AE94" s="193">
        <f t="shared" si="68"/>
        <v>0.49295774647887325</v>
      </c>
      <c r="AF94" s="193">
        <f t="shared" si="68"/>
        <v>0.43661971830985913</v>
      </c>
      <c r="AG94" s="193">
        <f t="shared" si="68"/>
        <v>0.50704225352112675</v>
      </c>
      <c r="AH94" s="193">
        <f t="shared" si="68"/>
        <v>0.52112676056338025</v>
      </c>
      <c r="AI94" s="193">
        <f t="shared" ref="AI94" si="70">COUNTIF(AI14:AI92,"&gt;0")/$B$10</f>
        <v>0.46478873239436619</v>
      </c>
      <c r="AJ94" s="193">
        <f t="shared" si="68"/>
        <v>0.52112676056338025</v>
      </c>
      <c r="AK94" s="193">
        <f t="shared" si="68"/>
        <v>0.56338028169014087</v>
      </c>
      <c r="AL94" s="193">
        <f t="shared" si="68"/>
        <v>0.47887323943661969</v>
      </c>
      <c r="AM94" s="193">
        <f t="shared" si="68"/>
        <v>0.39436619718309857</v>
      </c>
      <c r="AN94" s="193">
        <f t="shared" si="68"/>
        <v>0.45070422535211269</v>
      </c>
      <c r="AO94" s="193">
        <f t="shared" si="68"/>
        <v>0.46478873239436619</v>
      </c>
      <c r="AP94" s="193">
        <f t="shared" si="68"/>
        <v>0.46478873239436619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1294</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1" t="str">
        <f t="shared" ref="Z1:AP1" si="1">Z12</f>
        <v>MAX ACC 101% PNL 70290</v>
      </c>
      <c r="AA1" s="332" t="str">
        <f t="shared" si="1"/>
        <v>RISK-ON ACC 51% PNL -2908</v>
      </c>
      <c r="AB1" s="332" t="str">
        <f t="shared" si="1"/>
        <v>RISK-OFF ACC 51% PNL 2908</v>
      </c>
      <c r="AC1" s="332" t="str">
        <f t="shared" ref="AC1" si="2">AC12</f>
        <v>Previous ACC 31% PNL -22966</v>
      </c>
      <c r="AD1" s="295" t="str">
        <f t="shared" si="1"/>
        <v>Anti-Previous ACC 70% PNL 22966</v>
      </c>
      <c r="AE1" s="333" t="str">
        <f t="shared" si="1"/>
        <v>&gt;equity ACC 32% PNL -27569</v>
      </c>
      <c r="AF1" s="333" t="str">
        <f t="shared" si="1"/>
        <v>50/50 ACC 44% PNL -18551</v>
      </c>
      <c r="AG1" s="333" t="str">
        <f t="shared" si="1"/>
        <v>&lt;equity ACC 55% PNL -1223</v>
      </c>
      <c r="AH1" s="334" t="str">
        <f t="shared" si="1"/>
        <v>SEASONALITY ACC 44% PNL -9775</v>
      </c>
      <c r="AI1" s="334" t="str">
        <f t="shared" si="1"/>
        <v>ANTI-SEASONALITY ACC 58% PNL 9775</v>
      </c>
      <c r="AJ1" s="334" t="str">
        <f t="shared" si="1"/>
        <v>ADJ_SEASONALITY ACC 65% PNL 17211</v>
      </c>
      <c r="AK1" s="335" t="str">
        <f t="shared" si="1"/>
        <v>V1 ACC 51% PNL 3190</v>
      </c>
      <c r="AL1" s="335" t="str">
        <f t="shared" si="1"/>
        <v>V2 ACC 59% PNL 550</v>
      </c>
      <c r="AM1" s="335" t="str">
        <f t="shared" si="1"/>
        <v>V3 ACC 54% PNL -7383</v>
      </c>
      <c r="AN1" s="335" t="str">
        <f t="shared" si="1"/>
        <v>V4 ACC 54% PNL -4018</v>
      </c>
      <c r="AO1" s="335" t="str">
        <f t="shared" si="1"/>
        <v>V5 ACC 28% PNL -19260</v>
      </c>
      <c r="AP1" s="335" t="str">
        <f t="shared" si="1"/>
        <v>V6 ACC 56% PNL 1965</v>
      </c>
    </row>
    <row r="2" spans="1:42" outlineLevel="1" x14ac:dyDescent="0.25">
      <c r="A2" t="s">
        <v>1121</v>
      </c>
      <c r="B2" s="95">
        <f>COUNTIF($C$14:$C$92,A2)</f>
        <v>9</v>
      </c>
      <c r="C2" s="193">
        <f>B2/$B$10</f>
        <v>0.12676056338028169</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2">
        <f t="shared" ref="K2:K9" si="7">SUMIF($C$14:$C$92,$A2,E$14:E$92)/$B2</f>
        <v>0.1111111111111111</v>
      </c>
      <c r="L2" s="342">
        <f t="shared" ref="L2:O9" si="8">SUMIF($C$14:$C$92,$A2,I$14:I$92)/$B2</f>
        <v>-0.1111111111111111</v>
      </c>
      <c r="M2" s="342">
        <f t="shared" si="8"/>
        <v>0.77777777777777779</v>
      </c>
      <c r="N2" s="342">
        <f t="shared" si="8"/>
        <v>-0.55555555555555558</v>
      </c>
      <c r="O2" s="342">
        <f t="shared" si="8"/>
        <v>-0.33333333333333331</v>
      </c>
      <c r="P2" s="342">
        <f t="shared" ref="P2:V9" si="9">SUMIF($C$14:$C$92,$A2,O$14:O$92)/$B2</f>
        <v>-0.1111111111111111</v>
      </c>
      <c r="Q2" s="342">
        <f t="shared" si="9"/>
        <v>-0.1111111111111111</v>
      </c>
      <c r="R2" s="342">
        <f t="shared" si="9"/>
        <v>0.33333333333333331</v>
      </c>
      <c r="S2" s="342">
        <f t="shared" si="9"/>
        <v>0.1111111111111111</v>
      </c>
      <c r="T2" s="342">
        <f t="shared" si="9"/>
        <v>0.33333333333333331</v>
      </c>
      <c r="U2" s="342">
        <f t="shared" si="9"/>
        <v>0.33333333333333331</v>
      </c>
      <c r="V2" s="342">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8.4507042253521125E-2</v>
      </c>
      <c r="F3" s="294">
        <f t="shared" si="3"/>
        <v>0.33333333333333331</v>
      </c>
      <c r="G3" s="137">
        <f t="shared" si="4"/>
        <v>6884.5111663910238</v>
      </c>
      <c r="H3" s="143">
        <f t="shared" si="5"/>
        <v>1147.4185277318372</v>
      </c>
      <c r="I3" s="186">
        <f t="shared" ref="I3:I9" si="13">SUMIF($C$14:$C$92,A3,F$14:F$92)/B3</f>
        <v>-568.32756367052343</v>
      </c>
      <c r="J3" t="str">
        <f t="shared" si="6"/>
        <v>energy</v>
      </c>
      <c r="K3" s="342">
        <f t="shared" si="7"/>
        <v>-0.66666666666666663</v>
      </c>
      <c r="L3" s="342">
        <f t="shared" si="8"/>
        <v>-0.66666666666666663</v>
      </c>
      <c r="M3" s="342">
        <f t="shared" si="8"/>
        <v>0</v>
      </c>
      <c r="N3" s="342">
        <f t="shared" si="8"/>
        <v>-0.66666666666666663</v>
      </c>
      <c r="O3" s="342">
        <f t="shared" si="8"/>
        <v>0</v>
      </c>
      <c r="P3" s="342">
        <f t="shared" si="9"/>
        <v>-0.33333333333333331</v>
      </c>
      <c r="Q3" s="342">
        <f t="shared" si="9"/>
        <v>-0.66666666666666663</v>
      </c>
      <c r="R3" s="342">
        <f t="shared" si="9"/>
        <v>0.66666666666666663</v>
      </c>
      <c r="S3" s="342">
        <f t="shared" si="9"/>
        <v>0</v>
      </c>
      <c r="T3" s="342">
        <f t="shared" si="9"/>
        <v>0</v>
      </c>
      <c r="U3" s="342">
        <f t="shared" si="9"/>
        <v>0.33333333333333331</v>
      </c>
      <c r="V3" s="342">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0.14084507042253522</v>
      </c>
      <c r="F4" s="294">
        <f t="shared" si="3"/>
        <v>0.4</v>
      </c>
      <c r="G4" s="137">
        <f t="shared" si="4"/>
        <v>15576.15489481136</v>
      </c>
      <c r="H4" s="143">
        <f t="shared" si="5"/>
        <v>1557.6154894811359</v>
      </c>
      <c r="I4" s="186">
        <f t="shared" si="13"/>
        <v>-458.84311692127375</v>
      </c>
      <c r="J4" t="str">
        <f t="shared" si="6"/>
        <v>grain</v>
      </c>
      <c r="K4" s="342">
        <f t="shared" si="7"/>
        <v>0.2</v>
      </c>
      <c r="L4" s="342">
        <f t="shared" si="8"/>
        <v>0</v>
      </c>
      <c r="M4" s="342">
        <f t="shared" si="8"/>
        <v>0.6</v>
      </c>
      <c r="N4" s="342">
        <f t="shared" si="8"/>
        <v>-0.4</v>
      </c>
      <c r="O4" s="342">
        <f t="shared" si="8"/>
        <v>-0.6</v>
      </c>
      <c r="P4" s="342">
        <f t="shared" si="9"/>
        <v>-0.4</v>
      </c>
      <c r="Q4" s="342">
        <f t="shared" si="9"/>
        <v>0.4</v>
      </c>
      <c r="R4" s="342">
        <f t="shared" si="9"/>
        <v>0.2</v>
      </c>
      <c r="S4" s="342">
        <f t="shared" si="9"/>
        <v>0</v>
      </c>
      <c r="T4" s="342">
        <f t="shared" si="9"/>
        <v>0.4</v>
      </c>
      <c r="U4" s="342">
        <f t="shared" si="9"/>
        <v>0.6</v>
      </c>
      <c r="V4" s="342">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0.29577464788732394</v>
      </c>
      <c r="F5" s="294">
        <f t="shared" si="3"/>
        <v>0.66666666666666663</v>
      </c>
      <c r="G5" s="137">
        <f t="shared" si="4"/>
        <v>12800.696096201154</v>
      </c>
      <c r="H5" s="143">
        <f t="shared" si="5"/>
        <v>609.55695696195971</v>
      </c>
      <c r="I5" s="186">
        <f t="shared" si="13"/>
        <v>262.85114378809175</v>
      </c>
      <c r="J5" t="str">
        <f t="shared" si="6"/>
        <v>index</v>
      </c>
      <c r="K5" s="342">
        <f t="shared" si="7"/>
        <v>-0.14285714285714285</v>
      </c>
      <c r="L5" s="342">
        <f t="shared" si="8"/>
        <v>0.23809523809523808</v>
      </c>
      <c r="M5" s="342">
        <f t="shared" si="8"/>
        <v>-0.33333333333333331</v>
      </c>
      <c r="N5" s="342">
        <f t="shared" si="8"/>
        <v>0.33333333333333331</v>
      </c>
      <c r="O5" s="342">
        <f t="shared" si="8"/>
        <v>-0.52380952380952384</v>
      </c>
      <c r="P5" s="342">
        <f t="shared" si="9"/>
        <v>0.7142857142857143</v>
      </c>
      <c r="Q5" s="342">
        <f t="shared" si="9"/>
        <v>0.42857142857142855</v>
      </c>
      <c r="R5" s="342">
        <f t="shared" si="9"/>
        <v>0.52380952380952384</v>
      </c>
      <c r="S5" s="342">
        <f t="shared" si="9"/>
        <v>0.42857142857142855</v>
      </c>
      <c r="T5" s="342">
        <f t="shared" si="9"/>
        <v>0.52380952380952384</v>
      </c>
      <c r="U5" s="342">
        <f t="shared" si="9"/>
        <v>-0.52380952380952384</v>
      </c>
      <c r="V5" s="342">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4.2253521126760563E-2</v>
      </c>
      <c r="F6" s="294">
        <f t="shared" si="3"/>
        <v>1</v>
      </c>
      <c r="G6" s="137">
        <f t="shared" si="4"/>
        <v>8440.2149425006101</v>
      </c>
      <c r="H6" s="143">
        <f t="shared" si="5"/>
        <v>2813.4049808335367</v>
      </c>
      <c r="I6" s="186">
        <f t="shared" si="13"/>
        <v>2813.4049808335367</v>
      </c>
      <c r="J6" t="str">
        <f t="shared" si="6"/>
        <v>meat</v>
      </c>
      <c r="K6" s="342">
        <f t="shared" si="7"/>
        <v>-1</v>
      </c>
      <c r="L6" s="342">
        <f t="shared" si="8"/>
        <v>-1</v>
      </c>
      <c r="M6" s="342">
        <f t="shared" si="8"/>
        <v>-0.33333333333333331</v>
      </c>
      <c r="N6" s="342">
        <f t="shared" si="8"/>
        <v>-1</v>
      </c>
      <c r="O6" s="342">
        <f t="shared" si="8"/>
        <v>0.33333333333333331</v>
      </c>
      <c r="P6" s="342">
        <f t="shared" si="9"/>
        <v>-0.33333333333333331</v>
      </c>
      <c r="Q6" s="342">
        <f t="shared" si="9"/>
        <v>-1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7.0422535211267609E-2</v>
      </c>
      <c r="F7" s="294">
        <f t="shared" si="3"/>
        <v>0.2</v>
      </c>
      <c r="G7" s="137">
        <f t="shared" si="4"/>
        <v>5321.0370029173864</v>
      </c>
      <c r="H7" s="143">
        <f t="shared" si="5"/>
        <v>1064.2074005834772</v>
      </c>
      <c r="I7" s="186">
        <f t="shared" si="13"/>
        <v>-1016.1653843897471</v>
      </c>
      <c r="J7" t="str">
        <f t="shared" si="6"/>
        <v>metal</v>
      </c>
      <c r="K7" s="342">
        <f t="shared" si="7"/>
        <v>1</v>
      </c>
      <c r="L7" s="342">
        <f t="shared" si="8"/>
        <v>0.6</v>
      </c>
      <c r="M7" s="342">
        <f t="shared" si="8"/>
        <v>0.2</v>
      </c>
      <c r="N7" s="342">
        <f t="shared" si="8"/>
        <v>0.2</v>
      </c>
      <c r="O7" s="342">
        <f t="shared" si="8"/>
        <v>-0.2</v>
      </c>
      <c r="P7" s="342">
        <f t="shared" si="9"/>
        <v>1</v>
      </c>
      <c r="Q7" s="342">
        <f t="shared" si="9"/>
        <v>1</v>
      </c>
      <c r="R7" s="342">
        <f t="shared" si="9"/>
        <v>0.2</v>
      </c>
      <c r="S7" s="342">
        <f t="shared" si="9"/>
        <v>-0.2</v>
      </c>
      <c r="T7" s="342">
        <f t="shared" si="9"/>
        <v>0.2</v>
      </c>
      <c r="U7" s="342">
        <f t="shared" si="9"/>
        <v>-0.2</v>
      </c>
      <c r="V7" s="342">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0.14084507042253522</v>
      </c>
      <c r="F8" s="294">
        <f t="shared" si="3"/>
        <v>0.6</v>
      </c>
      <c r="G8" s="137">
        <f t="shared" si="4"/>
        <v>5464.611592143935</v>
      </c>
      <c r="H8" s="143">
        <f t="shared" si="5"/>
        <v>546.46115921439355</v>
      </c>
      <c r="I8" s="186">
        <f t="shared" si="13"/>
        <v>153.02050780468144</v>
      </c>
      <c r="J8" t="str">
        <f t="shared" si="6"/>
        <v>rates</v>
      </c>
      <c r="K8" s="342">
        <f t="shared" si="7"/>
        <v>0</v>
      </c>
      <c r="L8" s="342">
        <f t="shared" si="8"/>
        <v>-0.2</v>
      </c>
      <c r="M8" s="342">
        <f t="shared" si="8"/>
        <v>0.4</v>
      </c>
      <c r="N8" s="342">
        <f t="shared" si="8"/>
        <v>-0.4</v>
      </c>
      <c r="O8" s="342">
        <f t="shared" si="8"/>
        <v>1</v>
      </c>
      <c r="P8" s="342">
        <f t="shared" si="9"/>
        <v>-0.6</v>
      </c>
      <c r="Q8" s="342">
        <f t="shared" si="9"/>
        <v>-0.8</v>
      </c>
      <c r="R8" s="342">
        <f t="shared" si="9"/>
        <v>-0.2</v>
      </c>
      <c r="S8" s="342">
        <f t="shared" si="9"/>
        <v>-1</v>
      </c>
      <c r="T8" s="342">
        <f t="shared" si="9"/>
        <v>-1</v>
      </c>
      <c r="U8" s="342">
        <f t="shared" si="9"/>
        <v>0.6</v>
      </c>
      <c r="V8" s="342">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7</v>
      </c>
      <c r="C9" s="200">
        <f t="shared" si="12"/>
        <v>9.8591549295774641E-2</v>
      </c>
      <c r="D9" s="126"/>
      <c r="F9" s="294">
        <f t="shared" si="3"/>
        <v>0.14285714285714285</v>
      </c>
      <c r="G9" s="199">
        <f t="shared" si="4"/>
        <v>7224.5592867800133</v>
      </c>
      <c r="H9" s="143">
        <f t="shared" si="5"/>
        <v>1032.0798981114306</v>
      </c>
      <c r="I9" s="186">
        <f t="shared" si="13"/>
        <v>-1003.2357263322582</v>
      </c>
      <c r="J9" t="str">
        <f t="shared" si="6"/>
        <v>soft</v>
      </c>
      <c r="K9" s="342">
        <f t="shared" si="7"/>
        <v>0.14285714285714285</v>
      </c>
      <c r="L9" s="342">
        <f t="shared" si="8"/>
        <v>0.42857142857142855</v>
      </c>
      <c r="M9" s="342">
        <f t="shared" si="8"/>
        <v>0.14285714285714285</v>
      </c>
      <c r="N9" s="342">
        <f t="shared" si="8"/>
        <v>0.14285714285714285</v>
      </c>
      <c r="O9" s="342">
        <f t="shared" si="8"/>
        <v>-0.42857142857142855</v>
      </c>
      <c r="P9" s="342">
        <f t="shared" si="9"/>
        <v>-0.42857142857142855</v>
      </c>
      <c r="Q9" s="342">
        <f t="shared" si="9"/>
        <v>0.14285714285714285</v>
      </c>
      <c r="R9" s="342">
        <f t="shared" si="9"/>
        <v>-0.14285714285714285</v>
      </c>
      <c r="S9" s="342">
        <f t="shared" si="9"/>
        <v>0.7142857142857143</v>
      </c>
      <c r="T9" s="342">
        <f t="shared" si="9"/>
        <v>0.42857142857142855</v>
      </c>
      <c r="U9" s="342">
        <f t="shared" si="9"/>
        <v>0.42857142857142855</v>
      </c>
      <c r="V9" s="342">
        <f t="shared" si="9"/>
        <v>0.42857142857142855</v>
      </c>
      <c r="W9" s="286"/>
      <c r="X9" s="6"/>
      <c r="Y9" s="17" t="s">
        <v>304</v>
      </c>
      <c r="Z9" s="283">
        <f t="shared" si="10"/>
        <v>7224.5592867800133</v>
      </c>
      <c r="AA9" s="283">
        <f t="shared" si="10"/>
        <v>-7022.6500843258073</v>
      </c>
      <c r="AB9" s="283">
        <f t="shared" si="10"/>
        <v>7022.6500843258073</v>
      </c>
      <c r="AC9" s="283">
        <f t="shared" si="10"/>
        <v>1469.9993632821854</v>
      </c>
      <c r="AD9" s="283">
        <f t="shared" si="10"/>
        <v>-1469.9993632821854</v>
      </c>
      <c r="AE9" s="283">
        <f t="shared" si="10"/>
        <v>-3048.8786690545171</v>
      </c>
      <c r="AF9" s="283">
        <f t="shared" si="10"/>
        <v>-5704.7197378330402</v>
      </c>
      <c r="AG9" s="283">
        <f t="shared" si="10"/>
        <v>-4838.1773231425241</v>
      </c>
      <c r="AH9" s="283">
        <f t="shared" si="10"/>
        <v>-4282.7620860922189</v>
      </c>
      <c r="AI9" s="283">
        <f t="shared" si="10"/>
        <v>4282.7620860922189</v>
      </c>
      <c r="AJ9" s="283">
        <f t="shared" si="10"/>
        <v>6358.0168720894962</v>
      </c>
      <c r="AK9" s="283">
        <f t="shared" si="10"/>
        <v>1469.9993632821854</v>
      </c>
      <c r="AL9" s="283">
        <f t="shared" si="10"/>
        <v>-2291.5542295500049</v>
      </c>
      <c r="AM9" s="283">
        <f t="shared" si="10"/>
        <v>-2891.9570150230079</v>
      </c>
      <c r="AN9" s="283">
        <f t="shared" si="10"/>
        <v>-2846.9694666003111</v>
      </c>
      <c r="AO9" s="283">
        <f t="shared" si="10"/>
        <v>-49.840185664787626</v>
      </c>
      <c r="AP9" s="283">
        <f t="shared" si="10"/>
        <v>-3093.8662174772139</v>
      </c>
    </row>
    <row r="10" spans="1:42" outlineLevel="1" x14ac:dyDescent="0.25">
      <c r="B10">
        <f>SUM(B2:B9)</f>
        <v>71</v>
      </c>
      <c r="C10" s="193">
        <f t="shared" si="12"/>
        <v>1</v>
      </c>
      <c r="D10" s="126"/>
      <c r="F10" s="294">
        <f>SUMIFS(H$14:H$92,H$14:H$92,1,$C$14:$C$92,"&lt;&gt;offline")/$B10</f>
        <v>0.47887323943661969</v>
      </c>
      <c r="G10" s="167">
        <f>SUM(G2:G9)</f>
        <v>70290.013744752636</v>
      </c>
      <c r="H10" s="143">
        <f t="shared" si="5"/>
        <v>990.00019358806526</v>
      </c>
      <c r="I10">
        <f>SUM(F14:F92)/B10</f>
        <v>-103.57330465465806</v>
      </c>
      <c r="J10" s="137"/>
      <c r="K10" s="6"/>
      <c r="L10" s="292"/>
      <c r="M10" s="286"/>
      <c r="N10" s="292"/>
      <c r="O10" s="6"/>
      <c r="R10" s="6"/>
      <c r="S10" s="286"/>
      <c r="T10" s="286"/>
      <c r="U10" s="286"/>
      <c r="V10" s="6"/>
      <c r="W10" s="286"/>
      <c r="X10" s="6"/>
      <c r="Y10" s="6" t="s">
        <v>1245</v>
      </c>
      <c r="Z10" s="284">
        <f>SUM(Z2:Z9)</f>
        <v>70290.013744752636</v>
      </c>
      <c r="AA10" s="284">
        <f t="shared" ref="AA10:AP10" si="14">SUM(AA2:AA9)</f>
        <v>-2907.657838967024</v>
      </c>
      <c r="AB10" s="284">
        <f t="shared" si="14"/>
        <v>2907.657838967024</v>
      </c>
      <c r="AC10" s="284">
        <f t="shared" si="14"/>
        <v>-22965.813654801124</v>
      </c>
      <c r="AD10" s="284">
        <f t="shared" si="14"/>
        <v>22965.813654801124</v>
      </c>
      <c r="AE10" s="284">
        <f t="shared" si="14"/>
        <v>-27568.67510996151</v>
      </c>
      <c r="AF10" s="284">
        <f t="shared" si="14"/>
        <v>-18550.655317935714</v>
      </c>
      <c r="AG10" s="284">
        <f t="shared" si="14"/>
        <v>-1222.6251228181563</v>
      </c>
      <c r="AH10" s="284">
        <f t="shared" si="14"/>
        <v>-9774.7939723721265</v>
      </c>
      <c r="AI10" s="284">
        <f t="shared" ref="AI10" si="15">SUM(AI2:AI9)</f>
        <v>9774.7939723721265</v>
      </c>
      <c r="AJ10" s="284">
        <f t="shared" si="14"/>
        <v>17210.686466276842</v>
      </c>
      <c r="AK10" s="284">
        <f t="shared" si="14"/>
        <v>3189.7251287972967</v>
      </c>
      <c r="AL10" s="284">
        <f t="shared" si="14"/>
        <v>550.41535718289924</v>
      </c>
      <c r="AM10" s="284">
        <f t="shared" si="14"/>
        <v>-7382.8107202727406</v>
      </c>
      <c r="AN10" s="284">
        <f t="shared" si="14"/>
        <v>-4017.6121303329824</v>
      </c>
      <c r="AO10" s="284">
        <f t="shared" si="14"/>
        <v>-19259.740324013997</v>
      </c>
      <c r="AP10" s="284">
        <f t="shared" si="14"/>
        <v>1965.4220965999934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70290</v>
      </c>
      <c r="AA12" s="308" t="str">
        <f t="shared" si="16"/>
        <v>RISK-ON ACC 51% PNL -2908</v>
      </c>
      <c r="AB12" s="308" t="str">
        <f t="shared" si="16"/>
        <v>RISK-OFF ACC 51% PNL 2908</v>
      </c>
      <c r="AC12" s="308" t="str">
        <f t="shared" si="16"/>
        <v>Previous ACC 31% PNL -22966</v>
      </c>
      <c r="AD12" s="337" t="str">
        <f t="shared" si="16"/>
        <v>Anti-Previous ACC 70% PNL 22966</v>
      </c>
      <c r="AE12" s="338" t="str">
        <f t="shared" si="16"/>
        <v>&gt;equity ACC 32% PNL -27569</v>
      </c>
      <c r="AF12" s="338" t="str">
        <f t="shared" si="16"/>
        <v>50/50 ACC 44% PNL -18551</v>
      </c>
      <c r="AG12" s="338" t="str">
        <f t="shared" si="16"/>
        <v>&lt;equity ACC 55% PNL -1223</v>
      </c>
      <c r="AH12" s="339" t="str">
        <f t="shared" si="16"/>
        <v>SEASONALITY ACC 44% PNL -9775</v>
      </c>
      <c r="AI12" s="339" t="str">
        <f t="shared" si="16"/>
        <v>ANTI-SEASONALITY ACC 58% PNL 9775</v>
      </c>
      <c r="AJ12" s="339" t="str">
        <f t="shared" si="16"/>
        <v>ADJ_SEASONALITY ACC 65% PNL 17211</v>
      </c>
      <c r="AK12" s="340" t="str">
        <f t="shared" si="16"/>
        <v>V1 ACC 51% PNL 3190</v>
      </c>
      <c r="AL12" s="340" t="str">
        <f t="shared" si="16"/>
        <v>V2 ACC 59% PNL 550</v>
      </c>
      <c r="AM12" s="340" t="str">
        <f t="shared" si="16"/>
        <v>V3 ACC 54% PNL -7383</v>
      </c>
      <c r="AN12" s="340" t="str">
        <f t="shared" si="16"/>
        <v>V4 ACC 54% PNL -4018</v>
      </c>
      <c r="AO12" s="340" t="str">
        <f t="shared" si="16"/>
        <v>V5 ACC 28% PNL -19260</v>
      </c>
      <c r="AP12" s="340" t="str">
        <f t="shared" si="16"/>
        <v>V6 ACC 56% PNL 1965</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858300.99064841692</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28" t="s">
        <v>287</v>
      </c>
      <c r="B14" s="329" t="s">
        <v>558</v>
      </c>
      <c r="C14" s="330" t="s">
        <v>1285</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7968</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H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21726.143999999997</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4685</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8889</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115440</v>
      </c>
      <c r="Y20" s="137">
        <v>9000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10428</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28" t="s">
        <v>307</v>
      </c>
      <c r="B22" s="329" t="s">
        <v>484</v>
      </c>
      <c r="C22" s="330" t="s">
        <v>1285</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9180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4503</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21792</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14804</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12992.099999999999</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13327.38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28" t="s">
        <v>320</v>
      </c>
      <c r="B29" s="329" t="s">
        <v>564</v>
      </c>
      <c r="C29" s="330" t="s">
        <v>1285</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14250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15750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8436</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2449.7791999999999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17434.559999999998</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28" t="s">
        <v>335</v>
      </c>
      <c r="B36" s="329" t="s">
        <v>568</v>
      </c>
      <c r="C36" s="330" t="s">
        <v>1285</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16638.4218</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15369.6543</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28" t="s">
        <v>341</v>
      </c>
      <c r="B39" s="329" t="s">
        <v>453</v>
      </c>
      <c r="C39" s="330" t="s">
        <v>1285</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7000</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11250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15115.9793814433</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111775</v>
      </c>
      <c r="Y43" s="137">
        <v>5750</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25265.463917525773</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11970</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7894</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15000</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83800</v>
      </c>
      <c r="Y48" s="137">
        <v>7000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330" t="s">
        <v>1285</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108603</v>
      </c>
      <c r="Y49" s="137">
        <v>7311</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6750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10000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8800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102240</v>
      </c>
      <c r="Y53" s="137">
        <v>6000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125160</v>
      </c>
      <c r="Y54" s="137">
        <v>15640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8312</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9572</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25145.999999999996</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18496</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9054</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6495</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12500</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15000</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6750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4376</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10500</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6192</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12236</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6850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89344.698987746393</v>
      </c>
      <c r="Y70" s="137">
        <v>4299.8239032233369</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15250</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12000</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33606</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1296</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6756</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1154006.9686411151</v>
      </c>
      <c r="Y76" s="137">
        <v>1975.1135690302192</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68340</v>
      </c>
      <c r="Y77" s="137">
        <v>12000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26336.136177194425</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6246.24</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H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11250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16205.199999999997</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13500</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2187031.25</v>
      </c>
      <c r="Y83" s="137">
        <v>8244</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6248</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9124</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26148</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14000</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19499.594399999998</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28" t="s">
        <v>1054</v>
      </c>
      <c r="B89" s="329" t="s">
        <v>463</v>
      </c>
      <c r="C89" s="330" t="s">
        <v>1285</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16248</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12326.4</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12518.999999999998</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0.50704225352112675</v>
      </c>
      <c r="AB94" s="193">
        <f t="shared" si="68"/>
        <v>0.50704225352112675</v>
      </c>
      <c r="AC94" s="193">
        <f t="shared" ref="AC94" si="69">COUNTIF(AC14:AC92,"&gt;0")/$B$10</f>
        <v>0.30985915492957744</v>
      </c>
      <c r="AD94" s="193">
        <f t="shared" si="68"/>
        <v>0.70422535211267601</v>
      </c>
      <c r="AE94" s="193">
        <f t="shared" si="68"/>
        <v>0.323943661971831</v>
      </c>
      <c r="AF94" s="193">
        <f t="shared" si="68"/>
        <v>0.43661971830985913</v>
      </c>
      <c r="AG94" s="193">
        <f t="shared" si="68"/>
        <v>0.54929577464788737</v>
      </c>
      <c r="AH94" s="193">
        <f t="shared" si="68"/>
        <v>0.43661971830985913</v>
      </c>
      <c r="AI94" s="193">
        <f t="shared" ref="AI94" si="70">COUNTIF(AI14:AI92,"&gt;0")/$B$10</f>
        <v>0.57746478873239437</v>
      </c>
      <c r="AJ94" s="193">
        <f t="shared" si="68"/>
        <v>0.647887323943662</v>
      </c>
      <c r="AK94" s="193">
        <f t="shared" si="68"/>
        <v>0.50704225352112675</v>
      </c>
      <c r="AL94" s="193">
        <f t="shared" si="68"/>
        <v>0.59154929577464788</v>
      </c>
      <c r="AM94" s="193">
        <f t="shared" si="68"/>
        <v>0.53521126760563376</v>
      </c>
      <c r="AN94" s="193">
        <f t="shared" si="68"/>
        <v>0.53521126760563376</v>
      </c>
      <c r="AO94" s="193">
        <f t="shared" si="68"/>
        <v>0.28169014084507044</v>
      </c>
      <c r="AP94" s="193">
        <f t="shared" si="68"/>
        <v>0.56338028169014087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1294</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1" t="str">
        <f t="shared" ref="Z1:AP1" si="1">Z12</f>
        <v>MAX ACC 100% PNL 61344</v>
      </c>
      <c r="AA1" s="332" t="str">
        <f t="shared" si="1"/>
        <v>RISK-ON ACC 45% PNL -24417</v>
      </c>
      <c r="AB1" s="332" t="str">
        <f t="shared" si="1"/>
        <v>RISK-OFF ACC 55% PNL 24417</v>
      </c>
      <c r="AC1" s="332" t="str">
        <f t="shared" ref="AC1" si="2">AC12</f>
        <v>Previous ACC 38% PNL -12764</v>
      </c>
      <c r="AD1" s="295" t="str">
        <f t="shared" si="1"/>
        <v>Anti-Previous ACC 62% PNL 12764</v>
      </c>
      <c r="AE1" s="333" t="str">
        <f t="shared" si="1"/>
        <v>&gt;equity ACC 58% PNL 10313</v>
      </c>
      <c r="AF1" s="333" t="str">
        <f t="shared" si="1"/>
        <v>50/50 ACC 56% PNL 22252</v>
      </c>
      <c r="AG1" s="333" t="str">
        <f t="shared" si="1"/>
        <v>&lt;equity ACC 41% PNL 4513</v>
      </c>
      <c r="AH1" s="334" t="str">
        <f t="shared" si="1"/>
        <v>SEASONALITY ACC 55% PNL 9418</v>
      </c>
      <c r="AI1" s="334" t="str">
        <f t="shared" si="1"/>
        <v>ANTI-SEASONALITY ACC 45% PNL -9418</v>
      </c>
      <c r="AJ1" s="334" t="str">
        <f t="shared" si="1"/>
        <v>ADJ_SEASONALITY ACC 54% PNL 2915</v>
      </c>
      <c r="AK1" s="335" t="str">
        <f t="shared" si="1"/>
        <v>V1 ACC 39% PNL -2737</v>
      </c>
      <c r="AL1" s="335" t="str">
        <f t="shared" si="1"/>
        <v>V2 ACC 68% PNL 23061</v>
      </c>
      <c r="AM1" s="335" t="str">
        <f t="shared" si="1"/>
        <v>V3 ACC 55% PNL 10761</v>
      </c>
      <c r="AN1" s="335" t="str">
        <f t="shared" si="1"/>
        <v>V4 ACC 59% PNL 16629</v>
      </c>
      <c r="AO1" s="335" t="str">
        <f t="shared" si="1"/>
        <v>V5 ACC 52% PNL -5365</v>
      </c>
      <c r="AP1" s="335" t="str">
        <f t="shared" si="1"/>
        <v>V6 ACC 59% PNL 12964</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2">
        <f t="shared" ref="K2:K9" si="7">SUMIF($C$14:$C$92,$A2,E$14:E$92)/$B2</f>
        <v>-0.55555555555555558</v>
      </c>
      <c r="L2" s="342">
        <f t="shared" ref="L2:O9" si="8">SUMIF($C$14:$C$92,$A2,I$14:I$92)/$B2</f>
        <v>-0.1111111111111111</v>
      </c>
      <c r="M2" s="342">
        <f t="shared" si="8"/>
        <v>-0.1111111111111111</v>
      </c>
      <c r="N2" s="342">
        <f t="shared" si="8"/>
        <v>-0.55555555555555558</v>
      </c>
      <c r="O2" s="342">
        <f t="shared" si="8"/>
        <v>-0.33333333333333331</v>
      </c>
      <c r="P2" s="342">
        <f t="shared" ref="P2:V9" si="9">SUMIF($C$14:$C$92,$A2,O$14:O$92)/$B2</f>
        <v>-0.1111111111111111</v>
      </c>
      <c r="Q2" s="342">
        <f t="shared" si="9"/>
        <v>-0.33333333333333331</v>
      </c>
      <c r="R2" s="342">
        <f t="shared" si="9"/>
        <v>0.33333333333333331</v>
      </c>
      <c r="S2" s="342">
        <f t="shared" si="9"/>
        <v>0.55555555555555558</v>
      </c>
      <c r="T2" s="342">
        <f t="shared" si="9"/>
        <v>0.33333333333333331</v>
      </c>
      <c r="U2" s="342">
        <f t="shared" si="9"/>
        <v>0.1111111111111111</v>
      </c>
      <c r="V2" s="342">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8.4507042253521125E-2</v>
      </c>
      <c r="F3" s="294">
        <f t="shared" si="3"/>
        <v>0.16666666666666666</v>
      </c>
      <c r="G3" s="137">
        <f t="shared" si="4"/>
        <v>8169.0469489423258</v>
      </c>
      <c r="H3" s="143">
        <f t="shared" si="5"/>
        <v>1361.507824823721</v>
      </c>
      <c r="I3" s="186">
        <f t="shared" ref="I3:I9" si="13">SUMIF($C$14:$C$92,A3,F$14:F$92)/B3</f>
        <v>-975.99847724524216</v>
      </c>
      <c r="J3" t="str">
        <f t="shared" si="6"/>
        <v>energy</v>
      </c>
      <c r="K3" s="342">
        <f t="shared" si="7"/>
        <v>0.33333333333333331</v>
      </c>
      <c r="L3" s="342">
        <f t="shared" si="8"/>
        <v>-0.66666666666666663</v>
      </c>
      <c r="M3" s="342">
        <f t="shared" si="8"/>
        <v>0</v>
      </c>
      <c r="N3" s="342">
        <f t="shared" si="8"/>
        <v>-0.66666666666666663</v>
      </c>
      <c r="O3" s="342">
        <f t="shared" si="8"/>
        <v>-0.33333333333333331</v>
      </c>
      <c r="P3" s="342">
        <f t="shared" si="9"/>
        <v>-0.66666666666666663</v>
      </c>
      <c r="Q3" s="342">
        <f t="shared" si="9"/>
        <v>0</v>
      </c>
      <c r="R3" s="342">
        <f t="shared" si="9"/>
        <v>-0.66666666666666663</v>
      </c>
      <c r="S3" s="342">
        <f t="shared" si="9"/>
        <v>-0.33333333333333331</v>
      </c>
      <c r="T3" s="342">
        <f t="shared" si="9"/>
        <v>-0.33333333333333331</v>
      </c>
      <c r="U3" s="342">
        <f t="shared" si="9"/>
        <v>0.66666666666666663</v>
      </c>
      <c r="V3" s="342">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0.14084507042253522</v>
      </c>
      <c r="F4" s="294">
        <f t="shared" si="3"/>
        <v>0.6</v>
      </c>
      <c r="G4" s="137">
        <f t="shared" si="4"/>
        <v>5729.1618829555555</v>
      </c>
      <c r="H4" s="143">
        <f t="shared" si="5"/>
        <v>572.91618829555557</v>
      </c>
      <c r="I4" s="186">
        <f t="shared" si="13"/>
        <v>111.16757298884156</v>
      </c>
      <c r="J4" t="str">
        <f t="shared" si="6"/>
        <v>grain</v>
      </c>
      <c r="K4" s="342">
        <f t="shared" si="7"/>
        <v>-0.4</v>
      </c>
      <c r="L4" s="342">
        <f t="shared" si="8"/>
        <v>0.2</v>
      </c>
      <c r="M4" s="342">
        <f t="shared" si="8"/>
        <v>0.2</v>
      </c>
      <c r="N4" s="342">
        <f t="shared" si="8"/>
        <v>-0.6</v>
      </c>
      <c r="O4" s="342">
        <f t="shared" si="8"/>
        <v>-0.6</v>
      </c>
      <c r="P4" s="342">
        <f t="shared" si="9"/>
        <v>-0.6</v>
      </c>
      <c r="Q4" s="342">
        <f t="shared" si="9"/>
        <v>-0.4</v>
      </c>
      <c r="R4" s="342">
        <f t="shared" si="9"/>
        <v>0.2</v>
      </c>
      <c r="S4" s="342">
        <f t="shared" si="9"/>
        <v>0.4</v>
      </c>
      <c r="T4" s="342">
        <f t="shared" si="9"/>
        <v>0.4</v>
      </c>
      <c r="U4" s="342">
        <f t="shared" si="9"/>
        <v>0.4</v>
      </c>
      <c r="V4" s="342">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0.29577464788732394</v>
      </c>
      <c r="F5" s="294">
        <f t="shared" si="3"/>
        <v>0.42857142857142855</v>
      </c>
      <c r="G5" s="137">
        <f t="shared" si="4"/>
        <v>14277.410829226174</v>
      </c>
      <c r="H5" s="143">
        <f t="shared" si="5"/>
        <v>679.87670615362731</v>
      </c>
      <c r="I5" s="186">
        <f t="shared" si="13"/>
        <v>-206.88573500853877</v>
      </c>
      <c r="J5" t="str">
        <f t="shared" si="6"/>
        <v>index</v>
      </c>
      <c r="K5" s="342">
        <f t="shared" si="7"/>
        <v>0.80952380952380953</v>
      </c>
      <c r="L5" s="342">
        <f t="shared" si="8"/>
        <v>0.52380952380952384</v>
      </c>
      <c r="M5" s="342">
        <f t="shared" si="8"/>
        <v>-0.80952380952380953</v>
      </c>
      <c r="N5" s="342">
        <f t="shared" si="8"/>
        <v>0.7142857142857143</v>
      </c>
      <c r="O5" s="342">
        <f t="shared" si="8"/>
        <v>-0.42857142857142855</v>
      </c>
      <c r="P5" s="342">
        <f t="shared" si="9"/>
        <v>0.33333333333333331</v>
      </c>
      <c r="Q5" s="342">
        <f t="shared" si="9"/>
        <v>0.90476190476190477</v>
      </c>
      <c r="R5" s="342">
        <f t="shared" si="9"/>
        <v>-0.80952380952380953</v>
      </c>
      <c r="S5" s="342">
        <f t="shared" si="9"/>
        <v>4.7619047619047616E-2</v>
      </c>
      <c r="T5" s="342">
        <f t="shared" si="9"/>
        <v>4.7619047619047616E-2</v>
      </c>
      <c r="U5" s="342">
        <f t="shared" si="9"/>
        <v>-0.33333333333333331</v>
      </c>
      <c r="V5" s="342">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4.2253521126760563E-2</v>
      </c>
      <c r="F6" s="294">
        <f t="shared" si="3"/>
        <v>0</v>
      </c>
      <c r="G6" s="137">
        <f t="shared" si="4"/>
        <v>9379.4754759927928</v>
      </c>
      <c r="H6" s="143">
        <f t="shared" si="5"/>
        <v>3126.4918253309311</v>
      </c>
      <c r="I6" s="186">
        <f t="shared" si="13"/>
        <v>-3126.4918253309311</v>
      </c>
      <c r="J6" t="str">
        <f t="shared" si="6"/>
        <v>meat</v>
      </c>
      <c r="K6" s="342">
        <f t="shared" si="7"/>
        <v>-1</v>
      </c>
      <c r="L6" s="342">
        <f t="shared" si="8"/>
        <v>-1</v>
      </c>
      <c r="M6" s="342">
        <f t="shared" si="8"/>
        <v>0.33333333333333331</v>
      </c>
      <c r="N6" s="342">
        <f t="shared" si="8"/>
        <v>-1</v>
      </c>
      <c r="O6" s="342">
        <f t="shared" si="8"/>
        <v>0.33333333333333331</v>
      </c>
      <c r="P6" s="342">
        <f t="shared" si="9"/>
        <v>-0.33333333333333331</v>
      </c>
      <c r="Q6" s="342">
        <f t="shared" si="9"/>
        <v>-1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7.0422535211267609E-2</v>
      </c>
      <c r="F7" s="294">
        <f t="shared" si="3"/>
        <v>1</v>
      </c>
      <c r="G7" s="137">
        <f t="shared" si="4"/>
        <v>6017.5910399025888</v>
      </c>
      <c r="H7" s="143">
        <f t="shared" si="5"/>
        <v>1203.5182079805177</v>
      </c>
      <c r="I7" s="186">
        <f t="shared" si="13"/>
        <v>1203.5182079805177</v>
      </c>
      <c r="J7" t="str">
        <f t="shared" si="6"/>
        <v>metal</v>
      </c>
      <c r="K7" s="342">
        <f t="shared" si="7"/>
        <v>-0.6</v>
      </c>
      <c r="L7" s="342">
        <f t="shared" si="8"/>
        <v>-0.2</v>
      </c>
      <c r="M7" s="342">
        <f t="shared" si="8"/>
        <v>-0.6</v>
      </c>
      <c r="N7" s="342">
        <f t="shared" si="8"/>
        <v>-0.2</v>
      </c>
      <c r="O7" s="342">
        <f t="shared" si="8"/>
        <v>-0.2</v>
      </c>
      <c r="P7" s="342">
        <f t="shared" si="9"/>
        <v>0.6</v>
      </c>
      <c r="Q7" s="342">
        <f t="shared" si="9"/>
        <v>-0.6</v>
      </c>
      <c r="R7" s="342">
        <f t="shared" si="9"/>
        <v>0.6</v>
      </c>
      <c r="S7" s="342">
        <f t="shared" si="9"/>
        <v>0.6</v>
      </c>
      <c r="T7" s="342">
        <f t="shared" si="9"/>
        <v>0.6</v>
      </c>
      <c r="U7" s="342">
        <f t="shared" si="9"/>
        <v>-0.6</v>
      </c>
      <c r="V7" s="342">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0.14084507042253522</v>
      </c>
      <c r="F8" s="294">
        <f t="shared" si="3"/>
        <v>0.5</v>
      </c>
      <c r="G8" s="137">
        <f t="shared" si="4"/>
        <v>5690.9695820584429</v>
      </c>
      <c r="H8" s="143">
        <f t="shared" si="5"/>
        <v>569.09695820584432</v>
      </c>
      <c r="I8" s="186">
        <f t="shared" si="13"/>
        <v>110.70796658453841</v>
      </c>
      <c r="J8" t="str">
        <f t="shared" si="6"/>
        <v>rates</v>
      </c>
      <c r="K8" s="342">
        <f t="shared" si="7"/>
        <v>-0.4</v>
      </c>
      <c r="L8" s="342">
        <f t="shared" si="8"/>
        <v>0</v>
      </c>
      <c r="M8" s="342">
        <f t="shared" si="8"/>
        <v>0</v>
      </c>
      <c r="N8" s="342">
        <f t="shared" si="8"/>
        <v>-0.4</v>
      </c>
      <c r="O8" s="342">
        <f t="shared" si="8"/>
        <v>1</v>
      </c>
      <c r="P8" s="342">
        <f t="shared" si="9"/>
        <v>-0.4</v>
      </c>
      <c r="Q8" s="342">
        <f t="shared" si="9"/>
        <v>-0.6</v>
      </c>
      <c r="R8" s="342">
        <f t="shared" si="9"/>
        <v>0</v>
      </c>
      <c r="S8" s="342">
        <f t="shared" si="9"/>
        <v>-0.2</v>
      </c>
      <c r="T8" s="342">
        <f t="shared" si="9"/>
        <v>-0.2</v>
      </c>
      <c r="U8" s="342">
        <f t="shared" si="9"/>
        <v>0.6</v>
      </c>
      <c r="V8" s="342">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7</v>
      </c>
      <c r="C9" s="200">
        <f t="shared" si="12"/>
        <v>9.8591549295774641E-2</v>
      </c>
      <c r="D9" s="126"/>
      <c r="F9" s="294">
        <f t="shared" si="3"/>
        <v>0.5714285714285714</v>
      </c>
      <c r="G9" s="199">
        <f t="shared" si="4"/>
        <v>6357.6257304994269</v>
      </c>
      <c r="H9" s="143">
        <f t="shared" si="5"/>
        <v>908.23224721420388</v>
      </c>
      <c r="I9" s="186">
        <f t="shared" si="13"/>
        <v>-76.221374096213523</v>
      </c>
      <c r="J9" t="str">
        <f t="shared" si="6"/>
        <v>soft</v>
      </c>
      <c r="K9" s="342">
        <f t="shared" si="7"/>
        <v>-0.42857142857142855</v>
      </c>
      <c r="L9" s="342">
        <f t="shared" si="8"/>
        <v>-0.14285714285714285</v>
      </c>
      <c r="M9" s="342">
        <f t="shared" si="8"/>
        <v>-0.42857142857142855</v>
      </c>
      <c r="N9" s="342">
        <f t="shared" si="8"/>
        <v>-0.14285714285714285</v>
      </c>
      <c r="O9" s="342">
        <f t="shared" si="8"/>
        <v>-0.7142857142857143</v>
      </c>
      <c r="P9" s="342">
        <f t="shared" si="9"/>
        <v>-0.42857142857142855</v>
      </c>
      <c r="Q9" s="342">
        <f t="shared" si="9"/>
        <v>-0.14285714285714285</v>
      </c>
      <c r="R9" s="342">
        <f t="shared" si="9"/>
        <v>-0.42857142857142855</v>
      </c>
      <c r="S9" s="342">
        <f t="shared" si="9"/>
        <v>0.7142857142857143</v>
      </c>
      <c r="T9" s="342">
        <f t="shared" si="9"/>
        <v>-0.14285714285714285</v>
      </c>
      <c r="U9" s="342">
        <f t="shared" si="9"/>
        <v>0.14285714285714285</v>
      </c>
      <c r="V9" s="342">
        <f t="shared" si="9"/>
        <v>0.42857142857142855</v>
      </c>
      <c r="W9" s="286"/>
      <c r="X9" s="6"/>
      <c r="Y9" s="17" t="s">
        <v>304</v>
      </c>
      <c r="Z9" s="283">
        <f t="shared" si="10"/>
        <v>6357.6257304994269</v>
      </c>
      <c r="AA9" s="283">
        <f t="shared" si="10"/>
        <v>-533.54961867349471</v>
      </c>
      <c r="AB9" s="283">
        <f t="shared" si="10"/>
        <v>533.54961867349471</v>
      </c>
      <c r="AC9" s="283">
        <f t="shared" si="10"/>
        <v>589.08758055246358</v>
      </c>
      <c r="AD9" s="283">
        <f t="shared" si="10"/>
        <v>-589.08758055246358</v>
      </c>
      <c r="AE9" s="283">
        <f t="shared" si="10"/>
        <v>2067.6816266879287</v>
      </c>
      <c r="AF9" s="283">
        <f t="shared" si="10"/>
        <v>2347.9899967311967</v>
      </c>
      <c r="AG9" s="283">
        <f t="shared" si="10"/>
        <v>2347.9899967311967</v>
      </c>
      <c r="AH9" s="283">
        <f t="shared" si="10"/>
        <v>308.77921050919554</v>
      </c>
      <c r="AI9" s="283">
        <f t="shared" si="10"/>
        <v>-308.77921050919554</v>
      </c>
      <c r="AJ9" s="283">
        <f t="shared" si="10"/>
        <v>2722.7841298004005</v>
      </c>
      <c r="AK9" s="283">
        <f t="shared" si="10"/>
        <v>2347.9899967311967</v>
      </c>
      <c r="AL9" s="283">
        <f t="shared" si="10"/>
        <v>4201.3781759358653</v>
      </c>
      <c r="AM9" s="283">
        <f t="shared" si="10"/>
        <v>-308.77921050919554</v>
      </c>
      <c r="AN9" s="283">
        <f t="shared" si="10"/>
        <v>4481.6865459791334</v>
      </c>
      <c r="AO9" s="283">
        <f t="shared" si="10"/>
        <v>-4481.6865459791334</v>
      </c>
      <c r="AP9" s="283">
        <f t="shared" si="10"/>
        <v>-589.08758055246358</v>
      </c>
    </row>
    <row r="10" spans="1:42" outlineLevel="1" x14ac:dyDescent="0.25">
      <c r="B10">
        <f>SUM(B2:B9)</f>
        <v>71</v>
      </c>
      <c r="C10" s="193">
        <f t="shared" si="12"/>
        <v>1</v>
      </c>
      <c r="D10" s="126"/>
      <c r="F10" s="294">
        <f>SUMIFS(H$14:H$92,H$14:H$92,1,$C$14:$C$92,"&lt;&gt;offline")/$B10</f>
        <v>0.49295774647887325</v>
      </c>
      <c r="G10" s="167">
        <f>SUM(G2:G9)</f>
        <v>61344.046446945817</v>
      </c>
      <c r="H10" s="143">
        <f t="shared" si="5"/>
        <v>864.00065418233544</v>
      </c>
      <c r="I10">
        <f>SUM(F14:F92)/B10</f>
        <v>-136.25357778202249</v>
      </c>
      <c r="J10" s="137"/>
      <c r="K10" s="6"/>
      <c r="L10" s="292"/>
      <c r="M10" s="286"/>
      <c r="N10" s="292"/>
      <c r="O10" s="6"/>
      <c r="R10" s="6"/>
      <c r="S10" s="286"/>
      <c r="T10" s="286"/>
      <c r="U10" s="286"/>
      <c r="V10" s="6"/>
      <c r="W10" s="286"/>
      <c r="X10" s="6"/>
      <c r="Y10" s="6" t="s">
        <v>1245</v>
      </c>
      <c r="Z10" s="284">
        <f>SUM(Z2:Z9)</f>
        <v>61344.046446945817</v>
      </c>
      <c r="AA10" s="284">
        <f t="shared" ref="AA10:AP10" si="14">SUM(AA2:AA9)</f>
        <v>-24417.442543658643</v>
      </c>
      <c r="AB10" s="284">
        <f t="shared" si="14"/>
        <v>24417.442543658643</v>
      </c>
      <c r="AC10" s="284">
        <f t="shared" si="14"/>
        <v>-12764.407752062567</v>
      </c>
      <c r="AD10" s="284">
        <f t="shared" si="14"/>
        <v>12764.407752062567</v>
      </c>
      <c r="AE10" s="284">
        <f t="shared" si="14"/>
        <v>10312.740760391513</v>
      </c>
      <c r="AF10" s="284">
        <f t="shared" si="14"/>
        <v>22251.773656960315</v>
      </c>
      <c r="AG10" s="284">
        <f t="shared" si="14"/>
        <v>4512.7859737818962</v>
      </c>
      <c r="AH10" s="284">
        <f t="shared" si="14"/>
        <v>9417.6210193098577</v>
      </c>
      <c r="AI10" s="284">
        <f t="shared" ref="AI10" si="15">SUM(AI2:AI9)</f>
        <v>-9417.6210193098577</v>
      </c>
      <c r="AJ10" s="284">
        <f t="shared" si="14"/>
        <v>2914.8755036624661</v>
      </c>
      <c r="AK10" s="284">
        <f t="shared" si="14"/>
        <v>-2736.51425903154</v>
      </c>
      <c r="AL10" s="284">
        <f t="shared" si="14"/>
        <v>23060.869282508324</v>
      </c>
      <c r="AM10" s="284">
        <f t="shared" si="14"/>
        <v>10760.789585092965</v>
      </c>
      <c r="AN10" s="284">
        <f t="shared" si="14"/>
        <v>16628.716654018172</v>
      </c>
      <c r="AO10" s="284">
        <f t="shared" si="14"/>
        <v>-5365.4430052791577</v>
      </c>
      <c r="AP10" s="284">
        <f t="shared" si="14"/>
        <v>12963.667690493214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61344</v>
      </c>
      <c r="AA12" s="308" t="str">
        <f t="shared" si="16"/>
        <v>RISK-ON ACC 45% PNL -24417</v>
      </c>
      <c r="AB12" s="308" t="str">
        <f t="shared" si="16"/>
        <v>RISK-OFF ACC 55% PNL 24417</v>
      </c>
      <c r="AC12" s="308" t="str">
        <f t="shared" si="16"/>
        <v>Previous ACC 38% PNL -12764</v>
      </c>
      <c r="AD12" s="337" t="str">
        <f t="shared" si="16"/>
        <v>Anti-Previous ACC 62% PNL 12764</v>
      </c>
      <c r="AE12" s="338" t="str">
        <f t="shared" si="16"/>
        <v>&gt;equity ACC 58% PNL 10313</v>
      </c>
      <c r="AF12" s="338" t="str">
        <f t="shared" si="16"/>
        <v>50/50 ACC 56% PNL 22252</v>
      </c>
      <c r="AG12" s="338" t="str">
        <f t="shared" si="16"/>
        <v>&lt;equity ACC 41% PNL 4513</v>
      </c>
      <c r="AH12" s="339" t="str">
        <f t="shared" si="16"/>
        <v>SEASONALITY ACC 55% PNL 9418</v>
      </c>
      <c r="AI12" s="339" t="str">
        <f t="shared" si="16"/>
        <v>ANTI-SEASONALITY ACC 45% PNL -9418</v>
      </c>
      <c r="AJ12" s="339" t="str">
        <f t="shared" si="16"/>
        <v>ADJ_SEASONALITY ACC 54% PNL 2915</v>
      </c>
      <c r="AK12" s="340" t="str">
        <f t="shared" si="16"/>
        <v>V1 ACC 39% PNL -2737</v>
      </c>
      <c r="AL12" s="340" t="str">
        <f t="shared" si="16"/>
        <v>V2 ACC 68% PNL 23061</v>
      </c>
      <c r="AM12" s="340" t="str">
        <f t="shared" si="16"/>
        <v>V3 ACC 55% PNL 10761</v>
      </c>
      <c r="AN12" s="340" t="str">
        <f t="shared" si="16"/>
        <v>V4 ACC 59% PNL 16629</v>
      </c>
      <c r="AO12" s="340" t="str">
        <f t="shared" si="16"/>
        <v>V5 ACC 52% PNL -5365</v>
      </c>
      <c r="AP12" s="340" t="str">
        <f t="shared" si="16"/>
        <v>V6 ACC 59% PNL 12964</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858300.99064841692</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28" t="s">
        <v>287</v>
      </c>
      <c r="B14" s="329" t="s">
        <v>558</v>
      </c>
      <c r="C14" s="330" t="s">
        <v>1285</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H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28" t="s">
        <v>307</v>
      </c>
      <c r="B22" s="329" t="s">
        <v>484</v>
      </c>
      <c r="C22" s="330" t="s">
        <v>1285</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28" t="s">
        <v>320</v>
      </c>
      <c r="B29" s="329" t="s">
        <v>564</v>
      </c>
      <c r="C29" s="330" t="s">
        <v>1285</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28" t="s">
        <v>335</v>
      </c>
      <c r="B36" s="329" t="s">
        <v>568</v>
      </c>
      <c r="C36" s="330" t="s">
        <v>1285</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28" t="s">
        <v>341</v>
      </c>
      <c r="B39" s="329" t="s">
        <v>453</v>
      </c>
      <c r="C39" s="330" t="s">
        <v>1285</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5750</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7000</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330" t="s">
        <v>1285</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108867</v>
      </c>
      <c r="Y49" s="137">
        <v>7311</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127260</v>
      </c>
      <c r="Y54" s="137">
        <v>15640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69500</v>
      </c>
      <c r="Y77" s="137">
        <v>12000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H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1750250</v>
      </c>
      <c r="Y83" s="137">
        <v>8244</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28" t="s">
        <v>1054</v>
      </c>
      <c r="B89" s="329" t="s">
        <v>463</v>
      </c>
      <c r="C89" s="330" t="s">
        <v>1285</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0.45070422535211269</v>
      </c>
      <c r="AB94" s="193">
        <f t="shared" si="68"/>
        <v>0.54929577464788737</v>
      </c>
      <c r="AC94" s="193">
        <f t="shared" ref="AC94" si="69">COUNTIF(AC14:AC92,"&gt;0")/$B$10</f>
        <v>0.38028169014084506</v>
      </c>
      <c r="AD94" s="193">
        <f t="shared" si="68"/>
        <v>0.61971830985915488</v>
      </c>
      <c r="AE94" s="193">
        <f t="shared" si="68"/>
        <v>0.57746478873239437</v>
      </c>
      <c r="AF94" s="193">
        <f t="shared" si="68"/>
        <v>0.56338028169014087</v>
      </c>
      <c r="AG94" s="193">
        <f t="shared" si="68"/>
        <v>0.40845070422535212</v>
      </c>
      <c r="AH94" s="193">
        <f t="shared" si="68"/>
        <v>0.54929577464788737</v>
      </c>
      <c r="AI94" s="193">
        <f t="shared" ref="AI94" si="70">COUNTIF(AI14:AI92,"&gt;0")/$B$10</f>
        <v>0.45070422535211269</v>
      </c>
      <c r="AJ94" s="193">
        <f t="shared" si="68"/>
        <v>0.53521126760563376</v>
      </c>
      <c r="AK94" s="193">
        <f t="shared" si="68"/>
        <v>0.39436619718309857</v>
      </c>
      <c r="AL94" s="193">
        <f t="shared" si="68"/>
        <v>0.676056338028169</v>
      </c>
      <c r="AM94" s="193">
        <f t="shared" si="68"/>
        <v>0.54929577464788737</v>
      </c>
      <c r="AN94" s="193">
        <f t="shared" si="68"/>
        <v>0.59154929577464788</v>
      </c>
      <c r="AO94" s="193">
        <f t="shared" si="68"/>
        <v>0.52112676056338025</v>
      </c>
      <c r="AP94" s="193">
        <f t="shared" si="68"/>
        <v>0.59154929577464788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1294</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1" t="str">
        <f t="shared" ref="Z1:AP1" si="1">Z12</f>
        <v>MAX ACC 99% PNL 65038</v>
      </c>
      <c r="AA1" s="332" t="str">
        <f t="shared" si="1"/>
        <v>RISK-ON ACC 59% PNL 21252</v>
      </c>
      <c r="AB1" s="332" t="str">
        <f t="shared" si="1"/>
        <v>RISK-OFF ACC 39% PNL -21252</v>
      </c>
      <c r="AC1" s="332" t="str">
        <f t="shared" ref="AC1" si="2">AC12</f>
        <v>Previous ACC 51% PNL 580</v>
      </c>
      <c r="AD1" s="295" t="str">
        <f t="shared" si="1"/>
        <v>Anti-Previous ACC 48% PNL -580</v>
      </c>
      <c r="AE1" s="333" t="str">
        <f t="shared" si="1"/>
        <v>&gt;equity ACC 48% PNL 2873</v>
      </c>
      <c r="AF1" s="333" t="str">
        <f t="shared" si="1"/>
        <v>50/50 ACC 52% PNL 19312</v>
      </c>
      <c r="AG1" s="333" t="str">
        <f t="shared" si="1"/>
        <v>&lt;equity ACC 66% PNL 38204</v>
      </c>
      <c r="AH1" s="334" t="str">
        <f t="shared" si="1"/>
        <v>SEASONALITY ACC 44% PNL -7708</v>
      </c>
      <c r="AI1" s="334" t="str">
        <f t="shared" si="1"/>
        <v>ANTI-SEASONALITY ACC 55% PNL 7708</v>
      </c>
      <c r="AJ1" s="334" t="str">
        <f t="shared" si="1"/>
        <v>ADJ_SEASONALITY ACC 63% PNL 23270</v>
      </c>
      <c r="AK1" s="335" t="str">
        <f t="shared" si="1"/>
        <v>V1 ACC 62% PNL 29444</v>
      </c>
      <c r="AL1" s="335" t="str">
        <f t="shared" si="1"/>
        <v>V2 ACC 58% PNL 16765</v>
      </c>
      <c r="AM1" s="335" t="str">
        <f t="shared" si="1"/>
        <v>V3 ACC 56% PNL 12353</v>
      </c>
      <c r="AN1" s="335" t="str">
        <f t="shared" si="1"/>
        <v>V4 ACC 61% PNL 23482</v>
      </c>
      <c r="AO1" s="335" t="str">
        <f t="shared" si="1"/>
        <v>V5 ACC 37% PNL -28983</v>
      </c>
      <c r="AP1" s="335" t="str">
        <f t="shared" si="1"/>
        <v>V6 ACC 54% PNL 10504</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2">
        <f t="shared" ref="K2:K9" si="7">SUMIF($C$14:$C$92,$A2,E$14:E$92)/$B2</f>
        <v>-0.55555555555555558</v>
      </c>
      <c r="L2" s="342">
        <f t="shared" ref="L2:O9" si="8">SUMIF($C$14:$C$92,$A2,I$14:I$92)/$B2</f>
        <v>-0.1111111111111111</v>
      </c>
      <c r="M2" s="342">
        <f t="shared" si="8"/>
        <v>0.1111111111111111</v>
      </c>
      <c r="N2" s="342">
        <f t="shared" si="8"/>
        <v>-0.33333333333333331</v>
      </c>
      <c r="O2" s="342">
        <f t="shared" si="8"/>
        <v>-0.1111111111111111</v>
      </c>
      <c r="P2" s="342">
        <f t="shared" ref="P2:V9" si="9">SUMIF($C$14:$C$92,$A2,O$14:O$92)/$B2</f>
        <v>-0.1111111111111111</v>
      </c>
      <c r="Q2" s="342">
        <f t="shared" si="9"/>
        <v>-0.33333333333333331</v>
      </c>
      <c r="R2" s="342">
        <f t="shared" si="9"/>
        <v>0.33333333333333331</v>
      </c>
      <c r="S2" s="342">
        <f t="shared" si="9"/>
        <v>0.1111111111111111</v>
      </c>
      <c r="T2" s="342">
        <f t="shared" si="9"/>
        <v>-0.1111111111111111</v>
      </c>
      <c r="U2" s="342">
        <f t="shared" si="9"/>
        <v>-0.1111111111111111</v>
      </c>
      <c r="V2" s="342">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8.4507042253521125E-2</v>
      </c>
      <c r="F3" s="294">
        <f t="shared" si="3"/>
        <v>0.66666666666666663</v>
      </c>
      <c r="G3" s="137">
        <f t="shared" si="4"/>
        <v>5656.5918403476007</v>
      </c>
      <c r="H3" s="143">
        <f t="shared" si="5"/>
        <v>942.76530672460012</v>
      </c>
      <c r="I3" s="186">
        <f t="shared" ref="I3:I9" si="13">SUMIF($C$14:$C$92,A3,F$14:F$92)/B3</f>
        <v>102.48639325399434</v>
      </c>
      <c r="J3" t="str">
        <f t="shared" si="6"/>
        <v>energy</v>
      </c>
      <c r="K3" s="342">
        <f t="shared" si="7"/>
        <v>-0.33333333333333331</v>
      </c>
      <c r="L3" s="342">
        <f t="shared" si="8"/>
        <v>-0.66666666666666663</v>
      </c>
      <c r="M3" s="342">
        <f t="shared" si="8"/>
        <v>0.33333333333333331</v>
      </c>
      <c r="N3" s="342">
        <f t="shared" si="8"/>
        <v>-0.66666666666666663</v>
      </c>
      <c r="O3" s="342">
        <f t="shared" si="8"/>
        <v>-0.33333333333333331</v>
      </c>
      <c r="P3" s="342">
        <f t="shared" si="9"/>
        <v>-0.66666666666666663</v>
      </c>
      <c r="Q3" s="342">
        <f t="shared" si="9"/>
        <v>-0.66666666666666663</v>
      </c>
      <c r="R3" s="342">
        <f t="shared" si="9"/>
        <v>0</v>
      </c>
      <c r="S3" s="342">
        <f t="shared" si="9"/>
        <v>0.33333333333333331</v>
      </c>
      <c r="T3" s="342">
        <f t="shared" si="9"/>
        <v>0</v>
      </c>
      <c r="U3" s="342">
        <f t="shared" si="9"/>
        <v>0.66666666666666663</v>
      </c>
      <c r="V3" s="342">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0.14084507042253522</v>
      </c>
      <c r="F4" s="294">
        <f t="shared" si="3"/>
        <v>0.3</v>
      </c>
      <c r="G4" s="137">
        <f t="shared" si="4"/>
        <v>6799.4450184807465</v>
      </c>
      <c r="H4" s="143">
        <f t="shared" si="5"/>
        <v>679.94450184807465</v>
      </c>
      <c r="I4" s="186">
        <f t="shared" si="13"/>
        <v>-598.0278041800168</v>
      </c>
      <c r="J4" t="str">
        <f t="shared" si="6"/>
        <v>grain</v>
      </c>
      <c r="K4" s="342">
        <f t="shared" si="7"/>
        <v>-0.8</v>
      </c>
      <c r="L4" s="342">
        <f t="shared" si="8"/>
        <v>-0.6</v>
      </c>
      <c r="M4" s="342">
        <f t="shared" si="8"/>
        <v>-0.2</v>
      </c>
      <c r="N4" s="342">
        <f t="shared" si="8"/>
        <v>-0.4</v>
      </c>
      <c r="O4" s="342">
        <f t="shared" si="8"/>
        <v>-0.4</v>
      </c>
      <c r="P4" s="342">
        <f t="shared" si="9"/>
        <v>-0.6</v>
      </c>
      <c r="Q4" s="342">
        <f t="shared" si="9"/>
        <v>-0.6</v>
      </c>
      <c r="R4" s="342">
        <f t="shared" si="9"/>
        <v>-0.2</v>
      </c>
      <c r="S4" s="342">
        <f t="shared" si="9"/>
        <v>0.4</v>
      </c>
      <c r="T4" s="342">
        <f t="shared" si="9"/>
        <v>-0.2</v>
      </c>
      <c r="U4" s="342">
        <f t="shared" si="9"/>
        <v>0.2</v>
      </c>
      <c r="V4" s="342">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0.29577464788732394</v>
      </c>
      <c r="F5" s="294">
        <f t="shared" si="3"/>
        <v>0.90476190476190477</v>
      </c>
      <c r="G5" s="137">
        <f t="shared" si="4"/>
        <v>23933.347616004128</v>
      </c>
      <c r="H5" s="143">
        <f t="shared" si="5"/>
        <v>1139.6832198097204</v>
      </c>
      <c r="I5" s="186">
        <f t="shared" si="13"/>
        <v>1055.2919782638701</v>
      </c>
      <c r="J5" t="str">
        <f t="shared" si="6"/>
        <v>index</v>
      </c>
      <c r="K5" s="342">
        <f t="shared" si="7"/>
        <v>-0.61904761904761907</v>
      </c>
      <c r="L5" s="342">
        <f t="shared" si="8"/>
        <v>0.42857142857142855</v>
      </c>
      <c r="M5" s="342">
        <f t="shared" si="8"/>
        <v>-0.23809523809523808</v>
      </c>
      <c r="N5" s="342">
        <f t="shared" si="8"/>
        <v>0.80952380952380953</v>
      </c>
      <c r="O5" s="342">
        <f t="shared" si="8"/>
        <v>-0.52380952380952384</v>
      </c>
      <c r="P5" s="342">
        <f t="shared" si="9"/>
        <v>0.33333333333333331</v>
      </c>
      <c r="Q5" s="342">
        <f t="shared" si="9"/>
        <v>0.42857142857142855</v>
      </c>
      <c r="R5" s="342">
        <f t="shared" si="9"/>
        <v>0.42857142857142855</v>
      </c>
      <c r="S5" s="342">
        <f t="shared" si="9"/>
        <v>0.7142857142857143</v>
      </c>
      <c r="T5" s="342">
        <f t="shared" si="9"/>
        <v>0.61904761904761907</v>
      </c>
      <c r="U5" s="342">
        <f t="shared" si="9"/>
        <v>-0.61904761904761907</v>
      </c>
      <c r="V5" s="342">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4.2253521126760563E-2</v>
      </c>
      <c r="F6" s="294">
        <f t="shared" si="3"/>
        <v>0</v>
      </c>
      <c r="G6" s="137">
        <f t="shared" si="4"/>
        <v>3505.5286351056802</v>
      </c>
      <c r="H6" s="143">
        <f t="shared" si="5"/>
        <v>1168.5095450352267</v>
      </c>
      <c r="I6" s="186">
        <f t="shared" si="13"/>
        <v>-1168.5095450352267</v>
      </c>
      <c r="J6" t="str">
        <f t="shared" si="6"/>
        <v>meat</v>
      </c>
      <c r="K6" s="342">
        <f t="shared" si="7"/>
        <v>-1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1</v>
      </c>
      <c r="S6" s="342">
        <f t="shared" si="9"/>
        <v>0.33333333333333331</v>
      </c>
      <c r="T6" s="342">
        <f t="shared" si="9"/>
        <v>0.33333333333333331</v>
      </c>
      <c r="U6" s="342">
        <f t="shared" si="9"/>
        <v>-0.33333333333333331</v>
      </c>
      <c r="V6" s="342">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7.0422535211267609E-2</v>
      </c>
      <c r="F7" s="294">
        <f t="shared" si="3"/>
        <v>0.2</v>
      </c>
      <c r="G7" s="137">
        <f t="shared" si="4"/>
        <v>8508.4919879492336</v>
      </c>
      <c r="H7" s="143">
        <f t="shared" si="5"/>
        <v>1701.6983975898468</v>
      </c>
      <c r="I7" s="186">
        <f t="shared" si="13"/>
        <v>-64.304125805686766</v>
      </c>
      <c r="J7" t="str">
        <f t="shared" si="6"/>
        <v>metal</v>
      </c>
      <c r="K7" s="342">
        <f t="shared" si="7"/>
        <v>0.2</v>
      </c>
      <c r="L7" s="342">
        <f t="shared" si="8"/>
        <v>0.2</v>
      </c>
      <c r="M7" s="342">
        <f t="shared" si="8"/>
        <v>-1</v>
      </c>
      <c r="N7" s="342">
        <f t="shared" si="8"/>
        <v>0.2</v>
      </c>
      <c r="O7" s="342">
        <f t="shared" si="8"/>
        <v>0.2</v>
      </c>
      <c r="P7" s="342">
        <f t="shared" si="9"/>
        <v>0.6</v>
      </c>
      <c r="Q7" s="342">
        <f t="shared" si="9"/>
        <v>0.6</v>
      </c>
      <c r="R7" s="342">
        <f t="shared" si="9"/>
        <v>-0.6</v>
      </c>
      <c r="S7" s="342">
        <f t="shared" si="9"/>
        <v>-0.6</v>
      </c>
      <c r="T7" s="342">
        <f t="shared" si="9"/>
        <v>-0.6</v>
      </c>
      <c r="U7" s="342">
        <f t="shared" si="9"/>
        <v>-0.2</v>
      </c>
      <c r="V7" s="342">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0.14084507042253522</v>
      </c>
      <c r="F8" s="294">
        <f t="shared" si="3"/>
        <v>0.3</v>
      </c>
      <c r="G8" s="137">
        <f t="shared" si="4"/>
        <v>6178.3298465690068</v>
      </c>
      <c r="H8" s="143">
        <f t="shared" si="5"/>
        <v>617.83298465690063</v>
      </c>
      <c r="I8" s="186">
        <f t="shared" si="13"/>
        <v>-369.44582065450618</v>
      </c>
      <c r="J8" t="str">
        <f t="shared" si="6"/>
        <v>rates</v>
      </c>
      <c r="K8" s="342">
        <f t="shared" si="7"/>
        <v>0.8</v>
      </c>
      <c r="L8" s="342">
        <f t="shared" si="8"/>
        <v>0.2</v>
      </c>
      <c r="M8" s="342">
        <f t="shared" si="8"/>
        <v>0.2</v>
      </c>
      <c r="N8" s="342">
        <f t="shared" si="8"/>
        <v>-0.6</v>
      </c>
      <c r="O8" s="342">
        <f t="shared" si="8"/>
        <v>1</v>
      </c>
      <c r="P8" s="342">
        <f t="shared" si="9"/>
        <v>-0.4</v>
      </c>
      <c r="Q8" s="342">
        <f t="shared" si="9"/>
        <v>-0.6</v>
      </c>
      <c r="R8" s="342">
        <f t="shared" si="9"/>
        <v>-0.6</v>
      </c>
      <c r="S8" s="342">
        <f t="shared" si="9"/>
        <v>-1</v>
      </c>
      <c r="T8" s="342">
        <f t="shared" si="9"/>
        <v>-0.8</v>
      </c>
      <c r="U8" s="342">
        <f t="shared" si="9"/>
        <v>0.6</v>
      </c>
      <c r="V8" s="342">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7</v>
      </c>
      <c r="C9" s="200">
        <f t="shared" si="12"/>
        <v>9.8591549295774641E-2</v>
      </c>
      <c r="D9" s="126"/>
      <c r="F9" s="294">
        <f t="shared" si="3"/>
        <v>0.2857142857142857</v>
      </c>
      <c r="G9" s="199">
        <f t="shared" si="4"/>
        <v>3874.3719854125684</v>
      </c>
      <c r="H9" s="143">
        <f t="shared" si="5"/>
        <v>553.48171220179552</v>
      </c>
      <c r="I9" s="186">
        <f t="shared" si="13"/>
        <v>-376.59084283069905</v>
      </c>
      <c r="J9" t="str">
        <f t="shared" si="6"/>
        <v>soft</v>
      </c>
      <c r="K9" s="342">
        <f t="shared" si="7"/>
        <v>-0.7142857142857143</v>
      </c>
      <c r="L9" s="342">
        <f t="shared" si="8"/>
        <v>0.14285714285714285</v>
      </c>
      <c r="M9" s="342">
        <f t="shared" si="8"/>
        <v>0.14285714285714285</v>
      </c>
      <c r="N9" s="342">
        <f t="shared" si="8"/>
        <v>-0.14285714285714285</v>
      </c>
      <c r="O9" s="342">
        <f t="shared" si="8"/>
        <v>-0.42857142857142855</v>
      </c>
      <c r="P9" s="342">
        <f t="shared" si="9"/>
        <v>0.14285714285714285</v>
      </c>
      <c r="Q9" s="342">
        <f t="shared" si="9"/>
        <v>-0.42857142857142855</v>
      </c>
      <c r="R9" s="342">
        <f t="shared" si="9"/>
        <v>0.14285714285714285</v>
      </c>
      <c r="S9" s="342">
        <f t="shared" si="9"/>
        <v>0.7142857142857143</v>
      </c>
      <c r="T9" s="342">
        <f t="shared" si="9"/>
        <v>0.14285714285714285</v>
      </c>
      <c r="U9" s="342">
        <f t="shared" si="9"/>
        <v>-0.42857142857142855</v>
      </c>
      <c r="V9" s="342">
        <f t="shared" si="9"/>
        <v>0.42857142857142855</v>
      </c>
      <c r="W9" s="286"/>
      <c r="X9" s="6"/>
      <c r="Y9" s="17" t="s">
        <v>304</v>
      </c>
      <c r="Z9" s="283">
        <f t="shared" si="10"/>
        <v>3874.3719854125684</v>
      </c>
      <c r="AA9" s="283">
        <f t="shared" si="10"/>
        <v>-2636.1358998148935</v>
      </c>
      <c r="AB9" s="283">
        <f t="shared" si="10"/>
        <v>2636.1358998148935</v>
      </c>
      <c r="AC9" s="283">
        <f t="shared" si="10"/>
        <v>2152.3711939327386</v>
      </c>
      <c r="AD9" s="283">
        <f t="shared" si="10"/>
        <v>-2152.3711939327386</v>
      </c>
      <c r="AE9" s="283">
        <f t="shared" si="10"/>
        <v>-74.638694089188107</v>
      </c>
      <c r="AF9" s="283">
        <f t="shared" si="10"/>
        <v>39.888782238896567</v>
      </c>
      <c r="AG9" s="283">
        <f t="shared" si="10"/>
        <v>2285.5992558871803</v>
      </c>
      <c r="AH9" s="283">
        <f t="shared" si="10"/>
        <v>563.81834954520821</v>
      </c>
      <c r="AI9" s="283">
        <f t="shared" si="10"/>
        <v>-563.81834954520821</v>
      </c>
      <c r="AJ9" s="283">
        <f t="shared" si="10"/>
        <v>-74.638694089188107</v>
      </c>
      <c r="AK9" s="283">
        <f t="shared" si="10"/>
        <v>1609.2174749243002</v>
      </c>
      <c r="AL9" s="283">
        <f t="shared" si="10"/>
        <v>-74.638694089188107</v>
      </c>
      <c r="AM9" s="283">
        <f t="shared" si="10"/>
        <v>112.56343141767161</v>
      </c>
      <c r="AN9" s="283">
        <f t="shared" si="10"/>
        <v>-74.638694089188107</v>
      </c>
      <c r="AO9" s="283">
        <f t="shared" si="10"/>
        <v>-601.74308687369171</v>
      </c>
      <c r="AP9" s="283">
        <f t="shared" si="10"/>
        <v>-563.81834954520821</v>
      </c>
    </row>
    <row r="10" spans="1:42" outlineLevel="1" x14ac:dyDescent="0.25">
      <c r="B10">
        <f>SUM(B2:B9)</f>
        <v>71</v>
      </c>
      <c r="C10" s="193">
        <f t="shared" si="12"/>
        <v>1</v>
      </c>
      <c r="D10" s="126"/>
      <c r="F10" s="294">
        <f>SUMIFS(H$14:H$92,H$14:H$92,1,$C$14:$C$92,"&lt;&gt;offline")/$B10</f>
        <v>0.47887323943661969</v>
      </c>
      <c r="G10" s="167">
        <f>SUM(G2:G9)</f>
        <v>65038.34062529177</v>
      </c>
      <c r="H10" s="143">
        <f t="shared" si="5"/>
        <v>916.03296655340523</v>
      </c>
      <c r="I10">
        <f>SUM(F14:F92)/B10</f>
        <v>48.141215379755401</v>
      </c>
      <c r="J10" s="137"/>
      <c r="K10" s="6"/>
      <c r="L10" s="292"/>
      <c r="M10" s="286"/>
      <c r="N10" s="292"/>
      <c r="O10" s="6"/>
      <c r="R10" s="6"/>
      <c r="S10" s="286"/>
      <c r="T10" s="286"/>
      <c r="U10" s="286"/>
      <c r="V10" s="6"/>
      <c r="W10" s="286"/>
      <c r="X10" s="6"/>
      <c r="Y10" s="6" t="s">
        <v>1245</v>
      </c>
      <c r="Z10" s="284">
        <f>SUM(Z2:Z9)</f>
        <v>65038.34062529177</v>
      </c>
      <c r="AA10" s="284">
        <f t="shared" ref="AA10:AP10" si="14">SUM(AA2:AA9)</f>
        <v>21252.4028414731</v>
      </c>
      <c r="AB10" s="284">
        <f t="shared" si="14"/>
        <v>-21252.4028414731</v>
      </c>
      <c r="AC10" s="284">
        <f t="shared" si="14"/>
        <v>580.3431790625873</v>
      </c>
      <c r="AD10" s="284">
        <f t="shared" si="14"/>
        <v>-580.3431790625873</v>
      </c>
      <c r="AE10" s="284">
        <f t="shared" si="14"/>
        <v>2873.4263208520219</v>
      </c>
      <c r="AF10" s="284">
        <f t="shared" si="14"/>
        <v>19312.255349551993</v>
      </c>
      <c r="AG10" s="284">
        <f t="shared" si="14"/>
        <v>38203.564662651792</v>
      </c>
      <c r="AH10" s="284">
        <f t="shared" si="14"/>
        <v>-7707.8502677983342</v>
      </c>
      <c r="AI10" s="284">
        <f t="shared" ref="AI10" si="15">SUM(AI2:AI9)</f>
        <v>7707.8502677983342</v>
      </c>
      <c r="AJ10" s="284">
        <f t="shared" si="14"/>
        <v>23269.522650820421</v>
      </c>
      <c r="AK10" s="284">
        <f t="shared" si="14"/>
        <v>29443.574073213749</v>
      </c>
      <c r="AL10" s="284">
        <f t="shared" si="14"/>
        <v>16764.591742857003</v>
      </c>
      <c r="AM10" s="284">
        <f t="shared" si="14"/>
        <v>12353.038951081558</v>
      </c>
      <c r="AN10" s="284">
        <f t="shared" si="14"/>
        <v>23482.102650816181</v>
      </c>
      <c r="AO10" s="284">
        <f t="shared" si="14"/>
        <v>-28983.447819169916</v>
      </c>
      <c r="AP10" s="284">
        <f t="shared" si="14"/>
        <v>10503.636678201417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99% PNL 65038</v>
      </c>
      <c r="AA12" s="308" t="str">
        <f t="shared" si="16"/>
        <v>RISK-ON ACC 59% PNL 21252</v>
      </c>
      <c r="AB12" s="308" t="str">
        <f t="shared" si="16"/>
        <v>RISK-OFF ACC 39% PNL -21252</v>
      </c>
      <c r="AC12" s="308" t="str">
        <f t="shared" si="16"/>
        <v>Previous ACC 51% PNL 580</v>
      </c>
      <c r="AD12" s="337" t="str">
        <f t="shared" si="16"/>
        <v>Anti-Previous ACC 48% PNL -580</v>
      </c>
      <c r="AE12" s="338" t="str">
        <f t="shared" si="16"/>
        <v>&gt;equity ACC 48% PNL 2873</v>
      </c>
      <c r="AF12" s="338" t="str">
        <f t="shared" si="16"/>
        <v>50/50 ACC 52% PNL 19312</v>
      </c>
      <c r="AG12" s="338" t="str">
        <f t="shared" si="16"/>
        <v>&lt;equity ACC 66% PNL 38204</v>
      </c>
      <c r="AH12" s="339" t="str">
        <f t="shared" si="16"/>
        <v>SEASONALITY ACC 44% PNL -7708</v>
      </c>
      <c r="AI12" s="339" t="str">
        <f t="shared" si="16"/>
        <v>ANTI-SEASONALITY ACC 55% PNL 7708</v>
      </c>
      <c r="AJ12" s="339" t="str">
        <f t="shared" si="16"/>
        <v>ADJ_SEASONALITY ACC 63% PNL 23270</v>
      </c>
      <c r="AK12" s="340" t="str">
        <f t="shared" si="16"/>
        <v>V1 ACC 62% PNL 29444</v>
      </c>
      <c r="AL12" s="340" t="str">
        <f t="shared" si="16"/>
        <v>V2 ACC 58% PNL 16765</v>
      </c>
      <c r="AM12" s="340" t="str">
        <f t="shared" si="16"/>
        <v>V3 ACC 56% PNL 12353</v>
      </c>
      <c r="AN12" s="340" t="str">
        <f t="shared" si="16"/>
        <v>V4 ACC 61% PNL 23482</v>
      </c>
      <c r="AO12" s="340" t="str">
        <f t="shared" si="16"/>
        <v>V5 ACC 37% PNL -28983</v>
      </c>
      <c r="AP12" s="340" t="str">
        <f t="shared" si="16"/>
        <v>V6 ACC 54% PNL 10504</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858300.99064841692</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28" t="s">
        <v>287</v>
      </c>
      <c r="B14" s="329" t="s">
        <v>558</v>
      </c>
      <c r="C14" s="330" t="s">
        <v>1285</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H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28" t="s">
        <v>307</v>
      </c>
      <c r="B22" s="329" t="s">
        <v>484</v>
      </c>
      <c r="C22" s="330" t="s">
        <v>1285</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28" t="s">
        <v>320</v>
      </c>
      <c r="B29" s="329" t="s">
        <v>564</v>
      </c>
      <c r="C29" s="330" t="s">
        <v>1285</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28" t="s">
        <v>335</v>
      </c>
      <c r="B36" s="329" t="s">
        <v>568</v>
      </c>
      <c r="C36" s="330" t="s">
        <v>1285</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28" t="s">
        <v>341</v>
      </c>
      <c r="B39" s="329" t="s">
        <v>453</v>
      </c>
      <c r="C39" s="330" t="s">
        <v>1285</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5750</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7000</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330" t="s">
        <v>1285</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108867</v>
      </c>
      <c r="Y49" s="137">
        <v>7311</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127260</v>
      </c>
      <c r="Y54" s="137">
        <v>15640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69500</v>
      </c>
      <c r="Y77" s="137">
        <v>12000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H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1750250</v>
      </c>
      <c r="Y83" s="137">
        <v>8244</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28" t="s">
        <v>1054</v>
      </c>
      <c r="B89" s="329" t="s">
        <v>463</v>
      </c>
      <c r="C89" s="330" t="s">
        <v>1285</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P94" si="68">COUNTIF(AA14:AA92,"&gt;0")/$B$10</f>
        <v>0.59154929577464788</v>
      </c>
      <c r="AB94" s="193">
        <f t="shared" si="68"/>
        <v>0.39436619718309857</v>
      </c>
      <c r="AC94" s="193">
        <f t="shared" ref="AC94" si="69">COUNTIF(AC14:AC92,"&gt;0")/$B$10</f>
        <v>0.50704225352112675</v>
      </c>
      <c r="AD94" s="193">
        <f t="shared" si="68"/>
        <v>0.47887323943661969</v>
      </c>
      <c r="AE94" s="193">
        <f t="shared" si="68"/>
        <v>0.47887323943661969</v>
      </c>
      <c r="AF94" s="193">
        <f t="shared" si="68"/>
        <v>0.52112676056338025</v>
      </c>
      <c r="AG94" s="193">
        <f t="shared" si="68"/>
        <v>0.6619718309859155</v>
      </c>
      <c r="AH94" s="193">
        <f t="shared" si="68"/>
        <v>0.43661971830985913</v>
      </c>
      <c r="AI94" s="193">
        <f t="shared" ref="AI94" si="70">COUNTIF(AI14:AI92,"&gt;0")/$B$10</f>
        <v>0.54929577464788737</v>
      </c>
      <c r="AJ94" s="193">
        <f t="shared" si="68"/>
        <v>0.63380281690140849</v>
      </c>
      <c r="AK94" s="193">
        <f t="shared" si="68"/>
        <v>0.61971830985915488</v>
      </c>
      <c r="AL94" s="193">
        <f t="shared" si="68"/>
        <v>0.57746478873239437</v>
      </c>
      <c r="AM94" s="193">
        <f t="shared" si="68"/>
        <v>0.56338028169014087</v>
      </c>
      <c r="AN94" s="193">
        <f t="shared" si="68"/>
        <v>0.60563380281690138</v>
      </c>
      <c r="AO94" s="193">
        <f t="shared" si="68"/>
        <v>0.36619718309859156</v>
      </c>
      <c r="AP94" s="193">
        <f t="shared" si="68"/>
        <v>0.53521126760563376</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1294</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1" t="str">
        <f t="shared" ref="Z1:AP1" si="1">Z12</f>
        <v>MAX ACC 100% PNL 68438</v>
      </c>
      <c r="AA1" s="332" t="str">
        <f t="shared" si="1"/>
        <v>RISK-ON ACC 18% PNL -51983</v>
      </c>
      <c r="AB1" s="332" t="str">
        <f t="shared" si="1"/>
        <v>RISK-OFF ACC 82% PNL 51983</v>
      </c>
      <c r="AC1" s="332" t="str">
        <f t="shared" ref="AC1" si="2">AC12</f>
        <v>Previous ACC 41% PNL -28716</v>
      </c>
      <c r="AD1" s="295" t="str">
        <f t="shared" si="1"/>
        <v>Anti-Previous ACC 59% PNL 28716</v>
      </c>
      <c r="AE1" s="333" t="str">
        <f t="shared" si="1"/>
        <v>&gt;equity ACC 58% PNL 145</v>
      </c>
      <c r="AF1" s="333" t="str">
        <f t="shared" si="1"/>
        <v>50/50 ACC 49% PNL -13924</v>
      </c>
      <c r="AG1" s="333" t="str">
        <f t="shared" si="1"/>
        <v>&lt;equity ACC 38% PNL -10367</v>
      </c>
      <c r="AH1" s="334" t="str">
        <f t="shared" si="1"/>
        <v>SEASONALITY ACC 68% PNL 27710</v>
      </c>
      <c r="AI1" s="334" t="str">
        <f t="shared" si="1"/>
        <v>ANTI-SEASONALITY ACC 32% PNL -27710</v>
      </c>
      <c r="AJ1" s="334" t="str">
        <f t="shared" si="1"/>
        <v>ADJ_SEASONALITY ACC 41% PNL -8185</v>
      </c>
      <c r="AK1" s="335" t="str">
        <f t="shared" si="1"/>
        <v>V1 ACC 34% PNL -34106</v>
      </c>
      <c r="AL1" s="335" t="str">
        <f t="shared" si="1"/>
        <v>V2 ACC 51% PNL 10796</v>
      </c>
      <c r="AM1" s="335" t="str">
        <f t="shared" si="1"/>
        <v>V3 ACC 45% PNL -7602</v>
      </c>
      <c r="AN1" s="335" t="str">
        <f t="shared" si="1"/>
        <v>V4 ACC 41% PNL -17678</v>
      </c>
      <c r="AO1" s="335" t="str">
        <f t="shared" si="1"/>
        <v>V5 ACC 63% PNL 6190</v>
      </c>
      <c r="AP1" s="335" t="str">
        <f t="shared" si="1"/>
        <v>V6 ACC 48% PNL -3263</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2">
        <f t="shared" ref="K2:K9" si="7">SUMIF($C$14:$C$92,$A2,E$14:E$92)/$B2</f>
        <v>0.1111111111111111</v>
      </c>
      <c r="L2" s="342">
        <f t="shared" ref="L2:O9" si="8">SUMIF($C$14:$C$92,$A2,I$14:I$92)/$B2</f>
        <v>0.33333333333333331</v>
      </c>
      <c r="M2" s="342">
        <f t="shared" si="8"/>
        <v>0.1111111111111111</v>
      </c>
      <c r="N2" s="342">
        <f t="shared" si="8"/>
        <v>-0.1111111111111111</v>
      </c>
      <c r="O2" s="342">
        <f t="shared" si="8"/>
        <v>0.1111111111111111</v>
      </c>
      <c r="P2" s="342">
        <f t="shared" ref="P2:V9" si="9">SUMIF($C$14:$C$92,$A2,O$14:O$92)/$B2</f>
        <v>-0.33333333333333331</v>
      </c>
      <c r="Q2" s="342">
        <f t="shared" si="9"/>
        <v>-0.1111111111111111</v>
      </c>
      <c r="R2" s="342">
        <f t="shared" si="9"/>
        <v>-0.1111111111111111</v>
      </c>
      <c r="S2" s="342">
        <f t="shared" si="9"/>
        <v>0.33333333333333331</v>
      </c>
      <c r="T2" s="342">
        <f t="shared" si="9"/>
        <v>0.33333333333333331</v>
      </c>
      <c r="U2" s="342">
        <f t="shared" si="9"/>
        <v>0.33333333333333331</v>
      </c>
      <c r="V2" s="342">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8.4507042253521125E-2</v>
      </c>
      <c r="F3" s="294">
        <f t="shared" si="3"/>
        <v>0.33333333333333331</v>
      </c>
      <c r="G3" s="137">
        <f t="shared" si="4"/>
        <v>3698.5500019498945</v>
      </c>
      <c r="H3" s="143">
        <f t="shared" si="5"/>
        <v>616.42500032498242</v>
      </c>
      <c r="I3" s="186">
        <f t="shared" ref="I3:I9" si="13">SUMIF($C$14:$C$92,A3,F$14:F$92)/B3</f>
        <v>-24.143704302459543</v>
      </c>
      <c r="J3" t="str">
        <f t="shared" si="6"/>
        <v>energy</v>
      </c>
      <c r="K3" s="342">
        <f t="shared" si="7"/>
        <v>-1</v>
      </c>
      <c r="L3" s="342">
        <f t="shared" si="8"/>
        <v>-0.66666666666666663</v>
      </c>
      <c r="M3" s="342">
        <f t="shared" si="8"/>
        <v>-0.33333333333333331</v>
      </c>
      <c r="N3" s="342">
        <f t="shared" si="8"/>
        <v>-0.66666666666666663</v>
      </c>
      <c r="O3" s="342">
        <f t="shared" si="8"/>
        <v>-0.33333333333333331</v>
      </c>
      <c r="P3" s="342">
        <f t="shared" si="9"/>
        <v>-0.33333333333333331</v>
      </c>
      <c r="Q3" s="342">
        <f t="shared" si="9"/>
        <v>-0.66666666666666663</v>
      </c>
      <c r="R3" s="342">
        <f t="shared" si="9"/>
        <v>0.33333333333333331</v>
      </c>
      <c r="S3" s="342">
        <f t="shared" si="9"/>
        <v>0.33333333333333331</v>
      </c>
      <c r="T3" s="342">
        <f t="shared" si="9"/>
        <v>-0.33333333333333331</v>
      </c>
      <c r="U3" s="342">
        <f t="shared" si="9"/>
        <v>0</v>
      </c>
      <c r="V3" s="342">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0.14084507042253522</v>
      </c>
      <c r="F4" s="294">
        <f t="shared" si="3"/>
        <v>0.1</v>
      </c>
      <c r="G4" s="137">
        <f t="shared" si="4"/>
        <v>17759.051106093222</v>
      </c>
      <c r="H4" s="143">
        <f t="shared" si="5"/>
        <v>1775.9051106093223</v>
      </c>
      <c r="I4" s="186">
        <f t="shared" si="13"/>
        <v>-1735.8121738063387</v>
      </c>
      <c r="J4" t="str">
        <f t="shared" si="6"/>
        <v>grain</v>
      </c>
      <c r="K4" s="342">
        <f t="shared" si="7"/>
        <v>1</v>
      </c>
      <c r="L4" s="342">
        <f t="shared" si="8"/>
        <v>0.2</v>
      </c>
      <c r="M4" s="342">
        <f t="shared" si="8"/>
        <v>0.4</v>
      </c>
      <c r="N4" s="342">
        <f t="shared" si="8"/>
        <v>0</v>
      </c>
      <c r="O4" s="342">
        <f t="shared" si="8"/>
        <v>-0.6</v>
      </c>
      <c r="P4" s="342">
        <f t="shared" si="9"/>
        <v>0</v>
      </c>
      <c r="Q4" s="342">
        <f t="shared" si="9"/>
        <v>1</v>
      </c>
      <c r="R4" s="342">
        <f t="shared" si="9"/>
        <v>-0.4</v>
      </c>
      <c r="S4" s="342">
        <f t="shared" si="9"/>
        <v>-0.2</v>
      </c>
      <c r="T4" s="342">
        <f t="shared" si="9"/>
        <v>0.2</v>
      </c>
      <c r="U4" s="342">
        <f t="shared" si="9"/>
        <v>0.4</v>
      </c>
      <c r="V4" s="342">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0.29577464788732394</v>
      </c>
      <c r="F5" s="294">
        <f t="shared" si="3"/>
        <v>0.19047619047619047</v>
      </c>
      <c r="G5" s="137">
        <f t="shared" si="4"/>
        <v>11490.992478152306</v>
      </c>
      <c r="H5" s="143">
        <f t="shared" si="5"/>
        <v>547.19011800725264</v>
      </c>
      <c r="I5" s="186">
        <f t="shared" si="13"/>
        <v>-386.53640131099218</v>
      </c>
      <c r="J5" t="str">
        <f t="shared" si="6"/>
        <v>index</v>
      </c>
      <c r="K5" s="342">
        <f t="shared" si="7"/>
        <v>0.52380952380952384</v>
      </c>
      <c r="L5" s="342">
        <f t="shared" si="8"/>
        <v>0.23809523809523808</v>
      </c>
      <c r="M5" s="342">
        <f t="shared" si="8"/>
        <v>-0.52380952380952384</v>
      </c>
      <c r="N5" s="342">
        <f t="shared" si="8"/>
        <v>0.80952380952380953</v>
      </c>
      <c r="O5" s="342">
        <f t="shared" si="8"/>
        <v>-0.52380952380952384</v>
      </c>
      <c r="P5" s="342">
        <f t="shared" si="9"/>
        <v>0.23809523809523808</v>
      </c>
      <c r="Q5" s="342">
        <f t="shared" si="9"/>
        <v>0.7142857142857143</v>
      </c>
      <c r="R5" s="342">
        <f t="shared" si="9"/>
        <v>-0.33333333333333331</v>
      </c>
      <c r="S5" s="342">
        <f t="shared" si="9"/>
        <v>4.7619047619047616E-2</v>
      </c>
      <c r="T5" s="342">
        <f t="shared" si="9"/>
        <v>4.7619047619047616E-2</v>
      </c>
      <c r="U5" s="342">
        <f t="shared" si="9"/>
        <v>-0.23809523809523808</v>
      </c>
      <c r="V5" s="342">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4.2253521126760563E-2</v>
      </c>
      <c r="F6" s="294">
        <f t="shared" si="3"/>
        <v>0</v>
      </c>
      <c r="G6" s="137">
        <f t="shared" si="4"/>
        <v>4320.8562908033136</v>
      </c>
      <c r="H6" s="143">
        <f t="shared" si="5"/>
        <v>1440.2854302677713</v>
      </c>
      <c r="I6" s="186">
        <f t="shared" si="13"/>
        <v>-1440.2854302677713</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7.0422535211267609E-2</v>
      </c>
      <c r="F7" s="294">
        <f t="shared" si="3"/>
        <v>0.6</v>
      </c>
      <c r="G7" s="137">
        <f t="shared" si="4"/>
        <v>4356.9801890237923</v>
      </c>
      <c r="H7" s="143">
        <f t="shared" si="5"/>
        <v>871.39603780475841</v>
      </c>
      <c r="I7" s="186">
        <f t="shared" si="13"/>
        <v>616.18350766874744</v>
      </c>
      <c r="J7" t="str">
        <f t="shared" si="6"/>
        <v>metal</v>
      </c>
      <c r="K7" s="342">
        <f t="shared" si="7"/>
        <v>0.2</v>
      </c>
      <c r="L7" s="342">
        <f t="shared" si="8"/>
        <v>0.6</v>
      </c>
      <c r="M7" s="342">
        <f t="shared" si="8"/>
        <v>1</v>
      </c>
      <c r="N7" s="342">
        <f t="shared" si="8"/>
        <v>0.2</v>
      </c>
      <c r="O7" s="342">
        <f t="shared" si="8"/>
        <v>0.2</v>
      </c>
      <c r="P7" s="342">
        <f t="shared" si="9"/>
        <v>0.6</v>
      </c>
      <c r="Q7" s="342">
        <f t="shared" si="9"/>
        <v>-0.2</v>
      </c>
      <c r="R7" s="342">
        <f t="shared" si="9"/>
        <v>1</v>
      </c>
      <c r="S7" s="342">
        <f t="shared" si="9"/>
        <v>0.6</v>
      </c>
      <c r="T7" s="342">
        <f t="shared" si="9"/>
        <v>0.6</v>
      </c>
      <c r="U7" s="342">
        <f t="shared" si="9"/>
        <v>-0.2</v>
      </c>
      <c r="V7" s="342">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0.14084507042253522</v>
      </c>
      <c r="F8" s="294">
        <f t="shared" si="3"/>
        <v>0.9</v>
      </c>
      <c r="G8" s="137">
        <f t="shared" si="4"/>
        <v>8263.1187917010611</v>
      </c>
      <c r="H8" s="143">
        <f t="shared" si="5"/>
        <v>826.31187917010607</v>
      </c>
      <c r="I8" s="186">
        <f t="shared" si="13"/>
        <v>780.025675113136</v>
      </c>
      <c r="J8" t="str">
        <f t="shared" si="6"/>
        <v>rates</v>
      </c>
      <c r="K8" s="342">
        <f t="shared" si="7"/>
        <v>0.4</v>
      </c>
      <c r="L8" s="342">
        <f t="shared" si="8"/>
        <v>0</v>
      </c>
      <c r="M8" s="342">
        <f t="shared" si="8"/>
        <v>0.4</v>
      </c>
      <c r="N8" s="342">
        <f t="shared" si="8"/>
        <v>-0.6</v>
      </c>
      <c r="O8" s="342">
        <f t="shared" si="8"/>
        <v>1</v>
      </c>
      <c r="P8" s="342">
        <f t="shared" si="9"/>
        <v>-0.8</v>
      </c>
      <c r="Q8" s="342">
        <f t="shared" si="9"/>
        <v>-0.6</v>
      </c>
      <c r="R8" s="342">
        <f t="shared" si="9"/>
        <v>-0.4</v>
      </c>
      <c r="S8" s="342">
        <f t="shared" si="9"/>
        <v>-0.6</v>
      </c>
      <c r="T8" s="342">
        <f t="shared" si="9"/>
        <v>-0.6</v>
      </c>
      <c r="U8" s="342">
        <f t="shared" si="9"/>
        <v>0.8</v>
      </c>
      <c r="V8" s="342">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7</v>
      </c>
      <c r="C9" s="200">
        <f t="shared" si="12"/>
        <v>9.8591549295774641E-2</v>
      </c>
      <c r="D9" s="126"/>
      <c r="F9" s="294">
        <f t="shared" si="3"/>
        <v>0.14285714285714285</v>
      </c>
      <c r="G9" s="199">
        <f t="shared" si="4"/>
        <v>7638.0912808115227</v>
      </c>
      <c r="H9" s="143">
        <f t="shared" si="5"/>
        <v>1091.1558972587889</v>
      </c>
      <c r="I9" s="186">
        <f t="shared" si="13"/>
        <v>-1026.6896051238416</v>
      </c>
      <c r="J9" t="str">
        <f t="shared" si="6"/>
        <v>soft</v>
      </c>
      <c r="K9" s="342">
        <f t="shared" si="7"/>
        <v>0.42857142857142855</v>
      </c>
      <c r="L9" s="342">
        <f t="shared" si="8"/>
        <v>-0.14285714285714285</v>
      </c>
      <c r="M9" s="342">
        <f t="shared" si="8"/>
        <v>-0.42857142857142855</v>
      </c>
      <c r="N9" s="342">
        <f t="shared" si="8"/>
        <v>0.14285714285714285</v>
      </c>
      <c r="O9" s="342">
        <f t="shared" si="8"/>
        <v>-0.14285714285714285</v>
      </c>
      <c r="P9" s="342">
        <f t="shared" si="9"/>
        <v>0.14285714285714285</v>
      </c>
      <c r="Q9" s="342">
        <f t="shared" si="9"/>
        <v>0.14285714285714285</v>
      </c>
      <c r="R9" s="342">
        <f t="shared" si="9"/>
        <v>-0.14285714285714285</v>
      </c>
      <c r="S9" s="342">
        <f t="shared" si="9"/>
        <v>-0.14285714285714285</v>
      </c>
      <c r="T9" s="342">
        <f t="shared" si="9"/>
        <v>-0.14285714285714285</v>
      </c>
      <c r="U9" s="342">
        <f t="shared" si="9"/>
        <v>-0.14285714285714285</v>
      </c>
      <c r="V9" s="342">
        <f t="shared" si="9"/>
        <v>-0.14285714285714285</v>
      </c>
      <c r="W9" s="286"/>
      <c r="X9" s="6"/>
      <c r="Y9" s="17" t="s">
        <v>304</v>
      </c>
      <c r="Z9" s="283">
        <f t="shared" si="10"/>
        <v>7638.0912808115227</v>
      </c>
      <c r="AA9" s="283">
        <f t="shared" si="10"/>
        <v>-7186.827235866891</v>
      </c>
      <c r="AB9" s="283">
        <f t="shared" si="10"/>
        <v>7186.827235866891</v>
      </c>
      <c r="AC9" s="283">
        <f t="shared" si="10"/>
        <v>-4885.8945665909032</v>
      </c>
      <c r="AD9" s="283">
        <f t="shared" si="10"/>
        <v>4885.8945665909032</v>
      </c>
      <c r="AE9" s="283">
        <f t="shared" si="10"/>
        <v>-1598.1353752037608</v>
      </c>
      <c r="AF9" s="283">
        <f t="shared" si="10"/>
        <v>-5863.7258736944368</v>
      </c>
      <c r="AG9" s="283">
        <f t="shared" si="10"/>
        <v>-7291.2346836696688</v>
      </c>
      <c r="AH9" s="283">
        <f t="shared" si="10"/>
        <v>832.83005088990956</v>
      </c>
      <c r="AI9" s="283">
        <f t="shared" si="10"/>
        <v>-832.83005088990956</v>
      </c>
      <c r="AJ9" s="283">
        <f t="shared" si="10"/>
        <v>-3670.9117394053565</v>
      </c>
      <c r="AK9" s="283">
        <f t="shared" si="10"/>
        <v>-4818.7292594148184</v>
      </c>
      <c r="AL9" s="283">
        <f t="shared" si="10"/>
        <v>-1877.8266651695299</v>
      </c>
      <c r="AM9" s="283">
        <f t="shared" si="10"/>
        <v>-1877.8266651695299</v>
      </c>
      <c r="AN9" s="283">
        <f t="shared" si="10"/>
        <v>-1877.8266651695299</v>
      </c>
      <c r="AO9" s="283">
        <f t="shared" si="10"/>
        <v>6143.4171636602059</v>
      </c>
      <c r="AP9" s="283">
        <f t="shared" si="10"/>
        <v>-1877.8266651695299</v>
      </c>
    </row>
    <row r="10" spans="1:42" outlineLevel="1" x14ac:dyDescent="0.25">
      <c r="B10">
        <f>SUM(B2:B9)</f>
        <v>71</v>
      </c>
      <c r="C10" s="193">
        <f t="shared" si="12"/>
        <v>1</v>
      </c>
      <c r="D10" s="126"/>
      <c r="F10" s="294">
        <f>SUMIFS(H$14:H$92,H$14:H$92,1,$C$14:$C$92,"&lt;&gt;offline")/$B10</f>
        <v>0.30985915492957744</v>
      </c>
      <c r="G10" s="167">
        <f>SUM(G2:G9)</f>
        <v>68437.804686479285</v>
      </c>
      <c r="H10" s="143">
        <f t="shared" si="5"/>
        <v>963.91274206308856</v>
      </c>
      <c r="I10">
        <f>SUM(F14:F92)/B10</f>
        <v>-487.88954964932401</v>
      </c>
      <c r="J10" s="137"/>
      <c r="K10" s="6"/>
      <c r="L10" s="292"/>
      <c r="M10" s="286"/>
      <c r="N10" s="292"/>
      <c r="O10" s="6"/>
      <c r="R10" s="6"/>
      <c r="S10" s="286"/>
      <c r="T10" s="286"/>
      <c r="U10" s="286"/>
      <c r="V10" s="6"/>
      <c r="W10" s="286"/>
      <c r="X10" s="6"/>
      <c r="Y10" s="6" t="s">
        <v>1245</v>
      </c>
      <c r="Z10" s="284">
        <f>SUM(Z2:Z9)</f>
        <v>68437.804686479285</v>
      </c>
      <c r="AA10" s="284">
        <f t="shared" ref="AA10:AP10" si="14">SUM(AA2:AA9)</f>
        <v>-51983.045089296604</v>
      </c>
      <c r="AB10" s="284">
        <f t="shared" si="14"/>
        <v>51983.045089296604</v>
      </c>
      <c r="AC10" s="284">
        <f t="shared" si="14"/>
        <v>-28716.433560406949</v>
      </c>
      <c r="AD10" s="284">
        <f t="shared" si="14"/>
        <v>28716.433560406949</v>
      </c>
      <c r="AE10" s="284">
        <f t="shared" si="14"/>
        <v>145.16081865620708</v>
      </c>
      <c r="AF10" s="284">
        <f t="shared" si="14"/>
        <v>-13923.575231353952</v>
      </c>
      <c r="AG10" s="284">
        <f t="shared" si="14"/>
        <v>-10367.302252058711</v>
      </c>
      <c r="AH10" s="284">
        <f t="shared" si="14"/>
        <v>27710.458913339829</v>
      </c>
      <c r="AI10" s="284">
        <f t="shared" ref="AI10" si="15">SUM(AI2:AI9)</f>
        <v>-27710.458913339829</v>
      </c>
      <c r="AJ10" s="284">
        <f t="shared" si="14"/>
        <v>-8185.0569336613889</v>
      </c>
      <c r="AK10" s="284">
        <f t="shared" si="14"/>
        <v>-34105.997793115508</v>
      </c>
      <c r="AL10" s="284">
        <f t="shared" si="14"/>
        <v>10796.39607508247</v>
      </c>
      <c r="AM10" s="284">
        <f t="shared" si="14"/>
        <v>-7602.1815827792161</v>
      </c>
      <c r="AN10" s="284">
        <f t="shared" si="14"/>
        <v>-17677.750613587272</v>
      </c>
      <c r="AO10" s="284">
        <f t="shared" si="14"/>
        <v>6190.4426237149437</v>
      </c>
      <c r="AP10" s="284">
        <f t="shared" si="14"/>
        <v>-3263.0593797344536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68438</v>
      </c>
      <c r="AA12" s="308" t="str">
        <f t="shared" si="16"/>
        <v>RISK-ON ACC 18% PNL -51983</v>
      </c>
      <c r="AB12" s="308" t="str">
        <f t="shared" si="16"/>
        <v>RISK-OFF ACC 82% PNL 51983</v>
      </c>
      <c r="AC12" s="308" t="str">
        <f t="shared" si="16"/>
        <v>Previous ACC 41% PNL -28716</v>
      </c>
      <c r="AD12" s="337" t="str">
        <f t="shared" si="16"/>
        <v>Anti-Previous ACC 59% PNL 28716</v>
      </c>
      <c r="AE12" s="338" t="str">
        <f t="shared" si="16"/>
        <v>&gt;equity ACC 58% PNL 145</v>
      </c>
      <c r="AF12" s="338" t="str">
        <f t="shared" si="16"/>
        <v>50/50 ACC 49% PNL -13924</v>
      </c>
      <c r="AG12" s="338" t="str">
        <f t="shared" si="16"/>
        <v>&lt;equity ACC 38% PNL -10367</v>
      </c>
      <c r="AH12" s="339" t="str">
        <f t="shared" si="16"/>
        <v>SEASONALITY ACC 68% PNL 27710</v>
      </c>
      <c r="AI12" s="339" t="str">
        <f t="shared" si="16"/>
        <v>ANTI-SEASONALITY ACC 32% PNL -27710</v>
      </c>
      <c r="AJ12" s="339" t="str">
        <f t="shared" si="16"/>
        <v>ADJ_SEASONALITY ACC 41% PNL -8185</v>
      </c>
      <c r="AK12" s="340" t="str">
        <f t="shared" si="16"/>
        <v>V1 ACC 34% PNL -34106</v>
      </c>
      <c r="AL12" s="340" t="str">
        <f t="shared" si="16"/>
        <v>V2 ACC 51% PNL 10796</v>
      </c>
      <c r="AM12" s="340" t="str">
        <f t="shared" si="16"/>
        <v>V3 ACC 45% PNL -7602</v>
      </c>
      <c r="AN12" s="340" t="str">
        <f t="shared" si="16"/>
        <v>V4 ACC 41% PNL -17678</v>
      </c>
      <c r="AO12" s="340" t="str">
        <f t="shared" si="16"/>
        <v>V5 ACC 63% PNL 6190</v>
      </c>
      <c r="AP12" s="340" t="str">
        <f t="shared" si="16"/>
        <v>V6 ACC 48% PNL -3263</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858300.99064841692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28" t="s">
        <v>287</v>
      </c>
      <c r="B14" s="329" t="s">
        <v>558</v>
      </c>
      <c r="C14" s="330" t="s">
        <v>1285</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H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28" t="s">
        <v>307</v>
      </c>
      <c r="B22" s="329" t="s">
        <v>484</v>
      </c>
      <c r="C22" s="330" t="s">
        <v>1285</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28" t="s">
        <v>320</v>
      </c>
      <c r="B29" s="329" t="s">
        <v>564</v>
      </c>
      <c r="C29" s="330" t="s">
        <v>1285</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28" t="s">
        <v>335</v>
      </c>
      <c r="B36" s="329" t="s">
        <v>568</v>
      </c>
      <c r="C36" s="330" t="s">
        <v>1285</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28" t="s">
        <v>341</v>
      </c>
      <c r="B39" s="329" t="s">
        <v>453</v>
      </c>
      <c r="C39" s="330" t="s">
        <v>1285</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5750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7000</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330" t="s">
        <v>1285</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107481</v>
      </c>
      <c r="Y49" s="137">
        <v>7311</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126840</v>
      </c>
      <c r="Y54" s="137">
        <v>15640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71160</v>
      </c>
      <c r="Y77" s="137">
        <v>12000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H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1750000</v>
      </c>
      <c r="Y83" s="137">
        <v>8244</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28" t="s">
        <v>1054</v>
      </c>
      <c r="B89" s="329" t="s">
        <v>463</v>
      </c>
      <c r="C89" s="330" t="s">
        <v>1285</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0.18309859154929578</v>
      </c>
      <c r="AB94" s="193">
        <f t="shared" si="68"/>
        <v>0.81690140845070425</v>
      </c>
      <c r="AC94" s="193">
        <f t="shared" ref="AC94" si="69">COUNTIF(AC14:AC92,"&gt;0")/$B$10</f>
        <v>0.40845070422535212</v>
      </c>
      <c r="AD94" s="193">
        <f t="shared" si="68"/>
        <v>0.59154929577464788</v>
      </c>
      <c r="AE94" s="193">
        <f t="shared" si="68"/>
        <v>0.57746478873239437</v>
      </c>
      <c r="AF94" s="193">
        <f t="shared" si="68"/>
        <v>0.49295774647887325</v>
      </c>
      <c r="AG94" s="193">
        <f t="shared" si="68"/>
        <v>0.38028169014084506</v>
      </c>
      <c r="AH94" s="193">
        <f t="shared" si="68"/>
        <v>0.676056338028169</v>
      </c>
      <c r="AI94" s="193">
        <f t="shared" ref="AI94" si="70">COUNTIF(AI14:AI92,"&gt;0")/$B$10</f>
        <v>0.323943661971831</v>
      </c>
      <c r="AJ94" s="193">
        <f t="shared" si="68"/>
        <v>0.40845070422535212</v>
      </c>
      <c r="AK94" s="193">
        <f t="shared" si="68"/>
        <v>0.3380281690140845</v>
      </c>
      <c r="AL94" s="193">
        <f t="shared" si="68"/>
        <v>0.50704225352112675</v>
      </c>
      <c r="AM94" s="193">
        <f t="shared" si="68"/>
        <v>0.45070422535211269</v>
      </c>
      <c r="AN94" s="193">
        <f t="shared" si="68"/>
        <v>0.40845070422535212</v>
      </c>
      <c r="AO94" s="193">
        <f t="shared" si="68"/>
        <v>0.63380281690140849</v>
      </c>
      <c r="AP94" s="193">
        <f t="shared" si="68"/>
        <v>0.47887323943661969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1294</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1" t="str">
        <f t="shared" ref="Z1:AP1" si="1">Z12</f>
        <v>MAX ACC 101% PNL 45707</v>
      </c>
      <c r="AA1" s="332" t="str">
        <f t="shared" si="1"/>
        <v>RISK-ON ACC 62% PNL 12621</v>
      </c>
      <c r="AB1" s="332" t="str">
        <f t="shared" si="1"/>
        <v>RISK-OFF ACC 39% PNL -12621</v>
      </c>
      <c r="AC1" s="332" t="str">
        <f t="shared" ref="AC1" si="2">AC12</f>
        <v>Previous ACC 32% PNL -20118</v>
      </c>
      <c r="AD1" s="295" t="str">
        <f t="shared" si="1"/>
        <v>Anti-Previous ACC 69% PNL 20118</v>
      </c>
      <c r="AE1" s="333" t="str">
        <f t="shared" si="1"/>
        <v>&gt;equity ACC 49% PNL -4568</v>
      </c>
      <c r="AF1" s="333" t="str">
        <f t="shared" si="1"/>
        <v>50/50 ACC 54% PNL 7008</v>
      </c>
      <c r="AG1" s="333" t="str">
        <f t="shared" si="1"/>
        <v>&lt;equity ACC 51% PNL 4537</v>
      </c>
      <c r="AH1" s="334" t="str">
        <f t="shared" si="1"/>
        <v>SEASONALITY ACC 51% PNL -4209</v>
      </c>
      <c r="AI1" s="334" t="str">
        <f t="shared" si="1"/>
        <v>ANTI-SEASONALITY ACC 51% PNL 4209</v>
      </c>
      <c r="AJ1" s="334" t="str">
        <f t="shared" si="1"/>
        <v>ADJ_SEASONALITY ACC 49% PNL 7121</v>
      </c>
      <c r="AK1" s="335" t="str">
        <f t="shared" si="1"/>
        <v>V1 ACC 42% PNL -4647</v>
      </c>
      <c r="AL1" s="335" t="str">
        <f t="shared" si="1"/>
        <v>V2 ACC 54% PNL 4029</v>
      </c>
      <c r="AM1" s="335" t="str">
        <f t="shared" si="1"/>
        <v>V3 ACC 63% PNL 18596</v>
      </c>
      <c r="AN1" s="335" t="str">
        <f t="shared" si="1"/>
        <v>V4 ACC 59% PNL 12835</v>
      </c>
      <c r="AO1" s="335" t="str">
        <f t="shared" si="1"/>
        <v>V5 ACC 38% PNL -21640</v>
      </c>
      <c r="AP1" s="335" t="str">
        <f t="shared" si="1"/>
        <v>V6 ACC 59% PNL 8458</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2">
        <f t="shared" ref="K2:K9" si="7">SUMIF($C$14:$C$92,$A2,E$14:E$92)/$B2</f>
        <v>-0.77777777777777779</v>
      </c>
      <c r="L2" s="342">
        <f t="shared" ref="L2:O9" si="8">SUMIF($C$14:$C$92,$A2,I$14:I$92)/$B2</f>
        <v>0.33333333333333331</v>
      </c>
      <c r="M2" s="342">
        <f t="shared" si="8"/>
        <v>0.55555555555555558</v>
      </c>
      <c r="N2" s="342">
        <f t="shared" si="8"/>
        <v>-0.1111111111111111</v>
      </c>
      <c r="O2" s="342">
        <f t="shared" si="8"/>
        <v>0.77777777777777779</v>
      </c>
      <c r="P2" s="342">
        <f t="shared" ref="P2:V9" si="9">SUMIF($C$14:$C$92,$A2,O$14:O$92)/$B2</f>
        <v>-0.1111111111111111</v>
      </c>
      <c r="Q2" s="342">
        <f t="shared" si="9"/>
        <v>-0.55555555555555558</v>
      </c>
      <c r="R2" s="342">
        <f t="shared" si="9"/>
        <v>0.77777777777777779</v>
      </c>
      <c r="S2" s="342">
        <f t="shared" si="9"/>
        <v>0.1111111111111111</v>
      </c>
      <c r="T2" s="342">
        <f t="shared" si="9"/>
        <v>0.1111111111111111</v>
      </c>
      <c r="U2" s="342">
        <f t="shared" si="9"/>
        <v>0.1111111111111111</v>
      </c>
      <c r="V2" s="342">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8.4507042253521125E-2</v>
      </c>
      <c r="F3" s="294">
        <f t="shared" si="3"/>
        <v>0</v>
      </c>
      <c r="G3" s="137">
        <f t="shared" si="4"/>
        <v>7858.2865582741852</v>
      </c>
      <c r="H3" s="143">
        <f t="shared" si="5"/>
        <v>1309.7144263790308</v>
      </c>
      <c r="I3" s="186">
        <f t="shared" ref="I3:I9" si="13">SUMIF($C$14:$C$92,A3,F$14:F$92)/B3</f>
        <v>-1309.7144263790308</v>
      </c>
      <c r="J3" t="str">
        <f t="shared" si="6"/>
        <v>energy</v>
      </c>
      <c r="K3" s="342">
        <f t="shared" si="7"/>
        <v>0.66666666666666663</v>
      </c>
      <c r="L3" s="342">
        <f t="shared" si="8"/>
        <v>-0.33333333333333331</v>
      </c>
      <c r="M3" s="342">
        <f t="shared" si="8"/>
        <v>0.66666666666666663</v>
      </c>
      <c r="N3" s="342">
        <f t="shared" si="8"/>
        <v>-0.33333333333333331</v>
      </c>
      <c r="O3" s="342">
        <f t="shared" si="8"/>
        <v>0</v>
      </c>
      <c r="P3" s="342">
        <f t="shared" si="9"/>
        <v>0.33333333333333331</v>
      </c>
      <c r="Q3" s="342">
        <f t="shared" si="9"/>
        <v>0</v>
      </c>
      <c r="R3" s="342">
        <f t="shared" si="9"/>
        <v>0.33333333333333331</v>
      </c>
      <c r="S3" s="342">
        <f t="shared" si="9"/>
        <v>-0.33333333333333331</v>
      </c>
      <c r="T3" s="342">
        <f t="shared" si="9"/>
        <v>0</v>
      </c>
      <c r="U3" s="342">
        <f t="shared" si="9"/>
        <v>0.33333333333333331</v>
      </c>
      <c r="V3" s="342">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0.14084507042253522</v>
      </c>
      <c r="F4" s="294">
        <f t="shared" si="3"/>
        <v>1</v>
      </c>
      <c r="G4" s="137">
        <f t="shared" si="4"/>
        <v>7387.853672574257</v>
      </c>
      <c r="H4" s="143">
        <f t="shared" si="5"/>
        <v>738.78536725742572</v>
      </c>
      <c r="I4" s="186">
        <f t="shared" si="13"/>
        <v>738.78536725742572</v>
      </c>
      <c r="J4" t="str">
        <f t="shared" si="6"/>
        <v>grain</v>
      </c>
      <c r="K4" s="342">
        <f t="shared" si="7"/>
        <v>-0.8</v>
      </c>
      <c r="L4" s="342">
        <f t="shared" si="8"/>
        <v>-0.4</v>
      </c>
      <c r="M4" s="342">
        <f t="shared" si="8"/>
        <v>0.8</v>
      </c>
      <c r="N4" s="342">
        <f t="shared" si="8"/>
        <v>-0.4</v>
      </c>
      <c r="O4" s="342">
        <f t="shared" si="8"/>
        <v>-0.6</v>
      </c>
      <c r="P4" s="342">
        <f t="shared" si="9"/>
        <v>-0.2</v>
      </c>
      <c r="Q4" s="342">
        <f t="shared" si="9"/>
        <v>-0.4</v>
      </c>
      <c r="R4" s="342">
        <f t="shared" si="9"/>
        <v>0.8</v>
      </c>
      <c r="S4" s="342">
        <f t="shared" si="9"/>
        <v>0.8</v>
      </c>
      <c r="T4" s="342">
        <f t="shared" si="9"/>
        <v>0.8</v>
      </c>
      <c r="U4" s="342">
        <f t="shared" si="9"/>
        <v>-0.2</v>
      </c>
      <c r="V4" s="342">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0.29577464788732394</v>
      </c>
      <c r="F5" s="294">
        <f t="shared" si="3"/>
        <v>0.76190476190476186</v>
      </c>
      <c r="G5" s="137">
        <f t="shared" si="4"/>
        <v>11621.957840502771</v>
      </c>
      <c r="H5" s="143">
        <f t="shared" si="5"/>
        <v>553.42656383346525</v>
      </c>
      <c r="I5" s="186">
        <f t="shared" si="13"/>
        <v>373.05262056339478</v>
      </c>
      <c r="J5" t="str">
        <f t="shared" si="6"/>
        <v>index</v>
      </c>
      <c r="K5" s="342">
        <f t="shared" si="7"/>
        <v>-0.23809523809523808</v>
      </c>
      <c r="L5" s="342">
        <f t="shared" si="8"/>
        <v>0.52380952380952384</v>
      </c>
      <c r="M5" s="342">
        <f t="shared" si="8"/>
        <v>-0.52380952380952384</v>
      </c>
      <c r="N5" s="342">
        <f t="shared" si="8"/>
        <v>0.90476190476190477</v>
      </c>
      <c r="O5" s="342">
        <f t="shared" si="8"/>
        <v>-0.14285714285714285</v>
      </c>
      <c r="P5" s="342">
        <f t="shared" si="9"/>
        <v>0.33333333333333331</v>
      </c>
      <c r="Q5" s="342">
        <f t="shared" si="9"/>
        <v>0.42857142857142855</v>
      </c>
      <c r="R5" s="342">
        <f t="shared" si="9"/>
        <v>-4.7619047619047616E-2</v>
      </c>
      <c r="S5" s="342">
        <f t="shared" si="9"/>
        <v>0.42857142857142855</v>
      </c>
      <c r="T5" s="342">
        <f t="shared" si="9"/>
        <v>0.33333333333333331</v>
      </c>
      <c r="U5" s="342">
        <f t="shared" si="9"/>
        <v>-0.80952380952380953</v>
      </c>
      <c r="V5" s="342">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4.2253521126760563E-2</v>
      </c>
      <c r="F6" s="294">
        <f t="shared" si="3"/>
        <v>0.66666666666666663</v>
      </c>
      <c r="G6" s="137">
        <f t="shared" si="4"/>
        <v>3504.7932360015875</v>
      </c>
      <c r="H6" s="143">
        <f t="shared" si="5"/>
        <v>1168.2644120005291</v>
      </c>
      <c r="I6" s="186">
        <f t="shared" si="13"/>
        <v>518.76946250537185</v>
      </c>
      <c r="J6" t="str">
        <f t="shared" si="6"/>
        <v>meat</v>
      </c>
      <c r="K6" s="342">
        <f t="shared" si="7"/>
        <v>-1</v>
      </c>
      <c r="L6" s="342">
        <f t="shared" si="8"/>
        <v>-0.33333333333333331</v>
      </c>
      <c r="M6" s="342">
        <f t="shared" si="8"/>
        <v>0.33333333333333331</v>
      </c>
      <c r="N6" s="342">
        <f t="shared" si="8"/>
        <v>-1</v>
      </c>
      <c r="O6" s="342">
        <f t="shared" si="8"/>
        <v>0.33333333333333331</v>
      </c>
      <c r="P6" s="342">
        <f t="shared" si="9"/>
        <v>0.33333333333333331</v>
      </c>
      <c r="Q6" s="342">
        <f t="shared" si="9"/>
        <v>-1</v>
      </c>
      <c r="R6" s="342">
        <f t="shared" si="9"/>
        <v>1</v>
      </c>
      <c r="S6" s="342">
        <f t="shared" si="9"/>
        <v>0.33333333333333331</v>
      </c>
      <c r="T6" s="342">
        <f t="shared" si="9"/>
        <v>0.33333333333333331</v>
      </c>
      <c r="U6" s="342">
        <f t="shared" si="9"/>
        <v>-0.33333333333333331</v>
      </c>
      <c r="V6" s="342">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7.0422535211267609E-2</v>
      </c>
      <c r="F7" s="294">
        <f t="shared" si="3"/>
        <v>0.6</v>
      </c>
      <c r="G7" s="137">
        <f t="shared" si="4"/>
        <v>1811.0034878771919</v>
      </c>
      <c r="H7" s="143">
        <f t="shared" si="5"/>
        <v>362.20069757543837</v>
      </c>
      <c r="I7" s="186">
        <f t="shared" si="13"/>
        <v>74.109671891935307</v>
      </c>
      <c r="J7" t="str">
        <f t="shared" si="6"/>
        <v>metal</v>
      </c>
      <c r="K7" s="342">
        <f t="shared" si="7"/>
        <v>-1</v>
      </c>
      <c r="L7" s="342">
        <f t="shared" si="8"/>
        <v>0.2</v>
      </c>
      <c r="M7" s="342">
        <f t="shared" si="8"/>
        <v>-0.2</v>
      </c>
      <c r="N7" s="342">
        <f t="shared" si="8"/>
        <v>0.2</v>
      </c>
      <c r="O7" s="342">
        <f t="shared" si="8"/>
        <v>0.6</v>
      </c>
      <c r="P7" s="342">
        <f t="shared" si="9"/>
        <v>-0.2</v>
      </c>
      <c r="Q7" s="342">
        <f t="shared" si="9"/>
        <v>-0.6</v>
      </c>
      <c r="R7" s="342">
        <f t="shared" si="9"/>
        <v>0.2</v>
      </c>
      <c r="S7" s="342">
        <f t="shared" si="9"/>
        <v>0.2</v>
      </c>
      <c r="T7" s="342">
        <f t="shared" si="9"/>
        <v>0.2</v>
      </c>
      <c r="U7" s="342">
        <f t="shared" si="9"/>
        <v>-0.6</v>
      </c>
      <c r="V7" s="342">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0.14084507042253522</v>
      </c>
      <c r="F8" s="294">
        <f t="shared" si="3"/>
        <v>0.7</v>
      </c>
      <c r="G8" s="137">
        <f t="shared" si="4"/>
        <v>6048.1952245135017</v>
      </c>
      <c r="H8" s="143">
        <f t="shared" si="5"/>
        <v>604.81952245135017</v>
      </c>
      <c r="I8" s="186">
        <f t="shared" si="13"/>
        <v>107.04002648140904</v>
      </c>
      <c r="J8" t="str">
        <f t="shared" si="6"/>
        <v>rates</v>
      </c>
      <c r="K8" s="342">
        <f t="shared" si="7"/>
        <v>-1</v>
      </c>
      <c r="L8" s="342">
        <f t="shared" si="8"/>
        <v>0.4</v>
      </c>
      <c r="M8" s="342">
        <f t="shared" si="8"/>
        <v>0.2</v>
      </c>
      <c r="N8" s="342">
        <f t="shared" si="8"/>
        <v>-0.4</v>
      </c>
      <c r="O8" s="342">
        <f t="shared" si="8"/>
        <v>1</v>
      </c>
      <c r="P8" s="342">
        <f t="shared" si="9"/>
        <v>-0.8</v>
      </c>
      <c r="Q8" s="342">
        <f t="shared" si="9"/>
        <v>-1</v>
      </c>
      <c r="R8" s="342">
        <f t="shared" si="9"/>
        <v>0.2</v>
      </c>
      <c r="S8" s="342">
        <f t="shared" si="9"/>
        <v>0.4</v>
      </c>
      <c r="T8" s="342">
        <f t="shared" si="9"/>
        <v>0</v>
      </c>
      <c r="U8" s="342">
        <f t="shared" si="9"/>
        <v>0.4</v>
      </c>
      <c r="V8" s="342">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7</v>
      </c>
      <c r="C9" s="200">
        <f t="shared" si="12"/>
        <v>9.8591549295774641E-2</v>
      </c>
      <c r="D9" s="126"/>
      <c r="F9" s="294">
        <f t="shared" si="3"/>
        <v>0.7142857142857143</v>
      </c>
      <c r="G9" s="199">
        <f t="shared" si="4"/>
        <v>3944.0342458679347</v>
      </c>
      <c r="H9" s="143">
        <f t="shared" si="5"/>
        <v>563.43346369541928</v>
      </c>
      <c r="I9" s="186">
        <f t="shared" si="13"/>
        <v>324.31275163596308</v>
      </c>
      <c r="J9" t="str">
        <f t="shared" si="6"/>
        <v>soft</v>
      </c>
      <c r="K9" s="342">
        <f t="shared" si="7"/>
        <v>-0.7142857142857143</v>
      </c>
      <c r="L9" s="342">
        <f t="shared" si="8"/>
        <v>0.42857142857142855</v>
      </c>
      <c r="M9" s="342">
        <f t="shared" si="8"/>
        <v>0.42857142857142855</v>
      </c>
      <c r="N9" s="342">
        <f t="shared" si="8"/>
        <v>0.14285714285714285</v>
      </c>
      <c r="O9" s="342">
        <f t="shared" si="8"/>
        <v>0.14285714285714285</v>
      </c>
      <c r="P9" s="342">
        <f t="shared" si="9"/>
        <v>0.42857142857142855</v>
      </c>
      <c r="Q9" s="342">
        <f t="shared" si="9"/>
        <v>-0.14285714285714285</v>
      </c>
      <c r="R9" s="342">
        <f t="shared" si="9"/>
        <v>0.42857142857142855</v>
      </c>
      <c r="S9" s="342">
        <f t="shared" si="9"/>
        <v>0.42857142857142855</v>
      </c>
      <c r="T9" s="342">
        <f t="shared" si="9"/>
        <v>0.14285714285714285</v>
      </c>
      <c r="U9" s="342">
        <f t="shared" si="9"/>
        <v>-0.7142857142857143</v>
      </c>
      <c r="V9" s="342">
        <f t="shared" si="9"/>
        <v>0.42857142857142855</v>
      </c>
      <c r="W9" s="286"/>
      <c r="X9" s="6"/>
      <c r="Y9" s="17" t="s">
        <v>304</v>
      </c>
      <c r="Z9" s="283">
        <f t="shared" si="10"/>
        <v>3944.0342458679347</v>
      </c>
      <c r="AA9" s="283">
        <f t="shared" si="10"/>
        <v>2270.1892614517415</v>
      </c>
      <c r="AB9" s="283">
        <f t="shared" si="10"/>
        <v>-2270.1892614517415</v>
      </c>
      <c r="AC9" s="283">
        <f t="shared" si="10"/>
        <v>-3246.7280336645731</v>
      </c>
      <c r="AD9" s="283">
        <f t="shared" si="10"/>
        <v>3246.7280336645731</v>
      </c>
      <c r="AE9" s="283">
        <f t="shared" si="10"/>
        <v>2842.4840150210644</v>
      </c>
      <c r="AF9" s="283">
        <f t="shared" si="10"/>
        <v>416.04351993142762</v>
      </c>
      <c r="AG9" s="283">
        <f t="shared" si="10"/>
        <v>-2662.5825450550797</v>
      </c>
      <c r="AH9" s="283">
        <f t="shared" si="10"/>
        <v>525.26332166515476</v>
      </c>
      <c r="AI9" s="283">
        <f t="shared" si="10"/>
        <v>-525.26332166515476</v>
      </c>
      <c r="AJ9" s="283">
        <f t="shared" si="10"/>
        <v>2842.4840150210644</v>
      </c>
      <c r="AK9" s="283">
        <f t="shared" si="10"/>
        <v>-3066.8265636985884</v>
      </c>
      <c r="AL9" s="283">
        <f t="shared" si="10"/>
        <v>2842.4840150210644</v>
      </c>
      <c r="AM9" s="283">
        <f t="shared" si="10"/>
        <v>416.04351993142762</v>
      </c>
      <c r="AN9" s="283">
        <f t="shared" si="10"/>
        <v>11.799501287918872</v>
      </c>
      <c r="AO9" s="283">
        <f t="shared" si="10"/>
        <v>-3246.7280336645731</v>
      </c>
      <c r="AP9" s="283">
        <f t="shared" si="10"/>
        <v>2842.4840150210644</v>
      </c>
    </row>
    <row r="10" spans="1:42" outlineLevel="1" x14ac:dyDescent="0.25">
      <c r="B10">
        <f>SUM(B2:B9)</f>
        <v>71</v>
      </c>
      <c r="C10" s="193">
        <f t="shared" si="12"/>
        <v>1</v>
      </c>
      <c r="D10" s="126"/>
      <c r="F10" s="294">
        <f>SUMIFS(H$14:H$92,H$14:H$92,1,$C$14:$C$92,"&lt;&gt;offline")/$B10</f>
        <v>0.676056338028169</v>
      </c>
      <c r="G10" s="167">
        <f>SUM(G2:G9)</f>
        <v>45706.964772439133</v>
      </c>
      <c r="H10" s="143">
        <f t="shared" si="5"/>
        <v>643.76006721745262</v>
      </c>
      <c r="I10">
        <f>SUM(F14:F92)/B10</f>
        <v>134.17948610139553</v>
      </c>
      <c r="J10" s="137"/>
      <c r="K10" s="6"/>
      <c r="L10" s="292"/>
      <c r="M10" s="286"/>
      <c r="N10" s="292"/>
      <c r="O10" s="6"/>
      <c r="R10" s="6"/>
      <c r="S10" s="286"/>
      <c r="T10" s="286"/>
      <c r="U10" s="286"/>
      <c r="V10" s="6"/>
      <c r="W10" s="286"/>
      <c r="X10" s="6"/>
      <c r="Y10" s="6" t="s">
        <v>1245</v>
      </c>
      <c r="Z10" s="284">
        <f>SUM(Z2:Z9)</f>
        <v>45706.964772439133</v>
      </c>
      <c r="AA10" s="284">
        <f t="shared" ref="AA10:AP10" si="14">SUM(AA2:AA9)</f>
        <v>12621.419232967419</v>
      </c>
      <c r="AB10" s="284">
        <f t="shared" si="14"/>
        <v>-12621.419232967419</v>
      </c>
      <c r="AC10" s="284">
        <f t="shared" si="14"/>
        <v>-20117.974852331394</v>
      </c>
      <c r="AD10" s="284">
        <f t="shared" si="14"/>
        <v>20117.974852331394</v>
      </c>
      <c r="AE10" s="284">
        <f t="shared" si="14"/>
        <v>-4568.1520019772124</v>
      </c>
      <c r="AF10" s="284">
        <f t="shared" si="14"/>
        <v>7008.0158018327793</v>
      </c>
      <c r="AG10" s="284">
        <f t="shared" si="14"/>
        <v>4536.8219696802989</v>
      </c>
      <c r="AH10" s="284">
        <f t="shared" si="14"/>
        <v>-4209.3031340957004</v>
      </c>
      <c r="AI10" s="284">
        <f t="shared" ref="AI10" si="15">SUM(AI2:AI9)</f>
        <v>4209.3031340957004</v>
      </c>
      <c r="AJ10" s="284">
        <f t="shared" si="14"/>
        <v>7120.700090796634</v>
      </c>
      <c r="AK10" s="284">
        <f t="shared" si="14"/>
        <v>-4647.0449523896086</v>
      </c>
      <c r="AL10" s="284">
        <f t="shared" si="14"/>
        <v>4028.5176107057782</v>
      </c>
      <c r="AM10" s="284">
        <f t="shared" si="14"/>
        <v>18595.980330285925</v>
      </c>
      <c r="AN10" s="284">
        <f t="shared" si="14"/>
        <v>12834.850062587979</v>
      </c>
      <c r="AO10" s="284">
        <f t="shared" si="14"/>
        <v>-21640.060735991166</v>
      </c>
      <c r="AP10" s="284">
        <f t="shared" si="14"/>
        <v>8458.0667694960957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45707</v>
      </c>
      <c r="AA12" s="308" t="str">
        <f t="shared" si="16"/>
        <v>RISK-ON ACC 62% PNL 12621</v>
      </c>
      <c r="AB12" s="308" t="str">
        <f t="shared" si="16"/>
        <v>RISK-OFF ACC 39% PNL -12621</v>
      </c>
      <c r="AC12" s="308" t="str">
        <f t="shared" si="16"/>
        <v>Previous ACC 32% PNL -20118</v>
      </c>
      <c r="AD12" s="337" t="str">
        <f t="shared" si="16"/>
        <v>Anti-Previous ACC 69% PNL 20118</v>
      </c>
      <c r="AE12" s="338" t="str">
        <f t="shared" si="16"/>
        <v>&gt;equity ACC 49% PNL -4568</v>
      </c>
      <c r="AF12" s="338" t="str">
        <f t="shared" si="16"/>
        <v>50/50 ACC 54% PNL 7008</v>
      </c>
      <c r="AG12" s="338" t="str">
        <f t="shared" si="16"/>
        <v>&lt;equity ACC 51% PNL 4537</v>
      </c>
      <c r="AH12" s="339" t="str">
        <f t="shared" si="16"/>
        <v>SEASONALITY ACC 51% PNL -4209</v>
      </c>
      <c r="AI12" s="339" t="str">
        <f t="shared" si="16"/>
        <v>ANTI-SEASONALITY ACC 51% PNL 4209</v>
      </c>
      <c r="AJ12" s="339" t="str">
        <f t="shared" si="16"/>
        <v>ADJ_SEASONALITY ACC 49% PNL 7121</v>
      </c>
      <c r="AK12" s="340" t="str">
        <f t="shared" si="16"/>
        <v>V1 ACC 42% PNL -4647</v>
      </c>
      <c r="AL12" s="340" t="str">
        <f t="shared" si="16"/>
        <v>V2 ACC 54% PNL 4029</v>
      </c>
      <c r="AM12" s="340" t="str">
        <f t="shared" si="16"/>
        <v>V3 ACC 63% PNL 18596</v>
      </c>
      <c r="AN12" s="340" t="str">
        <f t="shared" si="16"/>
        <v>V4 ACC 59% PNL 12835</v>
      </c>
      <c r="AO12" s="340" t="str">
        <f t="shared" si="16"/>
        <v>V5 ACC 38% PNL -21640</v>
      </c>
      <c r="AP12" s="340" t="str">
        <f t="shared" si="16"/>
        <v>V6 ACC 59% PNL 8458</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858300.99064841692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28" t="s">
        <v>287</v>
      </c>
      <c r="B14" s="329" t="s">
        <v>558</v>
      </c>
      <c r="C14" s="330" t="s">
        <v>1285</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H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28" t="s">
        <v>307</v>
      </c>
      <c r="B22" s="329" t="s">
        <v>484</v>
      </c>
      <c r="C22" s="330" t="s">
        <v>1285</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28" t="s">
        <v>320</v>
      </c>
      <c r="B29" s="329" t="s">
        <v>564</v>
      </c>
      <c r="C29" s="330" t="s">
        <v>1285</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28" t="s">
        <v>335</v>
      </c>
      <c r="B36" s="329" t="s">
        <v>568</v>
      </c>
      <c r="C36" s="330" t="s">
        <v>1285</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28" t="s">
        <v>341</v>
      </c>
      <c r="B39" s="329" t="s">
        <v>453</v>
      </c>
      <c r="C39" s="330" t="s">
        <v>1285</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5750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7000</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330" t="s">
        <v>1285</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107481</v>
      </c>
      <c r="Y49" s="137">
        <v>7311</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126840</v>
      </c>
      <c r="Y54" s="137">
        <v>15640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71160</v>
      </c>
      <c r="Y77" s="137">
        <v>12000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H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1750000</v>
      </c>
      <c r="Y83" s="137">
        <v>8244</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28" t="s">
        <v>1054</v>
      </c>
      <c r="B89" s="329" t="s">
        <v>463</v>
      </c>
      <c r="C89" s="330" t="s">
        <v>1285</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0.61971830985915488</v>
      </c>
      <c r="AB94" s="193">
        <f t="shared" si="68"/>
        <v>0.39436619718309857</v>
      </c>
      <c r="AC94" s="193">
        <f t="shared" ref="AC94" si="69">COUNTIF(AC14:AC92,"&gt;0")/$B$10</f>
        <v>0.323943661971831</v>
      </c>
      <c r="AD94" s="193">
        <f t="shared" si="68"/>
        <v>0.6901408450704225</v>
      </c>
      <c r="AE94" s="193">
        <f t="shared" si="68"/>
        <v>0.49295774647887325</v>
      </c>
      <c r="AF94" s="193">
        <f t="shared" si="68"/>
        <v>0.53521126760563376</v>
      </c>
      <c r="AG94" s="193">
        <f t="shared" si="68"/>
        <v>0.50704225352112675</v>
      </c>
      <c r="AH94" s="193">
        <f t="shared" si="68"/>
        <v>0.50704225352112675</v>
      </c>
      <c r="AI94" s="193">
        <f t="shared" ref="AI94" si="70">COUNTIF(AI14:AI92,"&gt;0")/$B$10</f>
        <v>0.50704225352112675</v>
      </c>
      <c r="AJ94" s="193">
        <f t="shared" si="68"/>
        <v>0.49295774647887325</v>
      </c>
      <c r="AK94" s="193">
        <f t="shared" si="68"/>
        <v>0.42253521126760563</v>
      </c>
      <c r="AL94" s="193">
        <f t="shared" si="68"/>
        <v>0.53521126760563376</v>
      </c>
      <c r="AM94" s="193">
        <f t="shared" si="68"/>
        <v>0.63380281690140849</v>
      </c>
      <c r="AN94" s="193">
        <f t="shared" si="68"/>
        <v>0.59154929577464788</v>
      </c>
      <c r="AO94" s="193">
        <f t="shared" si="68"/>
        <v>0.38028169014084506</v>
      </c>
      <c r="AP94" s="193">
        <f t="shared" si="68"/>
        <v>0.59154929577464788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1294</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1" t="str">
        <f t="shared" ref="Z1:AP1" si="1">Z12</f>
        <v>MAX ACC 101% PNL 63685</v>
      </c>
      <c r="AA1" s="332" t="str">
        <f t="shared" si="1"/>
        <v>RISK-ON ACC 41% PNL -20090</v>
      </c>
      <c r="AB1" s="332" t="str">
        <f t="shared" si="1"/>
        <v>RISK-OFF ACC 61% PNL 20090</v>
      </c>
      <c r="AC1" s="332" t="str">
        <f t="shared" ref="AC1" si="2">AC12</f>
        <v>Previous ACC 49% PNL -4579</v>
      </c>
      <c r="AD1" s="295" t="str">
        <f t="shared" si="1"/>
        <v>Anti-Previous ACC 52% PNL 4579</v>
      </c>
      <c r="AE1" s="333" t="str">
        <f t="shared" si="1"/>
        <v>&gt;equity ACC 62% PNL 16068</v>
      </c>
      <c r="AF1" s="333" t="str">
        <f t="shared" si="1"/>
        <v>50/50 ACC 42% PNL -6592</v>
      </c>
      <c r="AG1" s="333" t="str">
        <f t="shared" si="1"/>
        <v>&lt;equity ACC 44% PNL -12102</v>
      </c>
      <c r="AH1" s="334" t="str">
        <f t="shared" si="1"/>
        <v>SEASONALITY ACC 37% PNL -19650</v>
      </c>
      <c r="AI1" s="334" t="str">
        <f t="shared" si="1"/>
        <v>ANTI-SEASONALITY ACC 65% PNL 19650</v>
      </c>
      <c r="AJ1" s="334" t="str">
        <f t="shared" si="1"/>
        <v>ADJ_SEASONALITY ACC 51% PNL -7942</v>
      </c>
      <c r="AK1" s="335" t="str">
        <f t="shared" si="1"/>
        <v>V1 ACC 51% PNL -1150</v>
      </c>
      <c r="AL1" s="335" t="str">
        <f t="shared" si="1"/>
        <v>V2 ACC 58% PNL 4906</v>
      </c>
      <c r="AM1" s="335" t="str">
        <f t="shared" si="1"/>
        <v>V3 ACC 55% PNL 12360</v>
      </c>
      <c r="AN1" s="335" t="str">
        <f t="shared" si="1"/>
        <v>V4 ACC 56% PNL 11974</v>
      </c>
      <c r="AO1" s="335" t="str">
        <f t="shared" si="1"/>
        <v>V5 ACC 54% PNL 9159</v>
      </c>
      <c r="AP1" s="335" t="str">
        <f t="shared" si="1"/>
        <v>V6 ACC 62% PNL 17201</v>
      </c>
    </row>
    <row r="2" spans="1:42" outlineLevel="1" x14ac:dyDescent="0.25">
      <c r="A2" t="s">
        <v>1121</v>
      </c>
      <c r="B2" s="95">
        <f>COUNTIF($C$14:$C$92,A2)</f>
        <v>9</v>
      </c>
      <c r="C2" s="193">
        <f>B2/$B$10</f>
        <v>0.12676056338028169</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2">
        <f t="shared" ref="K2:K9" si="7">SUMIF($C$14:$C$92,$A2,E$14:E$92)/$B2</f>
        <v>0.33333333333333331</v>
      </c>
      <c r="L2" s="342">
        <f t="shared" ref="L2:O9" si="8">SUMIF($C$14:$C$92,$A2,I$14:I$92)/$B2</f>
        <v>0.55555555555555558</v>
      </c>
      <c r="M2" s="342">
        <f t="shared" si="8"/>
        <v>-0.1111111111111111</v>
      </c>
      <c r="N2" s="342">
        <f t="shared" si="8"/>
        <v>0.33333333333333331</v>
      </c>
      <c r="O2" s="342">
        <f t="shared" si="8"/>
        <v>0.55555555555555558</v>
      </c>
      <c r="P2" s="342">
        <f t="shared" ref="P2:V9" si="9">SUMIF($C$14:$C$92,$A2,O$14:O$92)/$B2</f>
        <v>0.33333333333333331</v>
      </c>
      <c r="Q2" s="342">
        <f t="shared" si="9"/>
        <v>0.55555555555555558</v>
      </c>
      <c r="R2" s="342">
        <f t="shared" si="9"/>
        <v>0.1111111111111111</v>
      </c>
      <c r="S2" s="342">
        <f t="shared" si="9"/>
        <v>-0.33333333333333331</v>
      </c>
      <c r="T2" s="342">
        <f t="shared" si="9"/>
        <v>-0.1111111111111111</v>
      </c>
      <c r="U2" s="342">
        <f t="shared" si="9"/>
        <v>-0.1111111111111111</v>
      </c>
      <c r="V2" s="342">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8.4507042253521125E-2</v>
      </c>
      <c r="F3" s="294">
        <f t="shared" si="3"/>
        <v>0.83333333333333337</v>
      </c>
      <c r="G3" s="137">
        <f t="shared" si="4"/>
        <v>1864.2345120075156</v>
      </c>
      <c r="H3" s="143">
        <f t="shared" si="5"/>
        <v>310.70575200125262</v>
      </c>
      <c r="I3" s="186">
        <f t="shared" ref="I3:I9" si="13">SUMIF($C$14:$C$92,A3,F$14:F$92)/B3</f>
        <v>213.11315112005363</v>
      </c>
      <c r="J3" t="str">
        <f t="shared" si="6"/>
        <v>energy</v>
      </c>
      <c r="K3" s="342">
        <f t="shared" si="7"/>
        <v>1</v>
      </c>
      <c r="L3" s="342">
        <f t="shared" si="8"/>
        <v>0</v>
      </c>
      <c r="M3" s="342">
        <f t="shared" si="8"/>
        <v>0.33333333333333331</v>
      </c>
      <c r="N3" s="342">
        <f t="shared" si="8"/>
        <v>0</v>
      </c>
      <c r="O3" s="342">
        <f t="shared" si="8"/>
        <v>0</v>
      </c>
      <c r="P3" s="342">
        <f t="shared" si="9"/>
        <v>0.33333333333333331</v>
      </c>
      <c r="Q3" s="342">
        <f t="shared" si="9"/>
        <v>0</v>
      </c>
      <c r="R3" s="342">
        <f t="shared" si="9"/>
        <v>0</v>
      </c>
      <c r="S3" s="342">
        <f t="shared" si="9"/>
        <v>0</v>
      </c>
      <c r="T3" s="342">
        <f t="shared" si="9"/>
        <v>0</v>
      </c>
      <c r="U3" s="342">
        <f t="shared" si="9"/>
        <v>0.33333333333333331</v>
      </c>
      <c r="V3" s="342">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0.14084507042253522</v>
      </c>
      <c r="F4" s="294">
        <f t="shared" si="3"/>
        <v>0.1</v>
      </c>
      <c r="G4" s="137">
        <f t="shared" si="4"/>
        <v>7220.7973217734361</v>
      </c>
      <c r="H4" s="143">
        <f t="shared" si="5"/>
        <v>722.07973217734366</v>
      </c>
      <c r="I4" s="186">
        <f t="shared" si="13"/>
        <v>-582.84087356876739</v>
      </c>
      <c r="J4" t="str">
        <f t="shared" si="6"/>
        <v>grain</v>
      </c>
      <c r="K4" s="342">
        <f t="shared" si="7"/>
        <v>-1</v>
      </c>
      <c r="L4" s="342">
        <f t="shared" si="8"/>
        <v>0</v>
      </c>
      <c r="M4" s="342">
        <f t="shared" si="8"/>
        <v>0</v>
      </c>
      <c r="N4" s="342">
        <f t="shared" si="8"/>
        <v>0</v>
      </c>
      <c r="O4" s="342">
        <f t="shared" si="8"/>
        <v>-0.6</v>
      </c>
      <c r="P4" s="342">
        <f t="shared" si="9"/>
        <v>0</v>
      </c>
      <c r="Q4" s="342">
        <f t="shared" si="9"/>
        <v>-0.2</v>
      </c>
      <c r="R4" s="342">
        <f t="shared" si="9"/>
        <v>0.2</v>
      </c>
      <c r="S4" s="342">
        <f t="shared" si="9"/>
        <v>0.8</v>
      </c>
      <c r="T4" s="342">
        <f t="shared" si="9"/>
        <v>0.4</v>
      </c>
      <c r="U4" s="342">
        <f t="shared" si="9"/>
        <v>-0.4</v>
      </c>
      <c r="V4" s="342">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0.29577464788732394</v>
      </c>
      <c r="F5" s="294">
        <f t="shared" si="3"/>
        <v>0.38095238095238093</v>
      </c>
      <c r="G5" s="137">
        <f t="shared" si="4"/>
        <v>9061.3898567105662</v>
      </c>
      <c r="H5" s="143">
        <f t="shared" si="5"/>
        <v>431.49475508145554</v>
      </c>
      <c r="I5" s="186">
        <f t="shared" si="13"/>
        <v>-43.41984553529668</v>
      </c>
      <c r="J5" t="str">
        <f t="shared" si="6"/>
        <v>index</v>
      </c>
      <c r="K5" s="342">
        <f t="shared" si="7"/>
        <v>0.80952380952380953</v>
      </c>
      <c r="L5" s="342">
        <f t="shared" si="8"/>
        <v>0.33333333333333331</v>
      </c>
      <c r="M5" s="342">
        <f t="shared" si="8"/>
        <v>-0.90476190476190477</v>
      </c>
      <c r="N5" s="342">
        <f t="shared" si="8"/>
        <v>0.90476190476190477</v>
      </c>
      <c r="O5" s="342">
        <f t="shared" si="8"/>
        <v>-0.33333333333333331</v>
      </c>
      <c r="P5" s="342">
        <f t="shared" si="9"/>
        <v>0.52380952380952384</v>
      </c>
      <c r="Q5" s="342">
        <f t="shared" si="9"/>
        <v>0.90476190476190477</v>
      </c>
      <c r="R5" s="342">
        <f t="shared" si="9"/>
        <v>-0.80952380952380953</v>
      </c>
      <c r="S5" s="342">
        <f t="shared" si="9"/>
        <v>-0.14285714285714285</v>
      </c>
      <c r="T5" s="342">
        <f t="shared" si="9"/>
        <v>-0.14285714285714285</v>
      </c>
      <c r="U5" s="342">
        <f t="shared" si="9"/>
        <v>-0.52380952380952384</v>
      </c>
      <c r="V5" s="342">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4.2253521126760563E-2</v>
      </c>
      <c r="F6" s="294">
        <f t="shared" si="3"/>
        <v>0</v>
      </c>
      <c r="G6" s="137">
        <f t="shared" si="4"/>
        <v>6409.5876271869984</v>
      </c>
      <c r="H6" s="143">
        <f t="shared" si="5"/>
        <v>2136.5292090623329</v>
      </c>
      <c r="I6" s="186">
        <f t="shared" si="13"/>
        <v>-2136.5292090623329</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7.0422535211267609E-2</v>
      </c>
      <c r="F7" s="294">
        <f t="shared" si="3"/>
        <v>0</v>
      </c>
      <c r="G7" s="137">
        <f t="shared" si="4"/>
        <v>3479.6336031478709</v>
      </c>
      <c r="H7" s="143">
        <f t="shared" si="5"/>
        <v>695.92672062957422</v>
      </c>
      <c r="I7" s="186">
        <f t="shared" si="13"/>
        <v>-695.92672062957422</v>
      </c>
      <c r="J7" t="str">
        <f t="shared" si="6"/>
        <v>metal</v>
      </c>
      <c r="K7" s="342">
        <f t="shared" si="7"/>
        <v>0.2</v>
      </c>
      <c r="L7" s="342">
        <f t="shared" si="8"/>
        <v>0.2</v>
      </c>
      <c r="M7" s="342">
        <f t="shared" si="8"/>
        <v>-1</v>
      </c>
      <c r="N7" s="342">
        <f t="shared" si="8"/>
        <v>0.6</v>
      </c>
      <c r="O7" s="342">
        <f t="shared" si="8"/>
        <v>0.6</v>
      </c>
      <c r="P7" s="342">
        <f t="shared" si="9"/>
        <v>-0.2</v>
      </c>
      <c r="Q7" s="342">
        <f t="shared" si="9"/>
        <v>0.2</v>
      </c>
      <c r="R7" s="342">
        <f t="shared" si="9"/>
        <v>-1</v>
      </c>
      <c r="S7" s="342">
        <f t="shared" si="9"/>
        <v>-0.6</v>
      </c>
      <c r="T7" s="342">
        <f t="shared" si="9"/>
        <v>-0.6</v>
      </c>
      <c r="U7" s="342">
        <f t="shared" si="9"/>
        <v>-0.2</v>
      </c>
      <c r="V7" s="342">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0.14084507042253522</v>
      </c>
      <c r="F8" s="294">
        <f t="shared" si="3"/>
        <v>0</v>
      </c>
      <c r="G8" s="137">
        <f t="shared" si="4"/>
        <v>12651.110065243514</v>
      </c>
      <c r="H8" s="143">
        <f t="shared" si="5"/>
        <v>1265.1110065243515</v>
      </c>
      <c r="I8" s="186">
        <f t="shared" si="13"/>
        <v>-1265.1110065243515</v>
      </c>
      <c r="J8" t="str">
        <f t="shared" si="6"/>
        <v>rates</v>
      </c>
      <c r="K8" s="342">
        <f t="shared" si="7"/>
        <v>-0.6</v>
      </c>
      <c r="L8" s="342">
        <f t="shared" si="8"/>
        <v>0.4</v>
      </c>
      <c r="M8" s="342">
        <f t="shared" si="8"/>
        <v>0</v>
      </c>
      <c r="N8" s="342">
        <f t="shared" si="8"/>
        <v>0</v>
      </c>
      <c r="O8" s="342">
        <f t="shared" si="8"/>
        <v>1</v>
      </c>
      <c r="P8" s="342">
        <f t="shared" si="9"/>
        <v>-0.2</v>
      </c>
      <c r="Q8" s="342">
        <f t="shared" si="9"/>
        <v>-0.8</v>
      </c>
      <c r="R8" s="342">
        <f t="shared" si="9"/>
        <v>0.6</v>
      </c>
      <c r="S8" s="342">
        <f t="shared" si="9"/>
        <v>0</v>
      </c>
      <c r="T8" s="342">
        <f t="shared" si="9"/>
        <v>0</v>
      </c>
      <c r="U8" s="342">
        <f t="shared" si="9"/>
        <v>0</v>
      </c>
      <c r="V8" s="342">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7</v>
      </c>
      <c r="C9" s="200">
        <f t="shared" si="12"/>
        <v>9.8591549295774641E-2</v>
      </c>
      <c r="D9" s="126"/>
      <c r="F9" s="294">
        <f t="shared" si="3"/>
        <v>0.14285714285714285</v>
      </c>
      <c r="G9" s="199">
        <f t="shared" si="4"/>
        <v>13290.663841082896</v>
      </c>
      <c r="H9" s="143">
        <f t="shared" si="5"/>
        <v>1898.6662630118424</v>
      </c>
      <c r="I9" s="186">
        <f t="shared" si="13"/>
        <v>-1722.7616816042816</v>
      </c>
      <c r="J9" t="str">
        <f t="shared" si="6"/>
        <v>soft</v>
      </c>
      <c r="K9" s="342">
        <f t="shared" si="7"/>
        <v>1</v>
      </c>
      <c r="L9" s="342">
        <f t="shared" si="8"/>
        <v>0.14285714285714285</v>
      </c>
      <c r="M9" s="342">
        <f t="shared" si="8"/>
        <v>-0.7142857142857143</v>
      </c>
      <c r="N9" s="342">
        <f t="shared" si="8"/>
        <v>1</v>
      </c>
      <c r="O9" s="342">
        <f t="shared" si="8"/>
        <v>0.14285714285714285</v>
      </c>
      <c r="P9" s="342">
        <f t="shared" si="9"/>
        <v>0.14285714285714285</v>
      </c>
      <c r="Q9" s="342">
        <f t="shared" si="9"/>
        <v>1</v>
      </c>
      <c r="R9" s="342">
        <f t="shared" si="9"/>
        <v>-0.7142857142857143</v>
      </c>
      <c r="S9" s="342">
        <f t="shared" si="9"/>
        <v>-0.42857142857142855</v>
      </c>
      <c r="T9" s="342">
        <f t="shared" si="9"/>
        <v>-0.42857142857142855</v>
      </c>
      <c r="U9" s="342">
        <f t="shared" si="9"/>
        <v>-0.14285714285714285</v>
      </c>
      <c r="V9" s="342">
        <f t="shared" si="9"/>
        <v>-0.7142857142857143</v>
      </c>
      <c r="W9" s="286"/>
      <c r="X9" s="6"/>
      <c r="Y9" s="17" t="s">
        <v>304</v>
      </c>
      <c r="Z9" s="283">
        <f t="shared" si="10"/>
        <v>13290.663841082896</v>
      </c>
      <c r="AA9" s="283">
        <f t="shared" si="10"/>
        <v>-12059.331771229972</v>
      </c>
      <c r="AB9" s="283">
        <f t="shared" si="10"/>
        <v>12059.331771229972</v>
      </c>
      <c r="AC9" s="283">
        <f t="shared" si="10"/>
        <v>-12059.331771229972</v>
      </c>
      <c r="AD9" s="283">
        <f t="shared" si="10"/>
        <v>12059.331771229972</v>
      </c>
      <c r="AE9" s="283">
        <f t="shared" si="10"/>
        <v>8088.1602692134111</v>
      </c>
      <c r="AF9" s="283">
        <f t="shared" si="10"/>
        <v>-5783.0918757284635</v>
      </c>
      <c r="AG9" s="283">
        <f t="shared" si="10"/>
        <v>-12059.331771229972</v>
      </c>
      <c r="AH9" s="283">
        <f t="shared" si="10"/>
        <v>2275.0373747583144</v>
      </c>
      <c r="AI9" s="283">
        <f t="shared" si="10"/>
        <v>-2275.0373747583144</v>
      </c>
      <c r="AJ9" s="283">
        <f t="shared" si="10"/>
        <v>-2175.8755026199806</v>
      </c>
      <c r="AK9" s="283">
        <f t="shared" si="10"/>
        <v>-12059.331771229972</v>
      </c>
      <c r="AL9" s="283">
        <f t="shared" si="10"/>
        <v>8088.1602692134111</v>
      </c>
      <c r="AM9" s="283">
        <f t="shared" si="10"/>
        <v>4917.1070661666472</v>
      </c>
      <c r="AN9" s="283">
        <f t="shared" si="10"/>
        <v>4917.1070661666472</v>
      </c>
      <c r="AO9" s="283">
        <f t="shared" si="10"/>
        <v>2175.8755026199806</v>
      </c>
      <c r="AP9" s="283">
        <f t="shared" si="10"/>
        <v>8088.1602692134111</v>
      </c>
    </row>
    <row r="10" spans="1:42" outlineLevel="1" x14ac:dyDescent="0.25">
      <c r="B10">
        <f>SUM(B2:B9)</f>
        <v>71</v>
      </c>
      <c r="C10" s="193">
        <f t="shared" si="12"/>
        <v>1</v>
      </c>
      <c r="D10" s="126"/>
      <c r="F10" s="294">
        <f>SUMIFS(H$14:H$92,H$14:H$92,1,$C$14:$C$92,"&lt;&gt;offline")/$B10</f>
        <v>0.22535211267605634</v>
      </c>
      <c r="G10" s="167">
        <f>SUM(G2:G9)</f>
        <v>63685.325149396784</v>
      </c>
      <c r="H10" s="143">
        <f t="shared" si="5"/>
        <v>896.9764105548843</v>
      </c>
      <c r="I10">
        <f>SUM(F14:F92)/B10</f>
        <v>-648.37178185750861</v>
      </c>
      <c r="J10" s="137"/>
      <c r="K10" s="6"/>
      <c r="L10" s="292"/>
      <c r="M10" s="286"/>
      <c r="N10" s="292"/>
      <c r="O10" s="6"/>
      <c r="R10" s="6"/>
      <c r="S10" s="286"/>
      <c r="T10" s="286"/>
      <c r="U10" s="286"/>
      <c r="V10" s="6"/>
      <c r="W10" s="286"/>
      <c r="X10" s="6"/>
      <c r="Y10" s="6" t="s">
        <v>1245</v>
      </c>
      <c r="Z10" s="284">
        <f>SUM(Z2:Z9)</f>
        <v>63685.325149396784</v>
      </c>
      <c r="AA10" s="284">
        <f t="shared" ref="AA10:AP10" si="14">SUM(AA2:AA9)</f>
        <v>-20090.04922252657</v>
      </c>
      <c r="AB10" s="284">
        <f t="shared" si="14"/>
        <v>20090.04922252657</v>
      </c>
      <c r="AC10" s="284">
        <f t="shared" si="14"/>
        <v>-4578.8752259103221</v>
      </c>
      <c r="AD10" s="284">
        <f t="shared" si="14"/>
        <v>4578.8752259103221</v>
      </c>
      <c r="AE10" s="284">
        <f t="shared" si="14"/>
        <v>16068.381171042831</v>
      </c>
      <c r="AF10" s="284">
        <f t="shared" si="14"/>
        <v>-6592.4509723021956</v>
      </c>
      <c r="AG10" s="284">
        <f t="shared" si="14"/>
        <v>-12101.913702741356</v>
      </c>
      <c r="AH10" s="284">
        <f t="shared" si="14"/>
        <v>-19650.12872917729</v>
      </c>
      <c r="AI10" s="284">
        <f t="shared" ref="AI10" si="15">SUM(AI2:AI9)</f>
        <v>19650.12872917729</v>
      </c>
      <c r="AJ10" s="284">
        <f t="shared" si="14"/>
        <v>-7941.9442960288134</v>
      </c>
      <c r="AK10" s="284">
        <f t="shared" si="14"/>
        <v>-1150.4390504975181</v>
      </c>
      <c r="AL10" s="284">
        <f t="shared" si="14"/>
        <v>4906.3028945365459</v>
      </c>
      <c r="AM10" s="284">
        <f t="shared" si="14"/>
        <v>12359.855425135342</v>
      </c>
      <c r="AN10" s="284">
        <f t="shared" si="14"/>
        <v>11974.341316937658</v>
      </c>
      <c r="AO10" s="284">
        <f t="shared" si="14"/>
        <v>9158.7426462046715</v>
      </c>
      <c r="AP10" s="284">
        <f t="shared" si="14"/>
        <v>17201.192298741473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63685</v>
      </c>
      <c r="AA12" s="308" t="str">
        <f t="shared" si="16"/>
        <v>RISK-ON ACC 41% PNL -20090</v>
      </c>
      <c r="AB12" s="308" t="str">
        <f t="shared" si="16"/>
        <v>RISK-OFF ACC 61% PNL 20090</v>
      </c>
      <c r="AC12" s="308" t="str">
        <f t="shared" si="16"/>
        <v>Previous ACC 49% PNL -4579</v>
      </c>
      <c r="AD12" s="337" t="str">
        <f t="shared" si="16"/>
        <v>Anti-Previous ACC 52% PNL 4579</v>
      </c>
      <c r="AE12" s="338" t="str">
        <f t="shared" si="16"/>
        <v>&gt;equity ACC 62% PNL 16068</v>
      </c>
      <c r="AF12" s="338" t="str">
        <f t="shared" si="16"/>
        <v>50/50 ACC 42% PNL -6592</v>
      </c>
      <c r="AG12" s="338" t="str">
        <f t="shared" si="16"/>
        <v>&lt;equity ACC 44% PNL -12102</v>
      </c>
      <c r="AH12" s="339" t="str">
        <f t="shared" si="16"/>
        <v>SEASONALITY ACC 37% PNL -19650</v>
      </c>
      <c r="AI12" s="339" t="str">
        <f t="shared" si="16"/>
        <v>ANTI-SEASONALITY ACC 65% PNL 19650</v>
      </c>
      <c r="AJ12" s="339" t="str">
        <f t="shared" si="16"/>
        <v>ADJ_SEASONALITY ACC 51% PNL -7942</v>
      </c>
      <c r="AK12" s="340" t="str">
        <f t="shared" si="16"/>
        <v>V1 ACC 51% PNL -1150</v>
      </c>
      <c r="AL12" s="340" t="str">
        <f t="shared" si="16"/>
        <v>V2 ACC 58% PNL 4906</v>
      </c>
      <c r="AM12" s="340" t="str">
        <f t="shared" si="16"/>
        <v>V3 ACC 55% PNL 12360</v>
      </c>
      <c r="AN12" s="340" t="str">
        <f t="shared" si="16"/>
        <v>V4 ACC 56% PNL 11974</v>
      </c>
      <c r="AO12" s="340" t="str">
        <f t="shared" si="16"/>
        <v>V5 ACC 54% PNL 9159</v>
      </c>
      <c r="AP12" s="340" t="str">
        <f t="shared" si="16"/>
        <v>V6 ACC 62% PNL 17201</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858300.99064841692</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28" t="s">
        <v>287</v>
      </c>
      <c r="B14" s="329" t="s">
        <v>558</v>
      </c>
      <c r="C14" s="330" t="s">
        <v>1285</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7968</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H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21726.143999999997</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4685</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8889</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54487.5</v>
      </c>
      <c r="Y19" s="137">
        <v>13500</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123400</v>
      </c>
      <c r="Y20" s="137">
        <v>9000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10428</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28" t="s">
        <v>307</v>
      </c>
      <c r="B22" s="329" t="s">
        <v>484</v>
      </c>
      <c r="C22" s="330" t="s">
        <v>1285</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14804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12992.099999999999</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13327.38</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28" t="s">
        <v>320</v>
      </c>
      <c r="B29" s="329" t="s">
        <v>564</v>
      </c>
      <c r="C29" s="330" t="s">
        <v>1285</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14250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15750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8436</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2449.7791999999999</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17434.559999999998</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28" t="s">
        <v>335</v>
      </c>
      <c r="B36" s="329" t="s">
        <v>568</v>
      </c>
      <c r="C36" s="330" t="s">
        <v>1285</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16638.4218</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15369.6543</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28" t="s">
        <v>341</v>
      </c>
      <c r="B39" s="329" t="s">
        <v>453</v>
      </c>
      <c r="C39" s="330" t="s">
        <v>1285</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7000</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11250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15115.9793814433</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111850</v>
      </c>
      <c r="Y43" s="137">
        <v>5750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25265.463917525773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11970</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7894</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15000</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84000</v>
      </c>
      <c r="Y48" s="137">
        <v>7000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330" t="s">
        <v>1285</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108339</v>
      </c>
      <c r="Y49" s="137">
        <v>7311</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6750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10000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8800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104600</v>
      </c>
      <c r="Y53" s="137">
        <v>6000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126980</v>
      </c>
      <c r="Y54" s="137">
        <v>15640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8312</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9572</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25145.999999999996</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18496</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17875</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9054</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6495</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12500</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15000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6750</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4376</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10500</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6192</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12236</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6850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87247.451343836889</v>
      </c>
      <c r="Y70" s="137">
        <v>4299.8239032233369</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15250</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12000</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33606</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1296</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6756</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1019273.6631398341</v>
      </c>
      <c r="Y76" s="137">
        <v>1975.1135690302192</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74140</v>
      </c>
      <c r="Y77" s="137">
        <v>12000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26336.136177194425</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6246.24</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H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11250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16205.199999999997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13500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1749875</v>
      </c>
      <c r="Y83" s="137">
        <v>8244</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6248</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9124</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26148</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14000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19499.594399999998</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28" t="s">
        <v>1054</v>
      </c>
      <c r="B89" s="329" t="s">
        <v>463</v>
      </c>
      <c r="C89" s="330" t="s">
        <v>1285</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16248</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12326.4</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12518.999999999998</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0.40845070422535212</v>
      </c>
      <c r="AB94" s="193">
        <f t="shared" si="68"/>
        <v>0.60563380281690138</v>
      </c>
      <c r="AC94" s="193">
        <f t="shared" ref="AC94" si="69">COUNTIF(AC14:AC92,"&gt;0")/$B$10</f>
        <v>0.49295774647887325</v>
      </c>
      <c r="AD94" s="193">
        <f t="shared" si="68"/>
        <v>0.52112676056338025</v>
      </c>
      <c r="AE94" s="193">
        <f t="shared" si="68"/>
        <v>0.61971830985915488</v>
      </c>
      <c r="AF94" s="193">
        <f t="shared" si="68"/>
        <v>0.42253521126760563</v>
      </c>
      <c r="AG94" s="193">
        <f t="shared" si="68"/>
        <v>0.43661971830985913</v>
      </c>
      <c r="AH94" s="193">
        <f t="shared" si="68"/>
        <v>0.36619718309859156</v>
      </c>
      <c r="AI94" s="193">
        <f t="shared" ref="AI94" si="70">COUNTIF(AI14:AI92,"&gt;0")/$B$10</f>
        <v>0.647887323943662</v>
      </c>
      <c r="AJ94" s="193">
        <f t="shared" si="68"/>
        <v>0.50704225352112675</v>
      </c>
      <c r="AK94" s="193">
        <f t="shared" si="68"/>
        <v>0.50704225352112675</v>
      </c>
      <c r="AL94" s="193">
        <f t="shared" si="68"/>
        <v>0.57746478873239437</v>
      </c>
      <c r="AM94" s="193">
        <f t="shared" si="68"/>
        <v>0.54929577464788737</v>
      </c>
      <c r="AN94" s="193">
        <f t="shared" si="68"/>
        <v>0.56338028169014087</v>
      </c>
      <c r="AO94" s="193">
        <f t="shared" si="68"/>
        <v>0.53521126760563376</v>
      </c>
      <c r="AP94" s="193">
        <f t="shared" si="68"/>
        <v>0.61971830985915488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1294</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1" t="str">
        <f t="shared" ref="Z1:AP1" si="1">Z12</f>
        <v>MAX ACC 100% PNL 82092</v>
      </c>
      <c r="AA1" s="332" t="str">
        <f t="shared" si="1"/>
        <v>RISK-ON ACC 77% PNL 48185</v>
      </c>
      <c r="AB1" s="332" t="str">
        <f t="shared" si="1"/>
        <v>RISK-OFF ACC 23% PNL -48185</v>
      </c>
      <c r="AC1" s="332" t="str">
        <f t="shared" ref="AC1" si="2">AC12</f>
        <v>Previous ACC 38% PNL -20639</v>
      </c>
      <c r="AD1" s="295" t="str">
        <f t="shared" si="1"/>
        <v>Anti-Previous ACC 62% PNL 20639</v>
      </c>
      <c r="AE1" s="333" t="str">
        <f t="shared" si="1"/>
        <v>&gt;equity ACC 39% PNL -15049</v>
      </c>
      <c r="AF1" s="333" t="str">
        <f t="shared" si="1"/>
        <v>50/50 ACC 52% PNL -1523</v>
      </c>
      <c r="AG1" s="333" t="str">
        <f t="shared" si="1"/>
        <v>&lt;equity ACC 54% PNL -2453</v>
      </c>
      <c r="AH1" s="334" t="str">
        <f t="shared" si="1"/>
        <v>SEASONALITY ACC 48% PNL -1829</v>
      </c>
      <c r="AI1" s="334" t="str">
        <f t="shared" si="1"/>
        <v>ANTI-SEASONALITY ACC 52% PNL 1829</v>
      </c>
      <c r="AJ1" s="334" t="str">
        <f t="shared" si="1"/>
        <v>ADJ_SEASONALITY ACC 54% PNL 9866</v>
      </c>
      <c r="AK1" s="335" t="str">
        <f t="shared" si="1"/>
        <v>V1 ACC 44% PNL -11352</v>
      </c>
      <c r="AL1" s="335" t="str">
        <f t="shared" si="1"/>
        <v>V2 ACC 51% PNL 2597</v>
      </c>
      <c r="AM1" s="335" t="str">
        <f t="shared" si="1"/>
        <v>V3 ACC 59% PNL 11136</v>
      </c>
      <c r="AN1" s="335" t="str">
        <f t="shared" si="1"/>
        <v>V4 ACC 56% PNL 9015</v>
      </c>
      <c r="AO1" s="335" t="str">
        <f t="shared" si="1"/>
        <v>V5 ACC 41% PNL -16637</v>
      </c>
      <c r="AP1" s="335" t="str">
        <f t="shared" si="1"/>
        <v>V6 ACC 51% PNL 7691</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2">
        <f t="shared" ref="K2:K9" si="7">SUMIF($C$14:$C$92,$A2,E$14:E$92)/$B2</f>
        <v>-0.1111111111111111</v>
      </c>
      <c r="L2" s="342">
        <f t="shared" ref="L2:O9" si="8">SUMIF($C$14:$C$92,$A2,I$14:I$92)/$B2</f>
        <v>0.55555555555555558</v>
      </c>
      <c r="M2" s="342">
        <f t="shared" si="8"/>
        <v>-0.1111111111111111</v>
      </c>
      <c r="N2" s="342">
        <f t="shared" si="8"/>
        <v>0.55555555555555558</v>
      </c>
      <c r="O2" s="342">
        <f t="shared" si="8"/>
        <v>0.55555555555555558</v>
      </c>
      <c r="P2" s="342">
        <f t="shared" ref="P2:V9" si="9">SUMIF($C$14:$C$92,$A2,O$14:O$92)/$B2</f>
        <v>0.1111111111111111</v>
      </c>
      <c r="Q2" s="342">
        <f t="shared" si="9"/>
        <v>-0.1111111111111111</v>
      </c>
      <c r="R2" s="342">
        <f t="shared" si="9"/>
        <v>0.1111111111111111</v>
      </c>
      <c r="S2" s="342">
        <f t="shared" si="9"/>
        <v>0.1111111111111111</v>
      </c>
      <c r="T2" s="342">
        <f t="shared" si="9"/>
        <v>0.1111111111111111</v>
      </c>
      <c r="U2" s="342">
        <f t="shared" si="9"/>
        <v>-0.1111111111111111</v>
      </c>
      <c r="V2" s="342">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8.4507042253521125E-2</v>
      </c>
      <c r="F3" s="294">
        <f t="shared" si="3"/>
        <v>1</v>
      </c>
      <c r="G3" s="137">
        <f t="shared" si="4"/>
        <v>8331.2707107000333</v>
      </c>
      <c r="H3" s="143">
        <f t="shared" si="5"/>
        <v>1388.5451184500055</v>
      </c>
      <c r="I3" s="186">
        <f t="shared" ref="I3:I9" si="13">SUMIF($C$14:$C$92,A3,F$14:F$92)/B3</f>
        <v>1388.5451184500055</v>
      </c>
      <c r="J3" t="str">
        <f t="shared" si="6"/>
        <v>energy</v>
      </c>
      <c r="K3" s="342">
        <f t="shared" si="7"/>
        <v>-0.66666666666666663</v>
      </c>
      <c r="L3" s="342">
        <f t="shared" si="8"/>
        <v>-0.66666666666666663</v>
      </c>
      <c r="M3" s="342">
        <f t="shared" si="8"/>
        <v>-0.66666666666666663</v>
      </c>
      <c r="N3" s="342">
        <f t="shared" si="8"/>
        <v>-0.33333333333333331</v>
      </c>
      <c r="O3" s="342">
        <f t="shared" si="8"/>
        <v>-0.33333333333333331</v>
      </c>
      <c r="P3" s="342">
        <f t="shared" si="9"/>
        <v>0</v>
      </c>
      <c r="Q3" s="342">
        <f t="shared" si="9"/>
        <v>-0.66666666666666663</v>
      </c>
      <c r="R3" s="342">
        <f t="shared" si="9"/>
        <v>0</v>
      </c>
      <c r="S3" s="342">
        <f t="shared" si="9"/>
        <v>0.33333333333333331</v>
      </c>
      <c r="T3" s="342">
        <f t="shared" si="9"/>
        <v>0</v>
      </c>
      <c r="U3" s="342">
        <f t="shared" si="9"/>
        <v>0</v>
      </c>
      <c r="V3" s="342">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0.14084507042253522</v>
      </c>
      <c r="F4" s="294">
        <f t="shared" si="3"/>
        <v>0</v>
      </c>
      <c r="G4" s="137">
        <f t="shared" si="4"/>
        <v>13331.902139529575</v>
      </c>
      <c r="H4" s="143">
        <f t="shared" si="5"/>
        <v>1333.1902139529575</v>
      </c>
      <c r="I4" s="186">
        <f t="shared" si="13"/>
        <v>-1333.1902139529575</v>
      </c>
      <c r="J4" t="str">
        <f t="shared" si="6"/>
        <v>grain</v>
      </c>
      <c r="K4" s="342">
        <f t="shared" si="7"/>
        <v>0.6</v>
      </c>
      <c r="L4" s="342">
        <f t="shared" si="8"/>
        <v>0.4</v>
      </c>
      <c r="M4" s="342">
        <f t="shared" si="8"/>
        <v>0.4</v>
      </c>
      <c r="N4" s="342">
        <f t="shared" si="8"/>
        <v>0.8</v>
      </c>
      <c r="O4" s="342">
        <f t="shared" si="8"/>
        <v>-0.6</v>
      </c>
      <c r="P4" s="342">
        <f t="shared" si="9"/>
        <v>0</v>
      </c>
      <c r="Q4" s="342">
        <f t="shared" si="9"/>
        <v>0.8</v>
      </c>
      <c r="R4" s="342">
        <f t="shared" si="9"/>
        <v>-0.2</v>
      </c>
      <c r="S4" s="342">
        <f t="shared" si="9"/>
        <v>0.2</v>
      </c>
      <c r="T4" s="342">
        <f t="shared" si="9"/>
        <v>0.2</v>
      </c>
      <c r="U4" s="342">
        <f t="shared" si="9"/>
        <v>-0.2</v>
      </c>
      <c r="V4" s="342">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0.29577464788732394</v>
      </c>
      <c r="F5" s="294">
        <f t="shared" si="3"/>
        <v>0.90476190476190477</v>
      </c>
      <c r="G5" s="137">
        <f t="shared" si="4"/>
        <v>20766.181845379964</v>
      </c>
      <c r="H5" s="143">
        <f t="shared" si="5"/>
        <v>988.86580216095069</v>
      </c>
      <c r="I5" s="186">
        <f t="shared" si="13"/>
        <v>939.55858754486133</v>
      </c>
      <c r="J5" t="str">
        <f t="shared" si="6"/>
        <v>index</v>
      </c>
      <c r="K5" s="342">
        <f t="shared" si="7"/>
        <v>-0.14285714285714285</v>
      </c>
      <c r="L5" s="342">
        <f t="shared" si="8"/>
        <v>0.61904761904761907</v>
      </c>
      <c r="M5" s="342">
        <f t="shared" si="8"/>
        <v>-0.42857142857142855</v>
      </c>
      <c r="N5" s="342">
        <f t="shared" si="8"/>
        <v>0.7142857142857143</v>
      </c>
      <c r="O5" s="342">
        <f t="shared" si="8"/>
        <v>-0.33333333333333331</v>
      </c>
      <c r="P5" s="342">
        <f t="shared" si="9"/>
        <v>0.23809523809523808</v>
      </c>
      <c r="Q5" s="342">
        <f t="shared" si="9"/>
        <v>0.52380952380952384</v>
      </c>
      <c r="R5" s="342">
        <f t="shared" si="9"/>
        <v>4.7619047619047616E-2</v>
      </c>
      <c r="S5" s="342">
        <f t="shared" si="9"/>
        <v>0.42857142857142855</v>
      </c>
      <c r="T5" s="342">
        <f t="shared" si="9"/>
        <v>0.52380952380952384</v>
      </c>
      <c r="U5" s="342">
        <f t="shared" si="9"/>
        <v>-0.52380952380952384</v>
      </c>
      <c r="V5" s="342">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4.2253521126760563E-2</v>
      </c>
      <c r="F6" s="294">
        <f t="shared" si="3"/>
        <v>0.66666666666666663</v>
      </c>
      <c r="G6" s="137">
        <f t="shared" si="4"/>
        <v>4254.193545903654</v>
      </c>
      <c r="H6" s="143">
        <f t="shared" si="5"/>
        <v>1418.0645153012181</v>
      </c>
      <c r="I6" s="186">
        <f t="shared" si="13"/>
        <v>1258.4198076773098</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7.0422535211267609E-2</v>
      </c>
      <c r="F7" s="294">
        <f t="shared" si="3"/>
        <v>0.6</v>
      </c>
      <c r="G7" s="137">
        <f t="shared" si="4"/>
        <v>3570.0408109290897</v>
      </c>
      <c r="H7" s="143">
        <f t="shared" si="5"/>
        <v>714.00816218581792</v>
      </c>
      <c r="I7" s="186">
        <f t="shared" si="13"/>
        <v>80.688516530282982</v>
      </c>
      <c r="J7" t="str">
        <f t="shared" si="6"/>
        <v>metal</v>
      </c>
      <c r="K7" s="342">
        <f t="shared" si="7"/>
        <v>1</v>
      </c>
      <c r="L7" s="342">
        <f t="shared" si="8"/>
        <v>0.2</v>
      </c>
      <c r="M7" s="342">
        <f t="shared" si="8"/>
        <v>0.2</v>
      </c>
      <c r="N7" s="342">
        <f t="shared" si="8"/>
        <v>0.2</v>
      </c>
      <c r="O7" s="342">
        <f t="shared" si="8"/>
        <v>0.6</v>
      </c>
      <c r="P7" s="342">
        <f t="shared" si="9"/>
        <v>0.6</v>
      </c>
      <c r="Q7" s="342">
        <f t="shared" si="9"/>
        <v>0.2</v>
      </c>
      <c r="R7" s="342">
        <f t="shared" si="9"/>
        <v>0.2</v>
      </c>
      <c r="S7" s="342">
        <f t="shared" si="9"/>
        <v>-0.6</v>
      </c>
      <c r="T7" s="342">
        <f t="shared" si="9"/>
        <v>-0.2</v>
      </c>
      <c r="U7" s="342">
        <f t="shared" si="9"/>
        <v>0.2</v>
      </c>
      <c r="V7" s="342">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0.14084507042253522</v>
      </c>
      <c r="F8" s="294">
        <f t="shared" si="3"/>
        <v>0.2</v>
      </c>
      <c r="G8" s="137">
        <f t="shared" si="4"/>
        <v>10625.215527347287</v>
      </c>
      <c r="H8" s="143">
        <f t="shared" si="5"/>
        <v>1062.5215527347286</v>
      </c>
      <c r="I8" s="186">
        <f t="shared" si="13"/>
        <v>-909.22533291271918</v>
      </c>
      <c r="J8" t="str">
        <f t="shared" si="6"/>
        <v>rates</v>
      </c>
      <c r="K8" s="342">
        <f t="shared" si="7"/>
        <v>0.4</v>
      </c>
      <c r="L8" s="342">
        <f t="shared" si="8"/>
        <v>0.4</v>
      </c>
      <c r="M8" s="342">
        <f t="shared" si="8"/>
        <v>-0.4</v>
      </c>
      <c r="N8" s="342">
        <f t="shared" si="8"/>
        <v>0.6</v>
      </c>
      <c r="O8" s="342">
        <f t="shared" si="8"/>
        <v>1</v>
      </c>
      <c r="P8" s="342">
        <f t="shared" si="9"/>
        <v>0</v>
      </c>
      <c r="Q8" s="342">
        <f t="shared" si="9"/>
        <v>0.2</v>
      </c>
      <c r="R8" s="342">
        <f t="shared" si="9"/>
        <v>-0.4</v>
      </c>
      <c r="S8" s="342">
        <f t="shared" si="9"/>
        <v>-0.6</v>
      </c>
      <c r="T8" s="342">
        <f t="shared" si="9"/>
        <v>-0.4</v>
      </c>
      <c r="U8" s="342">
        <f t="shared" si="9"/>
        <v>0</v>
      </c>
      <c r="V8" s="342">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7</v>
      </c>
      <c r="C9" s="200">
        <f t="shared" si="12"/>
        <v>9.8591549295774641E-2</v>
      </c>
      <c r="D9" s="126"/>
      <c r="F9" s="294">
        <f t="shared" si="3"/>
        <v>1</v>
      </c>
      <c r="G9" s="199">
        <f t="shared" si="4"/>
        <v>10751.980140395195</v>
      </c>
      <c r="H9" s="143">
        <f t="shared" si="5"/>
        <v>1535.9971629135994</v>
      </c>
      <c r="I9" s="186">
        <f t="shared" si="13"/>
        <v>1535.9971629135994</v>
      </c>
      <c r="J9" t="str">
        <f t="shared" si="6"/>
        <v>soft</v>
      </c>
      <c r="K9" s="342">
        <f t="shared" si="7"/>
        <v>0.42857142857142855</v>
      </c>
      <c r="L9" s="342">
        <f t="shared" si="8"/>
        <v>0.14285714285714285</v>
      </c>
      <c r="M9" s="342">
        <f t="shared" si="8"/>
        <v>-0.7142857142857143</v>
      </c>
      <c r="N9" s="342">
        <f t="shared" si="8"/>
        <v>0.7142857142857143</v>
      </c>
      <c r="O9" s="342">
        <f t="shared" si="8"/>
        <v>0.14285714285714285</v>
      </c>
      <c r="P9" s="342">
        <f t="shared" si="9"/>
        <v>-0.14285714285714285</v>
      </c>
      <c r="Q9" s="342">
        <f t="shared" si="9"/>
        <v>0.42857142857142855</v>
      </c>
      <c r="R9" s="342">
        <f t="shared" si="9"/>
        <v>-0.7142857142857143</v>
      </c>
      <c r="S9" s="342">
        <f t="shared" si="9"/>
        <v>-0.42857142857142855</v>
      </c>
      <c r="T9" s="342">
        <f t="shared" si="9"/>
        <v>-0.42857142857142855</v>
      </c>
      <c r="U9" s="342">
        <f t="shared" si="9"/>
        <v>-0.14285714285714285</v>
      </c>
      <c r="V9" s="342">
        <f t="shared" si="9"/>
        <v>-0.7142857142857143</v>
      </c>
      <c r="W9" s="286"/>
      <c r="X9" s="6"/>
      <c r="Y9" s="17" t="s">
        <v>304</v>
      </c>
      <c r="Z9" s="283">
        <f t="shared" si="10"/>
        <v>10751.980140395195</v>
      </c>
      <c r="AA9" s="283">
        <f t="shared" si="10"/>
        <v>10751.980140395195</v>
      </c>
      <c r="AB9" s="283">
        <f t="shared" si="10"/>
        <v>-10751.980140395195</v>
      </c>
      <c r="AC9" s="283">
        <f t="shared" si="10"/>
        <v>6039.8648232151427</v>
      </c>
      <c r="AD9" s="283">
        <f t="shared" si="10"/>
        <v>-6039.8648232151427</v>
      </c>
      <c r="AE9" s="283">
        <f t="shared" si="10"/>
        <v>-8993.2496281496205</v>
      </c>
      <c r="AF9" s="283">
        <f t="shared" si="10"/>
        <v>3835.8483266436006</v>
      </c>
      <c r="AG9" s="283">
        <f t="shared" si="10"/>
        <v>7914.2219957206671</v>
      </c>
      <c r="AH9" s="283">
        <f t="shared" si="10"/>
        <v>4176.1462265724358</v>
      </c>
      <c r="AI9" s="283">
        <f t="shared" si="10"/>
        <v>-4176.1462265724358</v>
      </c>
      <c r="AJ9" s="283">
        <f t="shared" si="10"/>
        <v>1654.5879028562422</v>
      </c>
      <c r="AK9" s="283">
        <f t="shared" si="10"/>
        <v>4960.8371907861892</v>
      </c>
      <c r="AL9" s="283">
        <f t="shared" si="10"/>
        <v>-8993.2496281496205</v>
      </c>
      <c r="AM9" s="283">
        <f t="shared" si="10"/>
        <v>-5301.1350907150245</v>
      </c>
      <c r="AN9" s="283">
        <f t="shared" si="10"/>
        <v>-5301.1350907150245</v>
      </c>
      <c r="AO9" s="283">
        <f t="shared" si="10"/>
        <v>-4607.9727077907201</v>
      </c>
      <c r="AP9" s="283">
        <f t="shared" si="10"/>
        <v>-8993.2496281496205</v>
      </c>
    </row>
    <row r="10" spans="1:42" outlineLevel="1" x14ac:dyDescent="0.25">
      <c r="B10">
        <f>SUM(B2:B9)</f>
        <v>71</v>
      </c>
      <c r="C10" s="193">
        <f t="shared" si="12"/>
        <v>1</v>
      </c>
      <c r="D10" s="126"/>
      <c r="F10" s="294">
        <f>SUMIFS(H$14:H$92,H$14:H$92,1,$C$14:$C$92,"&lt;&gt;offline")/$B10</f>
        <v>0.63380281690140849</v>
      </c>
      <c r="G10" s="167">
        <f>SUM(G2:G9)</f>
        <v>82092.050348841163</v>
      </c>
      <c r="H10" s="143">
        <f t="shared" si="5"/>
        <v>1156.2260612512839</v>
      </c>
      <c r="I10">
        <f>SUM(F14:F92)/B10</f>
        <v>336.07509368103825</v>
      </c>
      <c r="J10" s="137"/>
      <c r="K10" s="6"/>
      <c r="L10" s="292"/>
      <c r="M10" s="286"/>
      <c r="N10" s="292"/>
      <c r="O10" s="6"/>
      <c r="R10" s="6"/>
      <c r="S10" s="286"/>
      <c r="T10" s="286"/>
      <c r="U10" s="286"/>
      <c r="V10" s="6"/>
      <c r="W10" s="286"/>
      <c r="X10" s="6"/>
      <c r="Y10" s="6" t="s">
        <v>1245</v>
      </c>
      <c r="Z10" s="284">
        <f>SUM(Z2:Z9)</f>
        <v>82092.050348841163</v>
      </c>
      <c r="AA10" s="284">
        <f t="shared" ref="AA10:AP10" si="14">SUM(AA2:AA9)</f>
        <v>48184.958465963959</v>
      </c>
      <c r="AB10" s="284">
        <f t="shared" si="14"/>
        <v>-48184.958465963959</v>
      </c>
      <c r="AC10" s="284">
        <f t="shared" si="14"/>
        <v>-20639.383886764295</v>
      </c>
      <c r="AD10" s="284">
        <f t="shared" si="14"/>
        <v>20639.383886764295</v>
      </c>
      <c r="AE10" s="284">
        <f t="shared" si="14"/>
        <v>-15048.877479352906</v>
      </c>
      <c r="AF10" s="284">
        <f t="shared" si="14"/>
        <v>-1523.0301730769097</v>
      </c>
      <c r="AG10" s="284">
        <f t="shared" si="14"/>
        <v>-2452.7952689196063</v>
      </c>
      <c r="AH10" s="284">
        <f t="shared" si="14"/>
        <v>-1828.5028966785003</v>
      </c>
      <c r="AI10" s="284">
        <f t="shared" ref="AI10" si="15">SUM(AI2:AI9)</f>
        <v>1828.5028966785003</v>
      </c>
      <c r="AJ10" s="284">
        <f t="shared" si="14"/>
        <v>9866.3134733239822</v>
      </c>
      <c r="AK10" s="284">
        <f t="shared" si="14"/>
        <v>-11351.750099505234</v>
      </c>
      <c r="AL10" s="284">
        <f t="shared" si="14"/>
        <v>2596.7947863655954</v>
      </c>
      <c r="AM10" s="284">
        <f t="shared" si="14"/>
        <v>11136.075385244772</v>
      </c>
      <c r="AN10" s="284">
        <f t="shared" si="14"/>
        <v>9014.7332017123535</v>
      </c>
      <c r="AO10" s="284">
        <f t="shared" si="14"/>
        <v>-16636.684249104823</v>
      </c>
      <c r="AP10" s="284">
        <f t="shared" si="14"/>
        <v>7690.5201468264022</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82092</v>
      </c>
      <c r="AA12" s="308" t="str">
        <f t="shared" si="16"/>
        <v>RISK-ON ACC 77% PNL 48185</v>
      </c>
      <c r="AB12" s="308" t="str">
        <f t="shared" si="16"/>
        <v>RISK-OFF ACC 23% PNL -48185</v>
      </c>
      <c r="AC12" s="308" t="str">
        <f t="shared" si="16"/>
        <v>Previous ACC 38% PNL -20639</v>
      </c>
      <c r="AD12" s="337" t="str">
        <f t="shared" si="16"/>
        <v>Anti-Previous ACC 62% PNL 20639</v>
      </c>
      <c r="AE12" s="338" t="str">
        <f t="shared" si="16"/>
        <v>&gt;equity ACC 39% PNL -15049</v>
      </c>
      <c r="AF12" s="338" t="str">
        <f t="shared" si="16"/>
        <v>50/50 ACC 52% PNL -1523</v>
      </c>
      <c r="AG12" s="338" t="str">
        <f t="shared" si="16"/>
        <v>&lt;equity ACC 54% PNL -2453</v>
      </c>
      <c r="AH12" s="339" t="str">
        <f t="shared" si="16"/>
        <v>SEASONALITY ACC 48% PNL -1829</v>
      </c>
      <c r="AI12" s="339" t="str">
        <f t="shared" si="16"/>
        <v>ANTI-SEASONALITY ACC 52% PNL 1829</v>
      </c>
      <c r="AJ12" s="339" t="str">
        <f t="shared" si="16"/>
        <v>ADJ_SEASONALITY ACC 54% PNL 9866</v>
      </c>
      <c r="AK12" s="340" t="str">
        <f t="shared" si="16"/>
        <v>V1 ACC 44% PNL -11352</v>
      </c>
      <c r="AL12" s="340" t="str">
        <f t="shared" si="16"/>
        <v>V2 ACC 51% PNL 2597</v>
      </c>
      <c r="AM12" s="340" t="str">
        <f t="shared" si="16"/>
        <v>V3 ACC 59% PNL 11136</v>
      </c>
      <c r="AN12" s="340" t="str">
        <f t="shared" si="16"/>
        <v>V4 ACC 56% PNL 9015</v>
      </c>
      <c r="AO12" s="340" t="str">
        <f t="shared" si="16"/>
        <v>V5 ACC 41% PNL -16637</v>
      </c>
      <c r="AP12" s="340" t="str">
        <f t="shared" si="16"/>
        <v>V6 ACC 51% PNL 7691</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858300.99064841692</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28" t="s">
        <v>287</v>
      </c>
      <c r="B14" s="329" t="s">
        <v>558</v>
      </c>
      <c r="C14" s="330" t="s">
        <v>1285</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7968</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H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21726.143999999997</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4685</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8889</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53662.5</v>
      </c>
      <c r="Y19" s="137">
        <v>13500</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126280</v>
      </c>
      <c r="Y20" s="137">
        <v>9000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10428</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28" t="s">
        <v>307</v>
      </c>
      <c r="B22" s="329" t="s">
        <v>484</v>
      </c>
      <c r="C22" s="330" t="s">
        <v>1285</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9180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4503</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21792</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14804</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12992.099999999999</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13327.38</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28" t="s">
        <v>320</v>
      </c>
      <c r="B29" s="329" t="s">
        <v>564</v>
      </c>
      <c r="C29" s="330" t="s">
        <v>1285</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15750</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8436</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2449.7791999999999</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17434.559999999998</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28" t="s">
        <v>335</v>
      </c>
      <c r="B36" s="329" t="s">
        <v>568</v>
      </c>
      <c r="C36" s="330" t="s">
        <v>1285</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16638.4218</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15369.6543</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28" t="s">
        <v>341</v>
      </c>
      <c r="B39" s="329" t="s">
        <v>453</v>
      </c>
      <c r="C39" s="330" t="s">
        <v>1285</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7000</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11250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15115.9793814433</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112150</v>
      </c>
      <c r="Y43" s="137">
        <v>5750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25265.463917525773</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11970</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7894</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15000</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83550</v>
      </c>
      <c r="Y48" s="137">
        <v>7000</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330" t="s">
        <v>1285</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109989</v>
      </c>
      <c r="Y49" s="137">
        <v>7311</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6750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10000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8800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107840.00000000001</v>
      </c>
      <c r="Y53" s="137">
        <v>6000</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128940</v>
      </c>
      <c r="Y54" s="137">
        <v>15640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8312</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9572</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25145.999999999996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18496</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9054</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12500</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15000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6750</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4376</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10500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6192</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12236</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6850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81405.631836164772</v>
      </c>
      <c r="Y70" s="137">
        <v>4299.8239032233369</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15250</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12000</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33606</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1296</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6756</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1018863.808801214</v>
      </c>
      <c r="Y76" s="137">
        <v>1975.1135690302192</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73640</v>
      </c>
      <c r="Y77" s="137">
        <v>12000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26336.136177194425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6246.24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H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11250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16205.199999999997</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13500</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1750750</v>
      </c>
      <c r="Y83" s="137">
        <v>8244</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6248</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9124</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26148</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14000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19499.594399999998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28" t="s">
        <v>1054</v>
      </c>
      <c r="B89" s="329" t="s">
        <v>463</v>
      </c>
      <c r="C89" s="330" t="s">
        <v>1285</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16248</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12326.4</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12518.999999999998</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0.77464788732394363</v>
      </c>
      <c r="AB94" s="193">
        <f t="shared" si="68"/>
        <v>0.22535211267605634</v>
      </c>
      <c r="AC94" s="193">
        <f t="shared" ref="AC94" si="69">COUNTIF(AC14:AC92,"&gt;0")/$B$10</f>
        <v>0.38028169014084506</v>
      </c>
      <c r="AD94" s="193">
        <f t="shared" si="68"/>
        <v>0.61971830985915488</v>
      </c>
      <c r="AE94" s="193">
        <f t="shared" si="68"/>
        <v>0.39436619718309857</v>
      </c>
      <c r="AF94" s="193">
        <f t="shared" si="68"/>
        <v>0.52112676056338025</v>
      </c>
      <c r="AG94" s="193">
        <f t="shared" si="68"/>
        <v>0.53521126760563376</v>
      </c>
      <c r="AH94" s="193">
        <f t="shared" si="68"/>
        <v>0.47887323943661969</v>
      </c>
      <c r="AI94" s="193">
        <f t="shared" ref="AI94" si="70">COUNTIF(AI14:AI92,"&gt;0")/$B$10</f>
        <v>0.52112676056338025</v>
      </c>
      <c r="AJ94" s="193">
        <f t="shared" si="68"/>
        <v>0.53521126760563376</v>
      </c>
      <c r="AK94" s="193">
        <f t="shared" si="68"/>
        <v>0.43661971830985913</v>
      </c>
      <c r="AL94" s="193">
        <f t="shared" si="68"/>
        <v>0.50704225352112675</v>
      </c>
      <c r="AM94" s="193">
        <f t="shared" si="68"/>
        <v>0.59154929577464788</v>
      </c>
      <c r="AN94" s="193">
        <f t="shared" si="68"/>
        <v>0.56338028169014087</v>
      </c>
      <c r="AO94" s="193">
        <f t="shared" si="68"/>
        <v>0.40845070422535212</v>
      </c>
      <c r="AP94" s="193">
        <f t="shared" si="68"/>
        <v>0.50704225352112675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1294</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1" t="str">
        <f t="shared" ref="Z1:AP1" si="1">Z12</f>
        <v>MAX ACC 97% PNL 66065</v>
      </c>
      <c r="AA1" s="332" t="str">
        <f t="shared" si="1"/>
        <v>RISK-ON ACC 45% PNL -2923</v>
      </c>
      <c r="AB1" s="332" t="str">
        <f t="shared" si="1"/>
        <v>RISK-OFF ACC 52% PNL 2923</v>
      </c>
      <c r="AC1" s="332" t="str">
        <f t="shared" ref="AC1" si="2">AC12</f>
        <v>Previous ACC 37% PNL -15387</v>
      </c>
      <c r="AD1" s="295" t="str">
        <f t="shared" si="1"/>
        <v>Anti-Previous ACC 61% PNL 15387</v>
      </c>
      <c r="AE1" s="333" t="str">
        <f t="shared" si="1"/>
        <v>&gt;equity ACC 45% PNL -13037</v>
      </c>
      <c r="AF1" s="333" t="str">
        <f t="shared" si="1"/>
        <v>50/50 ACC 45% PNL 6292</v>
      </c>
      <c r="AG1" s="333" t="str">
        <f t="shared" si="1"/>
        <v>&lt;equity ACC 52% PNL 23325</v>
      </c>
      <c r="AH1" s="334" t="str">
        <f t="shared" si="1"/>
        <v>SEASONALITY ACC 54% PNL 14373</v>
      </c>
      <c r="AI1" s="334" t="str">
        <f t="shared" si="1"/>
        <v>ANTI-SEASONALITY ACC 44% PNL -14373</v>
      </c>
      <c r="AJ1" s="334" t="str">
        <f t="shared" si="1"/>
        <v>ADJ_SEASONALITY ACC 45% PNL 6721</v>
      </c>
      <c r="AK1" s="335" t="str">
        <f t="shared" si="1"/>
        <v>V1 ACC 42% PNL -239</v>
      </c>
      <c r="AL1" s="335" t="str">
        <f t="shared" si="1"/>
        <v>V2 ACC 46% PNL -1143</v>
      </c>
      <c r="AM1" s="335" t="str">
        <f t="shared" si="1"/>
        <v>V3 ACC 51% PNL 1555</v>
      </c>
      <c r="AN1" s="335" t="str">
        <f t="shared" si="1"/>
        <v>V4 ACC 46% PNL 1007</v>
      </c>
      <c r="AO1" s="335" t="str">
        <f t="shared" si="1"/>
        <v>V5 ACC 46% PNL -13584</v>
      </c>
      <c r="AP1" s="335" t="str">
        <f t="shared" si="1"/>
        <v>V6 ACC 55% PNL 2463</v>
      </c>
    </row>
    <row r="2" spans="1:42" outlineLevel="1" x14ac:dyDescent="0.25">
      <c r="A2" t="s">
        <v>1121</v>
      </c>
      <c r="B2" s="95">
        <f>COUNTIF($C$14:$C$92,A2)</f>
        <v>9</v>
      </c>
      <c r="C2" s="193">
        <f>B2/$B$10</f>
        <v>0.12676056338028169</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2">
        <f t="shared" ref="K2:K9" si="7">SUMIF($C$14:$C$92,$A2,E$14:E$92)/$B2</f>
        <v>0.33333333333333331</v>
      </c>
      <c r="L2" s="342">
        <f t="shared" ref="L2:O9" si="8">SUMIF($C$14:$C$92,$A2,I$14:I$92)/$B2</f>
        <v>-0.33333333333333331</v>
      </c>
      <c r="M2" s="342">
        <f t="shared" si="8"/>
        <v>-0.1111111111111111</v>
      </c>
      <c r="N2" s="342">
        <f t="shared" si="8"/>
        <v>-0.1111111111111111</v>
      </c>
      <c r="O2" s="342">
        <f t="shared" si="8"/>
        <v>0.55555555555555558</v>
      </c>
      <c r="P2" s="342">
        <f t="shared" ref="P2:V9" si="9">SUMIF($C$14:$C$92,$A2,O$14:O$92)/$B2</f>
        <v>0.33333333333333331</v>
      </c>
      <c r="Q2" s="342">
        <f t="shared" si="9"/>
        <v>-0.1111111111111111</v>
      </c>
      <c r="R2" s="342">
        <f t="shared" si="9"/>
        <v>-0.1111111111111111</v>
      </c>
      <c r="S2" s="342">
        <f t="shared" si="9"/>
        <v>-0.77777777777777779</v>
      </c>
      <c r="T2" s="342">
        <f t="shared" si="9"/>
        <v>-0.55555555555555558</v>
      </c>
      <c r="U2" s="342">
        <f t="shared" si="9"/>
        <v>0.1111111111111111</v>
      </c>
      <c r="V2" s="342">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8.4507042253521125E-2</v>
      </c>
      <c r="F3" s="294">
        <f t="shared" si="3"/>
        <v>0.16666666666666666</v>
      </c>
      <c r="G3" s="137">
        <f t="shared" si="4"/>
        <v>15500.957692135986</v>
      </c>
      <c r="H3" s="143">
        <f t="shared" si="5"/>
        <v>2583.4929486893311</v>
      </c>
      <c r="I3" s="186">
        <f t="shared" ref="I3:I9" si="13">SUMIF($C$14:$C$92,A3,F$14:F$92)/B3</f>
        <v>-2536.7052943683898</v>
      </c>
      <c r="J3" t="str">
        <f t="shared" si="6"/>
        <v>energy</v>
      </c>
      <c r="K3" s="342">
        <f t="shared" si="7"/>
        <v>1</v>
      </c>
      <c r="L3" s="342">
        <f t="shared" si="8"/>
        <v>0.33333333333333331</v>
      </c>
      <c r="M3" s="342">
        <f t="shared" si="8"/>
        <v>0.66666666666666663</v>
      </c>
      <c r="N3" s="342">
        <f t="shared" si="8"/>
        <v>-0.33333333333333331</v>
      </c>
      <c r="O3" s="342">
        <f t="shared" si="8"/>
        <v>-0.33333333333333331</v>
      </c>
      <c r="P3" s="342">
        <f t="shared" si="9"/>
        <v>0</v>
      </c>
      <c r="Q3" s="342">
        <f t="shared" si="9"/>
        <v>0.33333333333333331</v>
      </c>
      <c r="R3" s="342">
        <f t="shared" si="9"/>
        <v>0</v>
      </c>
      <c r="S3" s="342">
        <f t="shared" si="9"/>
        <v>0</v>
      </c>
      <c r="T3" s="342">
        <f t="shared" si="9"/>
        <v>0</v>
      </c>
      <c r="U3" s="342">
        <f t="shared" si="9"/>
        <v>0.66666666666666663</v>
      </c>
      <c r="V3" s="342">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0.14084507042253522</v>
      </c>
      <c r="F4" s="294">
        <f t="shared" si="3"/>
        <v>0.8</v>
      </c>
      <c r="G4" s="137">
        <f t="shared" si="4"/>
        <v>7652.2635406369036</v>
      </c>
      <c r="H4" s="143">
        <f t="shared" si="5"/>
        <v>765.22635406369034</v>
      </c>
      <c r="I4" s="186">
        <f t="shared" si="13"/>
        <v>697.37260008950898</v>
      </c>
      <c r="J4" t="str">
        <f t="shared" si="6"/>
        <v>grain</v>
      </c>
      <c r="K4" s="342">
        <f t="shared" si="7"/>
        <v>0.8</v>
      </c>
      <c r="L4" s="342">
        <f t="shared" si="8"/>
        <v>0</v>
      </c>
      <c r="M4" s="342">
        <f t="shared" si="8"/>
        <v>0.4</v>
      </c>
      <c r="N4" s="342">
        <f t="shared" si="8"/>
        <v>0</v>
      </c>
      <c r="O4" s="342">
        <f t="shared" si="8"/>
        <v>-0.4</v>
      </c>
      <c r="P4" s="342">
        <f t="shared" si="9"/>
        <v>0.2</v>
      </c>
      <c r="Q4" s="342">
        <f t="shared" si="9"/>
        <v>0.6</v>
      </c>
      <c r="R4" s="342">
        <f t="shared" si="9"/>
        <v>0</v>
      </c>
      <c r="S4" s="342">
        <f t="shared" si="9"/>
        <v>-0.2</v>
      </c>
      <c r="T4" s="342">
        <f t="shared" si="9"/>
        <v>0.2</v>
      </c>
      <c r="U4" s="342">
        <f t="shared" si="9"/>
        <v>0.4</v>
      </c>
      <c r="V4" s="342">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0.29577464788732394</v>
      </c>
      <c r="F5" s="294">
        <f t="shared" si="3"/>
        <v>0.42857142857142855</v>
      </c>
      <c r="G5" s="137">
        <f t="shared" si="4"/>
        <v>5660.376943017216</v>
      </c>
      <c r="H5" s="143">
        <f t="shared" si="5"/>
        <v>269.54175919129602</v>
      </c>
      <c r="I5" s="186">
        <f t="shared" si="13"/>
        <v>6.7458132314153216</v>
      </c>
      <c r="J5" t="str">
        <f t="shared" si="6"/>
        <v>index</v>
      </c>
      <c r="K5" s="342">
        <f t="shared" si="7"/>
        <v>0.80952380952380953</v>
      </c>
      <c r="L5" s="342">
        <f t="shared" si="8"/>
        <v>0.7142857142857143</v>
      </c>
      <c r="M5" s="342">
        <f t="shared" si="8"/>
        <v>-0.80952380952380953</v>
      </c>
      <c r="N5" s="342">
        <f t="shared" si="8"/>
        <v>0.80952380952380953</v>
      </c>
      <c r="O5" s="342">
        <f t="shared" si="8"/>
        <v>-0.14285714285714285</v>
      </c>
      <c r="P5" s="342">
        <f t="shared" si="9"/>
        <v>0.14285714285714285</v>
      </c>
      <c r="Q5" s="342">
        <f t="shared" si="9"/>
        <v>0.90476190476190477</v>
      </c>
      <c r="R5" s="342">
        <f t="shared" si="9"/>
        <v>-0.80952380952380953</v>
      </c>
      <c r="S5" s="342">
        <f t="shared" si="9"/>
        <v>-4.7619047619047616E-2</v>
      </c>
      <c r="T5" s="342">
        <f t="shared" si="9"/>
        <v>-4.7619047619047616E-2</v>
      </c>
      <c r="U5" s="342">
        <f t="shared" si="9"/>
        <v>-0.23809523809523808</v>
      </c>
      <c r="V5" s="342">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4.2253521126760563E-2</v>
      </c>
      <c r="F6" s="294">
        <f t="shared" si="3"/>
        <v>0.66666666666666663</v>
      </c>
      <c r="G6" s="137">
        <f t="shared" si="4"/>
        <v>4128.9955807740153</v>
      </c>
      <c r="H6" s="143">
        <f t="shared" si="5"/>
        <v>1376.331860258005</v>
      </c>
      <c r="I6" s="186">
        <f t="shared" si="13"/>
        <v>1163.6282932219892</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-1</v>
      </c>
      <c r="R6" s="342">
        <f t="shared" si="9"/>
        <v>1</v>
      </c>
      <c r="S6" s="342">
        <f t="shared" si="9"/>
        <v>0.33333333333333331</v>
      </c>
      <c r="T6" s="342">
        <f t="shared" si="9"/>
        <v>0.33333333333333331</v>
      </c>
      <c r="U6" s="342">
        <f t="shared" si="9"/>
        <v>-0.33333333333333331</v>
      </c>
      <c r="V6" s="342">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7.0422535211267609E-2</v>
      </c>
      <c r="F7" s="294">
        <f t="shared" si="3"/>
        <v>1</v>
      </c>
      <c r="G7" s="137">
        <f t="shared" si="4"/>
        <v>6780.5813233694971</v>
      </c>
      <c r="H7" s="143">
        <f t="shared" si="5"/>
        <v>1356.1162646738994</v>
      </c>
      <c r="I7" s="186">
        <f t="shared" si="13"/>
        <v>1356.1162646738994</v>
      </c>
      <c r="J7" t="str">
        <f t="shared" si="6"/>
        <v>metal</v>
      </c>
      <c r="K7" s="342">
        <f t="shared" si="7"/>
        <v>-0.2</v>
      </c>
      <c r="L7" s="342">
        <f t="shared" si="8"/>
        <v>-0.2</v>
      </c>
      <c r="M7" s="342">
        <f t="shared" si="8"/>
        <v>-0.6</v>
      </c>
      <c r="N7" s="342">
        <f t="shared" si="8"/>
        <v>0.2</v>
      </c>
      <c r="O7" s="342">
        <f t="shared" si="8"/>
        <v>0.6</v>
      </c>
      <c r="P7" s="342">
        <f t="shared" si="9"/>
        <v>0.6</v>
      </c>
      <c r="Q7" s="342">
        <f t="shared" si="9"/>
        <v>-0.2</v>
      </c>
      <c r="R7" s="342">
        <f t="shared" si="9"/>
        <v>-0.2</v>
      </c>
      <c r="S7" s="342">
        <f t="shared" si="9"/>
        <v>-0.6</v>
      </c>
      <c r="T7" s="342">
        <f t="shared" si="9"/>
        <v>-1</v>
      </c>
      <c r="U7" s="342">
        <f t="shared" si="9"/>
        <v>-0.6</v>
      </c>
      <c r="V7" s="342">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0.14084507042253522</v>
      </c>
      <c r="F8" s="294">
        <f t="shared" si="3"/>
        <v>0.7</v>
      </c>
      <c r="G8" s="137">
        <f t="shared" si="4"/>
        <v>8504.7134832778302</v>
      </c>
      <c r="H8" s="143">
        <f t="shared" si="5"/>
        <v>850.47134832778306</v>
      </c>
      <c r="I8" s="186">
        <f t="shared" si="13"/>
        <v>597.89396822176957</v>
      </c>
      <c r="J8" t="str">
        <f t="shared" si="6"/>
        <v>rates</v>
      </c>
      <c r="K8" s="342">
        <f t="shared" si="7"/>
        <v>-0.8</v>
      </c>
      <c r="L8" s="342">
        <f t="shared" si="8"/>
        <v>0.6</v>
      </c>
      <c r="M8" s="342">
        <f t="shared" si="8"/>
        <v>-0.4</v>
      </c>
      <c r="N8" s="342">
        <f t="shared" si="8"/>
        <v>0.2</v>
      </c>
      <c r="O8" s="342">
        <f t="shared" si="8"/>
        <v>1</v>
      </c>
      <c r="P8" s="342">
        <f t="shared" si="9"/>
        <v>0.2</v>
      </c>
      <c r="Q8" s="342">
        <f t="shared" si="9"/>
        <v>-0.8</v>
      </c>
      <c r="R8" s="342">
        <f t="shared" si="9"/>
        <v>0.4</v>
      </c>
      <c r="S8" s="342">
        <f t="shared" si="9"/>
        <v>0.4</v>
      </c>
      <c r="T8" s="342">
        <f t="shared" si="9"/>
        <v>0.2</v>
      </c>
      <c r="U8" s="342">
        <f t="shared" si="9"/>
        <v>-0.4</v>
      </c>
      <c r="V8" s="342">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7</v>
      </c>
      <c r="C9" s="200">
        <f t="shared" si="12"/>
        <v>9.8591549295774641E-2</v>
      </c>
      <c r="D9" s="126"/>
      <c r="F9" s="294">
        <f t="shared" si="3"/>
        <v>0.7142857142857143</v>
      </c>
      <c r="G9" s="199">
        <f t="shared" si="4"/>
        <v>9372.4834623983843</v>
      </c>
      <c r="H9" s="143">
        <f t="shared" si="5"/>
        <v>1338.926208914055</v>
      </c>
      <c r="I9" s="186">
        <f t="shared" si="13"/>
        <v>805.82073665022438</v>
      </c>
      <c r="J9" t="str">
        <f t="shared" si="6"/>
        <v>soft</v>
      </c>
      <c r="K9" s="342">
        <f t="shared" si="7"/>
        <v>-0.42857142857142855</v>
      </c>
      <c r="L9" s="342">
        <f t="shared" si="8"/>
        <v>0.14285714285714285</v>
      </c>
      <c r="M9" s="342">
        <f t="shared" si="8"/>
        <v>0.14285714285714285</v>
      </c>
      <c r="N9" s="342">
        <f t="shared" si="8"/>
        <v>0.14285714285714285</v>
      </c>
      <c r="O9" s="342">
        <f t="shared" si="8"/>
        <v>0.14285714285714285</v>
      </c>
      <c r="P9" s="342">
        <f t="shared" si="9"/>
        <v>-0.14285714285714285</v>
      </c>
      <c r="Q9" s="342">
        <f t="shared" si="9"/>
        <v>-0.14285714285714285</v>
      </c>
      <c r="R9" s="342">
        <f t="shared" si="9"/>
        <v>0.42857142857142855</v>
      </c>
      <c r="S9" s="342">
        <f t="shared" si="9"/>
        <v>0.14285714285714285</v>
      </c>
      <c r="T9" s="342">
        <f t="shared" si="9"/>
        <v>0.14285714285714285</v>
      </c>
      <c r="U9" s="342">
        <f t="shared" si="9"/>
        <v>-0.14285714285714285</v>
      </c>
      <c r="V9" s="342">
        <f t="shared" si="9"/>
        <v>0.42857142857142855</v>
      </c>
      <c r="W9" s="286"/>
      <c r="X9" s="6"/>
      <c r="Y9" s="17" t="s">
        <v>304</v>
      </c>
      <c r="Z9" s="283">
        <f t="shared" si="10"/>
        <v>9372.4834623983843</v>
      </c>
      <c r="AA9" s="283">
        <f t="shared" si="10"/>
        <v>5640.7451565515703</v>
      </c>
      <c r="AB9" s="283">
        <f t="shared" si="10"/>
        <v>-5640.7451565515703</v>
      </c>
      <c r="AC9" s="283">
        <f t="shared" si="10"/>
        <v>4048.9319844537481</v>
      </c>
      <c r="AD9" s="283">
        <f t="shared" si="10"/>
        <v>-4048.9319844537481</v>
      </c>
      <c r="AE9" s="283">
        <f t="shared" si="10"/>
        <v>-6655.2417860809837</v>
      </c>
      <c r="AF9" s="283">
        <f t="shared" si="10"/>
        <v>2286.0013054592259</v>
      </c>
      <c r="AG9" s="283">
        <f t="shared" si="10"/>
        <v>5408.3601592351688</v>
      </c>
      <c r="AH9" s="283">
        <f t="shared" si="10"/>
        <v>4453.9140577166527</v>
      </c>
      <c r="AI9" s="283">
        <f t="shared" si="10"/>
        <v>-4453.9140577166527</v>
      </c>
      <c r="AJ9" s="283">
        <f t="shared" si="10"/>
        <v>-2831.3964064477109</v>
      </c>
      <c r="AK9" s="283">
        <f t="shared" si="10"/>
        <v>5032.7241348120415</v>
      </c>
      <c r="AL9" s="283">
        <f t="shared" si="10"/>
        <v>-4048.9319844537481</v>
      </c>
      <c r="AM9" s="283">
        <f t="shared" si="10"/>
        <v>-4078.2780332935258</v>
      </c>
      <c r="AN9" s="283">
        <f t="shared" si="10"/>
        <v>-4078.2780332935258</v>
      </c>
      <c r="AO9" s="283">
        <f t="shared" si="10"/>
        <v>2455.7603820245836</v>
      </c>
      <c r="AP9" s="283">
        <f t="shared" si="10"/>
        <v>-5671.4496357226908</v>
      </c>
    </row>
    <row r="10" spans="1:42" outlineLevel="1" x14ac:dyDescent="0.25">
      <c r="B10">
        <f>SUM(B2:B9)</f>
        <v>71</v>
      </c>
      <c r="C10" s="193">
        <f t="shared" si="12"/>
        <v>1</v>
      </c>
      <c r="D10" s="126"/>
      <c r="F10" s="294">
        <f>SUMIFS(H$14:H$92,H$14:H$92,1,$C$14:$C$92,"&lt;&gt;offline")/$B10</f>
        <v>0.57746478873239437</v>
      </c>
      <c r="G10" s="167">
        <f>SUM(G2:G9)</f>
        <v>66064.868348678254</v>
      </c>
      <c r="H10" s="143">
        <f t="shared" si="5"/>
        <v>930.49110350251067</v>
      </c>
      <c r="I10">
        <f>SUM(F14:F92)/B10</f>
        <v>209.43106028809427</v>
      </c>
      <c r="J10" s="137"/>
      <c r="K10" s="6"/>
      <c r="L10" s="292"/>
      <c r="M10" s="286"/>
      <c r="N10" s="292"/>
      <c r="O10" s="6"/>
      <c r="R10" s="6"/>
      <c r="S10" s="286"/>
      <c r="T10" s="286"/>
      <c r="U10" s="286"/>
      <c r="V10" s="6"/>
      <c r="W10" s="286"/>
      <c r="X10" s="6"/>
      <c r="Y10" s="6" t="s">
        <v>1245</v>
      </c>
      <c r="Z10" s="284">
        <f>SUM(Z2:Z9)</f>
        <v>66064.868348678254</v>
      </c>
      <c r="AA10" s="284">
        <f t="shared" ref="AA10:AP10" si="14">SUM(AA2:AA9)</f>
        <v>-2923.0916528652588</v>
      </c>
      <c r="AB10" s="284">
        <f t="shared" si="14"/>
        <v>2923.0916528652588</v>
      </c>
      <c r="AC10" s="284">
        <f t="shared" si="14"/>
        <v>-15387.204200216804</v>
      </c>
      <c r="AD10" s="284">
        <f t="shared" si="14"/>
        <v>15387.204200216804</v>
      </c>
      <c r="AE10" s="284">
        <f t="shared" si="14"/>
        <v>-13036.58756207194</v>
      </c>
      <c r="AF10" s="284">
        <f t="shared" si="14"/>
        <v>6291.5854450174556</v>
      </c>
      <c r="AG10" s="284">
        <f t="shared" si="14"/>
        <v>23324.576277721266</v>
      </c>
      <c r="AH10" s="284">
        <f t="shared" si="14"/>
        <v>14373.125221510614</v>
      </c>
      <c r="AI10" s="284">
        <f t="shared" ref="AI10" si="15">SUM(AI2:AI9)</f>
        <v>-14373.125221510614</v>
      </c>
      <c r="AJ10" s="284">
        <f t="shared" si="14"/>
        <v>6721.3128859094741</v>
      </c>
      <c r="AK10" s="284">
        <f t="shared" si="14"/>
        <v>-238.85826623102639</v>
      </c>
      <c r="AL10" s="284">
        <f t="shared" si="14"/>
        <v>-1143.0229929737184</v>
      </c>
      <c r="AM10" s="284">
        <f t="shared" si="14"/>
        <v>1555.0731002361831</v>
      </c>
      <c r="AN10" s="284">
        <f t="shared" si="14"/>
        <v>1006.8731680182395</v>
      </c>
      <c r="AO10" s="284">
        <f t="shared" si="14"/>
        <v>-13584.143530133912</v>
      </c>
      <c r="AP10" s="284">
        <f t="shared" si="14"/>
        <v>2462.8809856241805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97% PNL 66065</v>
      </c>
      <c r="AA12" s="308" t="str">
        <f t="shared" si="16"/>
        <v>RISK-ON ACC 45% PNL -2923</v>
      </c>
      <c r="AB12" s="308" t="str">
        <f t="shared" si="16"/>
        <v>RISK-OFF ACC 52% PNL 2923</v>
      </c>
      <c r="AC12" s="308" t="str">
        <f t="shared" si="16"/>
        <v>Previous ACC 37% PNL -15387</v>
      </c>
      <c r="AD12" s="337" t="str">
        <f t="shared" si="16"/>
        <v>Anti-Previous ACC 61% PNL 15387</v>
      </c>
      <c r="AE12" s="338" t="str">
        <f t="shared" si="16"/>
        <v>&gt;equity ACC 45% PNL -13037</v>
      </c>
      <c r="AF12" s="338" t="str">
        <f t="shared" si="16"/>
        <v>50/50 ACC 45% PNL 6292</v>
      </c>
      <c r="AG12" s="338" t="str">
        <f t="shared" si="16"/>
        <v>&lt;equity ACC 52% PNL 23325</v>
      </c>
      <c r="AH12" s="339" t="str">
        <f t="shared" si="16"/>
        <v>SEASONALITY ACC 54% PNL 14373</v>
      </c>
      <c r="AI12" s="339" t="str">
        <f t="shared" si="16"/>
        <v>ANTI-SEASONALITY ACC 44% PNL -14373</v>
      </c>
      <c r="AJ12" s="339" t="str">
        <f t="shared" si="16"/>
        <v>ADJ_SEASONALITY ACC 45% PNL 6721</v>
      </c>
      <c r="AK12" s="340" t="str">
        <f t="shared" si="16"/>
        <v>V1 ACC 42% PNL -239</v>
      </c>
      <c r="AL12" s="340" t="str">
        <f t="shared" si="16"/>
        <v>V2 ACC 46% PNL -1143</v>
      </c>
      <c r="AM12" s="340" t="str">
        <f t="shared" si="16"/>
        <v>V3 ACC 51% PNL 1555</v>
      </c>
      <c r="AN12" s="340" t="str">
        <f t="shared" si="16"/>
        <v>V4 ACC 46% PNL 1007</v>
      </c>
      <c r="AO12" s="340" t="str">
        <f t="shared" si="16"/>
        <v>V5 ACC 46% PNL -13584</v>
      </c>
      <c r="AP12" s="340" t="str">
        <f t="shared" si="16"/>
        <v>V6 ACC 55% PNL 2463</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858300.99064841692</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28" t="s">
        <v>287</v>
      </c>
      <c r="B14" s="329" t="s">
        <v>558</v>
      </c>
      <c r="C14" s="330" t="s">
        <v>1285</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7968</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H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21726.143999999997</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4685</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8889</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54300</v>
      </c>
      <c r="Y19" s="137">
        <v>13500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125720</v>
      </c>
      <c r="Y20" s="137">
        <v>9000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10428</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28" t="s">
        <v>307</v>
      </c>
      <c r="B22" s="329" t="s">
        <v>484</v>
      </c>
      <c r="C22" s="330" t="s">
        <v>1285</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9180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4503</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21792</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14804</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12992.099999999999</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13327.38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28" t="s">
        <v>320</v>
      </c>
      <c r="B29" s="329" t="s">
        <v>564</v>
      </c>
      <c r="C29" s="330" t="s">
        <v>1285</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14250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15750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8436</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2449.7791999999999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17434.559999999998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28" t="s">
        <v>335</v>
      </c>
      <c r="B36" s="329" t="s">
        <v>568</v>
      </c>
      <c r="C36" s="330" t="s">
        <v>1285</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16638.4218</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15369.6543</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28" t="s">
        <v>341</v>
      </c>
      <c r="B39" s="329" t="s">
        <v>453</v>
      </c>
      <c r="C39" s="330" t="s">
        <v>1285</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7000</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11250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15115.9793814433</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112000</v>
      </c>
      <c r="Y43" s="137">
        <v>5750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25265.463917525773</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11970</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7894</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15000</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84500</v>
      </c>
      <c r="Y48" s="137">
        <v>7000</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330" t="s">
        <v>1285</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107943</v>
      </c>
      <c r="Y49" s="137">
        <v>7311</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6750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10000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8800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108080</v>
      </c>
      <c r="Y53" s="137">
        <v>6000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127120</v>
      </c>
      <c r="Y54" s="137">
        <v>15640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8312</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9572</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25145.999999999996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18496</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9054</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12500</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15000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6750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4376</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10500</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12236</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81735.110563217502</v>
      </c>
      <c r="Y70" s="137">
        <v>4299.8239032233369</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15250</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12000</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33606</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1296</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6756</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1029723.2595997319</v>
      </c>
      <c r="Y76" s="137">
        <v>1975.1135690302192</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76900</v>
      </c>
      <c r="Y77" s="137">
        <v>12000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26336.136177194425</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6246.24</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H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11250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16205.199999999997</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1751500</v>
      </c>
      <c r="Y83" s="137">
        <v>8244</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6248</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9124</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14000</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19499.594399999998</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28" t="s">
        <v>1054</v>
      </c>
      <c r="B89" s="329" t="s">
        <v>463</v>
      </c>
      <c r="C89" s="330" t="s">
        <v>1285</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16248</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12326.4</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12518.999999999998</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8">COUNTIF(AA14:AA92,"&gt;0")/$B$10</f>
        <v>0.45070422535211269</v>
      </c>
      <c r="AB94" s="193">
        <f t="shared" si="68"/>
        <v>0.52112676056338025</v>
      </c>
      <c r="AC94" s="193">
        <f t="shared" ref="AC94" si="69">COUNTIF(AC14:AC92,"&gt;0")/$B$10</f>
        <v>0.36619718309859156</v>
      </c>
      <c r="AD94" s="193">
        <f t="shared" si="68"/>
        <v>0.60563380281690138</v>
      </c>
      <c r="AE94" s="193">
        <f t="shared" si="68"/>
        <v>0.45070422535211269</v>
      </c>
      <c r="AF94" s="193">
        <f t="shared" si="68"/>
        <v>0.45070422535211269</v>
      </c>
      <c r="AG94" s="193">
        <f t="shared" si="68"/>
        <v>0.52112676056338025</v>
      </c>
      <c r="AH94" s="193">
        <f t="shared" si="68"/>
        <v>0.53521126760563376</v>
      </c>
      <c r="AI94" s="193">
        <f t="shared" ref="AI94" si="70">COUNTIF(AI14:AI92,"&gt;0")/$B$10</f>
        <v>0.43661971830985913</v>
      </c>
      <c r="AJ94" s="193">
        <f t="shared" si="68"/>
        <v>0.45070422535211269</v>
      </c>
      <c r="AK94" s="193">
        <f t="shared" si="68"/>
        <v>0.42253521126760563</v>
      </c>
      <c r="AL94" s="193">
        <f t="shared" si="68"/>
        <v>0.46478873239436619</v>
      </c>
      <c r="AM94" s="193">
        <f t="shared" si="68"/>
        <v>0.50704225352112675</v>
      </c>
      <c r="AN94" s="193">
        <f t="shared" si="68"/>
        <v>0.46478873239436619</v>
      </c>
      <c r="AO94" s="193">
        <f t="shared" si="68"/>
        <v>0.46478873239436619</v>
      </c>
      <c r="AP94" s="193">
        <f t="shared" si="68"/>
        <v>0.54929577464788737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1294</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1" t="str">
        <f t="shared" ref="Z1:AP1" si="1">Z12</f>
        <v>MAX ACC 100% PNL 109431</v>
      </c>
      <c r="AA1" s="332" t="str">
        <f t="shared" si="1"/>
        <v>RISK-ON ACC 85% PNL 87514</v>
      </c>
      <c r="AB1" s="332" t="str">
        <f t="shared" si="1"/>
        <v>RISK-OFF ACC 15% PNL -87514</v>
      </c>
      <c r="AC1" s="332" t="str">
        <f t="shared" ref="AC1" si="2">AC12</f>
        <v>Previous ACC 65% PNL 31231</v>
      </c>
      <c r="AD1" s="295" t="str">
        <f t="shared" si="1"/>
        <v>Anti-Previous ACC 35% PNL -31231</v>
      </c>
      <c r="AE1" s="333" t="str">
        <f t="shared" si="1"/>
        <v>&gt;equity ACC 55% PNL 20093</v>
      </c>
      <c r="AF1" s="333" t="str">
        <f t="shared" si="1"/>
        <v>50/50 ACC 62% PNL 18404</v>
      </c>
      <c r="AG1" s="333" t="str">
        <f t="shared" si="1"/>
        <v>&lt;equity ACC 46% PNL -19142</v>
      </c>
      <c r="AH1" s="334" t="str">
        <f t="shared" si="1"/>
        <v>SEASONALITY ACC 37% PNL -25073</v>
      </c>
      <c r="AI1" s="334" t="str">
        <f t="shared" si="1"/>
        <v>ANTI-SEASONALITY ACC 63% PNL 25073</v>
      </c>
      <c r="AJ1" s="334" t="str">
        <f t="shared" si="1"/>
        <v>ADJ_SEASONALITY ACC 46% PNL -3215</v>
      </c>
      <c r="AK1" s="335" t="str">
        <f t="shared" si="1"/>
        <v>V1 ACC 58% PNL 13489</v>
      </c>
      <c r="AL1" s="335" t="str">
        <f t="shared" si="1"/>
        <v>V2 ACC 42% PNL -12420</v>
      </c>
      <c r="AM1" s="335" t="str">
        <f t="shared" si="1"/>
        <v>V3 ACC 58% PNL 7549</v>
      </c>
      <c r="AN1" s="335" t="str">
        <f t="shared" si="1"/>
        <v>V4 ACC 55% PNL 7426</v>
      </c>
      <c r="AO1" s="335" t="str">
        <f t="shared" si="1"/>
        <v>V5 ACC 61% PNL 29633</v>
      </c>
      <c r="AP1" s="335" t="str">
        <f t="shared" si="1"/>
        <v>V6 ACC 52% PNL 14092</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2">
        <f t="shared" ref="K2:K9" si="7">SUMIF($C$14:$C$92,$A2,E$14:E$92)/$B2</f>
        <v>0.1111111111111111</v>
      </c>
      <c r="L2" s="342">
        <f t="shared" ref="L2:O9" si="8">SUMIF($C$14:$C$92,$A2,I$14:I$92)/$B2</f>
        <v>0.33333333333333331</v>
      </c>
      <c r="M2" s="342">
        <f t="shared" si="8"/>
        <v>0.33333333333333331</v>
      </c>
      <c r="N2" s="342">
        <f t="shared" si="8"/>
        <v>0.1111111111111111</v>
      </c>
      <c r="O2" s="342">
        <f t="shared" si="8"/>
        <v>0.55555555555555558</v>
      </c>
      <c r="P2" s="342">
        <f t="shared" ref="P2:V9" si="9">SUMIF($C$14:$C$92,$A2,O$14:O$92)/$B2</f>
        <v>-0.1111111111111111</v>
      </c>
      <c r="Q2" s="342">
        <f t="shared" si="9"/>
        <v>-0.33333333333333331</v>
      </c>
      <c r="R2" s="342">
        <f t="shared" si="9"/>
        <v>-0.33333333333333331</v>
      </c>
      <c r="S2" s="342">
        <f t="shared" si="9"/>
        <v>-0.1111111111111111</v>
      </c>
      <c r="T2" s="342">
        <f t="shared" si="9"/>
        <v>-0.55555555555555558</v>
      </c>
      <c r="U2" s="342">
        <f t="shared" si="9"/>
        <v>0.1111111111111111</v>
      </c>
      <c r="V2" s="342">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8.4507042253521125E-2</v>
      </c>
      <c r="F3" s="294">
        <f t="shared" si="3"/>
        <v>1</v>
      </c>
      <c r="G3" s="137">
        <f t="shared" si="4"/>
        <v>14864.250990041292</v>
      </c>
      <c r="H3" s="143">
        <f t="shared" si="5"/>
        <v>2477.3751650068821</v>
      </c>
      <c r="I3" s="186">
        <f t="shared" ref="I3:I9" si="13">SUMIF($C$14:$C$92,A3,F$14:F$92)/B3</f>
        <v>2477.3751650068821</v>
      </c>
      <c r="J3" t="str">
        <f t="shared" si="6"/>
        <v>energy</v>
      </c>
      <c r="K3" s="342">
        <f t="shared" si="7"/>
        <v>0</v>
      </c>
      <c r="L3" s="342">
        <f t="shared" si="8"/>
        <v>0.33333333333333331</v>
      </c>
      <c r="M3" s="342">
        <f t="shared" si="8"/>
        <v>0.33333333333333331</v>
      </c>
      <c r="N3" s="342">
        <f t="shared" si="8"/>
        <v>-0.66666666666666663</v>
      </c>
      <c r="O3" s="342">
        <f t="shared" si="8"/>
        <v>-0.33333333333333331</v>
      </c>
      <c r="P3" s="342">
        <f t="shared" si="9"/>
        <v>0</v>
      </c>
      <c r="Q3" s="342">
        <f t="shared" si="9"/>
        <v>-0.66666666666666663</v>
      </c>
      <c r="R3" s="342">
        <f t="shared" si="9"/>
        <v>0</v>
      </c>
      <c r="S3" s="342">
        <f t="shared" si="9"/>
        <v>0.33333333333333331</v>
      </c>
      <c r="T3" s="342">
        <f t="shared" si="9"/>
        <v>-0.33333333333333331</v>
      </c>
      <c r="U3" s="342">
        <f t="shared" si="9"/>
        <v>0.33333333333333331</v>
      </c>
      <c r="V3" s="342">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0.14084507042253522</v>
      </c>
      <c r="F4" s="294">
        <f t="shared" si="3"/>
        <v>0.9</v>
      </c>
      <c r="G4" s="137">
        <f t="shared" si="4"/>
        <v>11948.007728456274</v>
      </c>
      <c r="H4" s="143">
        <f t="shared" si="5"/>
        <v>1194.8007728456273</v>
      </c>
      <c r="I4" s="186">
        <f t="shared" si="13"/>
        <v>1186.8045164113682</v>
      </c>
      <c r="J4" t="str">
        <f t="shared" si="6"/>
        <v>grain</v>
      </c>
      <c r="K4" s="342">
        <f t="shared" si="7"/>
        <v>-0.4</v>
      </c>
      <c r="L4" s="342">
        <f t="shared" si="8"/>
        <v>-0.2</v>
      </c>
      <c r="M4" s="342">
        <f t="shared" si="8"/>
        <v>0.2</v>
      </c>
      <c r="N4" s="342">
        <f t="shared" si="8"/>
        <v>-0.2</v>
      </c>
      <c r="O4" s="342">
        <f t="shared" si="8"/>
        <v>-0.6</v>
      </c>
      <c r="P4" s="342">
        <f t="shared" si="9"/>
        <v>-0.4</v>
      </c>
      <c r="Q4" s="342">
        <f t="shared" si="9"/>
        <v>-0.2</v>
      </c>
      <c r="R4" s="342">
        <f t="shared" si="9"/>
        <v>0.2</v>
      </c>
      <c r="S4" s="342">
        <f t="shared" si="9"/>
        <v>0.6</v>
      </c>
      <c r="T4" s="342">
        <f t="shared" si="9"/>
        <v>0.6</v>
      </c>
      <c r="U4" s="342">
        <f t="shared" si="9"/>
        <v>0.2</v>
      </c>
      <c r="V4" s="342">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0.29577464788732394</v>
      </c>
      <c r="F5" s="294">
        <f t="shared" si="3"/>
        <v>0.90476190476190477</v>
      </c>
      <c r="G5" s="137">
        <f t="shared" si="4"/>
        <v>27885.48312814677</v>
      </c>
      <c r="H5" s="143">
        <f t="shared" si="5"/>
        <v>1327.88014895937</v>
      </c>
      <c r="I5" s="186">
        <f t="shared" si="13"/>
        <v>1274.1709242131085</v>
      </c>
      <c r="J5" t="str">
        <f t="shared" si="6"/>
        <v>index</v>
      </c>
      <c r="K5" s="342">
        <f t="shared" si="7"/>
        <v>0.90476190476190477</v>
      </c>
      <c r="L5" s="342">
        <f t="shared" si="8"/>
        <v>0.33333333333333331</v>
      </c>
      <c r="M5" s="342">
        <f t="shared" si="8"/>
        <v>-0.42857142857142855</v>
      </c>
      <c r="N5" s="342">
        <f t="shared" si="8"/>
        <v>0.14285714285714285</v>
      </c>
      <c r="O5" s="342">
        <f t="shared" si="8"/>
        <v>-0.14285714285714285</v>
      </c>
      <c r="P5" s="342">
        <f t="shared" si="9"/>
        <v>0.23809523809523808</v>
      </c>
      <c r="Q5" s="342">
        <f t="shared" si="9"/>
        <v>0.61904761904761907</v>
      </c>
      <c r="R5" s="342">
        <f t="shared" si="9"/>
        <v>-0.61904761904761907</v>
      </c>
      <c r="S5" s="342">
        <f t="shared" si="9"/>
        <v>-0.14285714285714285</v>
      </c>
      <c r="T5" s="342">
        <f t="shared" si="9"/>
        <v>4.7619047619047616E-2</v>
      </c>
      <c r="U5" s="342">
        <f t="shared" si="9"/>
        <v>0.23809523809523808</v>
      </c>
      <c r="V5" s="342">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4.2253521126760563E-2</v>
      </c>
      <c r="F6" s="294">
        <f t="shared" si="3"/>
        <v>0.33333333333333331</v>
      </c>
      <c r="G6" s="137">
        <f t="shared" si="4"/>
        <v>2524.0134372249477</v>
      </c>
      <c r="H6" s="143">
        <f t="shared" si="5"/>
        <v>841.33781240831593</v>
      </c>
      <c r="I6" s="186">
        <f t="shared" si="13"/>
        <v>-80.393327121675995</v>
      </c>
      <c r="J6" t="str">
        <f t="shared" si="6"/>
        <v>meat</v>
      </c>
      <c r="K6" s="342">
        <f t="shared" si="7"/>
        <v>-1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7.0422535211267609E-2</v>
      </c>
      <c r="F7" s="294">
        <f t="shared" si="3"/>
        <v>0.4</v>
      </c>
      <c r="G7" s="137">
        <f t="shared" si="4"/>
        <v>7785.9740295717802</v>
      </c>
      <c r="H7" s="143">
        <f t="shared" si="5"/>
        <v>1557.194805914356</v>
      </c>
      <c r="I7" s="186">
        <f t="shared" si="13"/>
        <v>50.070105622227587</v>
      </c>
      <c r="J7" t="str">
        <f t="shared" si="6"/>
        <v>metal</v>
      </c>
      <c r="K7" s="342">
        <f t="shared" si="7"/>
        <v>0.6</v>
      </c>
      <c r="L7" s="342">
        <f t="shared" si="8"/>
        <v>0.2</v>
      </c>
      <c r="M7" s="342">
        <f t="shared" si="8"/>
        <v>-0.6</v>
      </c>
      <c r="N7" s="342">
        <f t="shared" si="8"/>
        <v>0.2</v>
      </c>
      <c r="O7" s="342">
        <f t="shared" si="8"/>
        <v>1</v>
      </c>
      <c r="P7" s="342">
        <f t="shared" si="9"/>
        <v>0.2</v>
      </c>
      <c r="Q7" s="342">
        <f t="shared" si="9"/>
        <v>0.2</v>
      </c>
      <c r="R7" s="342">
        <f t="shared" si="9"/>
        <v>-1</v>
      </c>
      <c r="S7" s="342">
        <f t="shared" si="9"/>
        <v>-1</v>
      </c>
      <c r="T7" s="342">
        <f t="shared" si="9"/>
        <v>-1</v>
      </c>
      <c r="U7" s="342">
        <f t="shared" si="9"/>
        <v>0.2</v>
      </c>
      <c r="V7" s="342">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0.14084507042253522</v>
      </c>
      <c r="F8" s="294">
        <f t="shared" si="3"/>
        <v>0.1</v>
      </c>
      <c r="G8" s="137">
        <f t="shared" si="4"/>
        <v>13940.583342525066</v>
      </c>
      <c r="H8" s="143">
        <f t="shared" si="5"/>
        <v>1394.0583342525065</v>
      </c>
      <c r="I8" s="186">
        <f t="shared" si="13"/>
        <v>-1286.0502874783524</v>
      </c>
      <c r="J8" t="str">
        <f t="shared" si="6"/>
        <v>rates</v>
      </c>
      <c r="K8" s="342">
        <f t="shared" si="7"/>
        <v>-1</v>
      </c>
      <c r="L8" s="342">
        <f t="shared" si="8"/>
        <v>0.4</v>
      </c>
      <c r="M8" s="342">
        <f t="shared" si="8"/>
        <v>-0.6</v>
      </c>
      <c r="N8" s="342">
        <f t="shared" si="8"/>
        <v>0.4</v>
      </c>
      <c r="O8" s="342">
        <f t="shared" si="8"/>
        <v>1</v>
      </c>
      <c r="P8" s="342">
        <f t="shared" si="9"/>
        <v>0.8</v>
      </c>
      <c r="Q8" s="342">
        <f t="shared" si="9"/>
        <v>-1</v>
      </c>
      <c r="R8" s="342">
        <f t="shared" si="9"/>
        <v>0.8</v>
      </c>
      <c r="S8" s="342">
        <f t="shared" si="9"/>
        <v>0.4</v>
      </c>
      <c r="T8" s="342">
        <f t="shared" si="9"/>
        <v>0.4</v>
      </c>
      <c r="U8" s="342">
        <f t="shared" si="9"/>
        <v>-0.8</v>
      </c>
      <c r="V8" s="342">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7</v>
      </c>
      <c r="C9" s="200">
        <f t="shared" si="12"/>
        <v>9.8591549295774641E-2</v>
      </c>
      <c r="D9" s="126"/>
      <c r="F9" s="294">
        <f t="shared" si="3"/>
        <v>0.2857142857142857</v>
      </c>
      <c r="G9" s="199">
        <f t="shared" si="4"/>
        <v>12746.275287079936</v>
      </c>
      <c r="H9" s="143">
        <f t="shared" si="5"/>
        <v>1820.8964695828479</v>
      </c>
      <c r="I9" s="186">
        <f t="shared" si="13"/>
        <v>-329.08111542863151</v>
      </c>
      <c r="J9" t="str">
        <f t="shared" si="6"/>
        <v>soft</v>
      </c>
      <c r="K9" s="342">
        <f t="shared" si="7"/>
        <v>0.7142857142857143</v>
      </c>
      <c r="L9" s="342">
        <f t="shared" si="8"/>
        <v>0.14285714285714285</v>
      </c>
      <c r="M9" s="342">
        <f t="shared" si="8"/>
        <v>-0.42857142857142855</v>
      </c>
      <c r="N9" s="342">
        <f t="shared" si="8"/>
        <v>0.42857142857142855</v>
      </c>
      <c r="O9" s="342">
        <f t="shared" si="8"/>
        <v>0.42857142857142855</v>
      </c>
      <c r="P9" s="342">
        <f t="shared" si="9"/>
        <v>0.14285714285714285</v>
      </c>
      <c r="Q9" s="342">
        <f t="shared" si="9"/>
        <v>0.42857142857142855</v>
      </c>
      <c r="R9" s="342">
        <f t="shared" si="9"/>
        <v>-0.42857142857142855</v>
      </c>
      <c r="S9" s="342">
        <f t="shared" si="9"/>
        <v>-1</v>
      </c>
      <c r="T9" s="342">
        <f t="shared" si="9"/>
        <v>-1</v>
      </c>
      <c r="U9" s="342">
        <f t="shared" si="9"/>
        <v>0.14285714285714285</v>
      </c>
      <c r="V9" s="342">
        <f t="shared" si="9"/>
        <v>-0.7142857142857143</v>
      </c>
      <c r="W9" s="286"/>
      <c r="X9" s="6"/>
      <c r="Y9" s="17" t="s">
        <v>304</v>
      </c>
      <c r="Z9" s="283">
        <f t="shared" si="10"/>
        <v>12746.275287079936</v>
      </c>
      <c r="AA9" s="283">
        <f t="shared" si="10"/>
        <v>-2303.5678080004204</v>
      </c>
      <c r="AB9" s="283">
        <f t="shared" si="10"/>
        <v>2303.5678080004204</v>
      </c>
      <c r="AC9" s="283">
        <f t="shared" si="10"/>
        <v>-1230.8487068764853</v>
      </c>
      <c r="AD9" s="283">
        <f t="shared" si="10"/>
        <v>1230.8487068764853</v>
      </c>
      <c r="AE9" s="283">
        <f t="shared" si="10"/>
        <v>2275.2085907860901</v>
      </c>
      <c r="AF9" s="283">
        <f t="shared" si="10"/>
        <v>6273.2593365036273</v>
      </c>
      <c r="AG9" s="283">
        <f t="shared" si="10"/>
        <v>-2275.2085907860901</v>
      </c>
      <c r="AH9" s="283">
        <f t="shared" si="10"/>
        <v>5200.5402353796917</v>
      </c>
      <c r="AI9" s="283">
        <f t="shared" si="10"/>
        <v>-5200.5402353796917</v>
      </c>
      <c r="AJ9" s="283">
        <f t="shared" si="10"/>
        <v>-5228.8994525940225</v>
      </c>
      <c r="AK9" s="283">
        <f t="shared" si="10"/>
        <v>-2275.2085907860901</v>
      </c>
      <c r="AL9" s="283">
        <f t="shared" si="10"/>
        <v>2275.2085907860901</v>
      </c>
      <c r="AM9" s="283">
        <f t="shared" si="10"/>
        <v>2303.5678080004204</v>
      </c>
      <c r="AN9" s="283">
        <f t="shared" si="10"/>
        <v>2303.5678080004204</v>
      </c>
      <c r="AO9" s="283">
        <f t="shared" si="10"/>
        <v>6273.2593365036273</v>
      </c>
      <c r="AP9" s="283">
        <f t="shared" si="10"/>
        <v>1230.8487068764853</v>
      </c>
    </row>
    <row r="10" spans="1:42" outlineLevel="1" x14ac:dyDescent="0.25">
      <c r="B10">
        <f>SUM(B2:B9)</f>
        <v>71</v>
      </c>
      <c r="C10" s="193">
        <f t="shared" si="12"/>
        <v>1</v>
      </c>
      <c r="D10" s="126"/>
      <c r="F10" s="294">
        <f>SUMIFS(H$14:H$92,H$14:H$92,1,$C$14:$C$92,"&lt;&gt;offline")/$B10</f>
        <v>0.647887323943662</v>
      </c>
      <c r="G10" s="167">
        <f>SUM(G2:G9)</f>
        <v>109431.35589380818</v>
      </c>
      <c r="H10" s="143">
        <f t="shared" si="5"/>
        <v>1541.2867027296927</v>
      </c>
      <c r="I10">
        <f>SUM(F14:F92)/B10</f>
        <v>624.10664124848756</v>
      </c>
      <c r="J10" s="137"/>
      <c r="K10" s="6"/>
      <c r="L10" s="292"/>
      <c r="M10" s="286"/>
      <c r="N10" s="292"/>
      <c r="O10" s="6"/>
      <c r="R10" s="6"/>
      <c r="S10" s="286"/>
      <c r="T10" s="286"/>
      <c r="U10" s="286"/>
      <c r="V10" s="6"/>
      <c r="W10" s="286"/>
      <c r="X10" s="6"/>
      <c r="Y10" s="6" t="s">
        <v>1245</v>
      </c>
      <c r="Z10" s="284">
        <f>SUM(Z2:Z9)</f>
        <v>109431.35589380818</v>
      </c>
      <c r="AA10" s="284">
        <f t="shared" ref="AA10:AP10" si="14">SUM(AA2:AA9)</f>
        <v>87513.840243657367</v>
      </c>
      <c r="AB10" s="284">
        <f t="shared" si="14"/>
        <v>-87513.840243657367</v>
      </c>
      <c r="AC10" s="284">
        <f t="shared" si="14"/>
        <v>31230.530607823985</v>
      </c>
      <c r="AD10" s="284">
        <f t="shared" si="14"/>
        <v>-31230.530607823985</v>
      </c>
      <c r="AE10" s="284">
        <f t="shared" si="14"/>
        <v>20092.685836295917</v>
      </c>
      <c r="AF10" s="284">
        <f t="shared" si="14"/>
        <v>18403.943134960831</v>
      </c>
      <c r="AG10" s="284">
        <f t="shared" si="14"/>
        <v>-19141.99504002542</v>
      </c>
      <c r="AH10" s="284">
        <f t="shared" si="14"/>
        <v>-25073.427561057179</v>
      </c>
      <c r="AI10" s="284">
        <f t="shared" ref="AI10" si="15">SUM(AI2:AI9)</f>
        <v>25073.427561057179</v>
      </c>
      <c r="AJ10" s="284">
        <f t="shared" si="14"/>
        <v>-3215.0938002493176</v>
      </c>
      <c r="AK10" s="284">
        <f t="shared" si="14"/>
        <v>13488.84356207326</v>
      </c>
      <c r="AL10" s="284">
        <f t="shared" si="14"/>
        <v>-12419.566292922686</v>
      </c>
      <c r="AM10" s="284">
        <f t="shared" si="14"/>
        <v>7549.4300059934976</v>
      </c>
      <c r="AN10" s="284">
        <f t="shared" si="14"/>
        <v>7426.1304721599045</v>
      </c>
      <c r="AO10" s="284">
        <f t="shared" si="14"/>
        <v>29633.296438610705</v>
      </c>
      <c r="AP10" s="284">
        <f t="shared" si="14"/>
        <v>14092.160230527734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109431</v>
      </c>
      <c r="AA12" s="308" t="str">
        <f t="shared" si="16"/>
        <v>RISK-ON ACC 85% PNL 87514</v>
      </c>
      <c r="AB12" s="308" t="str">
        <f t="shared" si="16"/>
        <v>RISK-OFF ACC 15% PNL -87514</v>
      </c>
      <c r="AC12" s="308" t="str">
        <f t="shared" si="16"/>
        <v>Previous ACC 65% PNL 31231</v>
      </c>
      <c r="AD12" s="337" t="str">
        <f t="shared" si="16"/>
        <v>Anti-Previous ACC 35% PNL -31231</v>
      </c>
      <c r="AE12" s="338" t="str">
        <f t="shared" si="16"/>
        <v>&gt;equity ACC 55% PNL 20093</v>
      </c>
      <c r="AF12" s="338" t="str">
        <f t="shared" si="16"/>
        <v>50/50 ACC 62% PNL 18404</v>
      </c>
      <c r="AG12" s="338" t="str">
        <f t="shared" si="16"/>
        <v>&lt;equity ACC 46% PNL -19142</v>
      </c>
      <c r="AH12" s="339" t="str">
        <f t="shared" si="16"/>
        <v>SEASONALITY ACC 37% PNL -25073</v>
      </c>
      <c r="AI12" s="339" t="str">
        <f t="shared" si="16"/>
        <v>ANTI-SEASONALITY ACC 63% PNL 25073</v>
      </c>
      <c r="AJ12" s="339" t="str">
        <f t="shared" si="16"/>
        <v>ADJ_SEASONALITY ACC 46% PNL -3215</v>
      </c>
      <c r="AK12" s="340" t="str">
        <f t="shared" si="16"/>
        <v>V1 ACC 58% PNL 13489</v>
      </c>
      <c r="AL12" s="340" t="str">
        <f t="shared" si="16"/>
        <v>V2 ACC 42% PNL -12420</v>
      </c>
      <c r="AM12" s="340" t="str">
        <f t="shared" si="16"/>
        <v>V3 ACC 58% PNL 7549</v>
      </c>
      <c r="AN12" s="340" t="str">
        <f t="shared" si="16"/>
        <v>V4 ACC 55% PNL 7426</v>
      </c>
      <c r="AO12" s="340" t="str">
        <f t="shared" si="16"/>
        <v>V5 ACC 61% PNL 29633</v>
      </c>
      <c r="AP12" s="340" t="str">
        <f t="shared" si="16"/>
        <v>V6 ACC 52% PNL 14092</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858300.99064841692</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28" t="s">
        <v>287</v>
      </c>
      <c r="B14" s="329" t="s">
        <v>558</v>
      </c>
      <c r="C14" s="330" t="s">
        <v>1285</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7968</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H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21726.143999999997</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8889</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52837.5</v>
      </c>
      <c r="Y19" s="137">
        <v>13500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124560</v>
      </c>
      <c r="Y20" s="137">
        <v>9000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10428</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28" t="s">
        <v>307</v>
      </c>
      <c r="B22" s="329" t="s">
        <v>484</v>
      </c>
      <c r="C22" s="330" t="s">
        <v>1285</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9180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4503</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14804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12992.099999999999</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13327.38</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28" t="s">
        <v>320</v>
      </c>
      <c r="B29" s="329" t="s">
        <v>564</v>
      </c>
      <c r="C29" s="330" t="s">
        <v>1285</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15750</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8436</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2449.7791999999999</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17434.559999999998</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28" t="s">
        <v>335</v>
      </c>
      <c r="B36" s="329" t="s">
        <v>568</v>
      </c>
      <c r="C36" s="330" t="s">
        <v>1285</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16638.4218</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15369.6543</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28" t="s">
        <v>341</v>
      </c>
      <c r="B39" s="329" t="s">
        <v>453</v>
      </c>
      <c r="C39" s="330" t="s">
        <v>1285</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7000</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11250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15115.9793814433</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110650</v>
      </c>
      <c r="Y43" s="137">
        <v>5750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25265.463917525773</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11970</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7894</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15000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84600</v>
      </c>
      <c r="Y48" s="137">
        <v>7000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330" t="s">
        <v>1285</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107085</v>
      </c>
      <c r="Y49" s="137">
        <v>7311</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6750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10000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8800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108400</v>
      </c>
      <c r="Y53" s="137">
        <v>6000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126630</v>
      </c>
      <c r="Y54" s="137">
        <v>15640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8312</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9572</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25145.999999999996</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18496</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17875</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9054</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6495</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12500</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15000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4376</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10500</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6192</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12236</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87604.422604422609</v>
      </c>
      <c r="Y70" s="137">
        <v>4299.8239032233369</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15250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12000</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33606</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1296</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6756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1036607.2289156626</v>
      </c>
      <c r="Y76" s="137">
        <v>1975.1135690302192</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75200</v>
      </c>
      <c r="Y77" s="137">
        <v>12000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26336.136177194425</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6246.24</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H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11250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16205.199999999997</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13500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1532125</v>
      </c>
      <c r="Y83" s="137">
        <v>8244</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6248</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9124</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14000</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19499.594399999998</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28" t="s">
        <v>1054</v>
      </c>
      <c r="B89" s="329" t="s">
        <v>463</v>
      </c>
      <c r="C89" s="330" t="s">
        <v>1285</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16248</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12326.4</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12518.999999999998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0.84507042253521125</v>
      </c>
      <c r="AB94" s="193">
        <f t="shared" si="68"/>
        <v>0.15492957746478872</v>
      </c>
      <c r="AC94" s="193">
        <f t="shared" ref="AC94" si="69">COUNTIF(AC14:AC92,"&gt;0")/$B$10</f>
        <v>0.647887323943662</v>
      </c>
      <c r="AD94" s="193">
        <f t="shared" si="68"/>
        <v>0.352112676056338</v>
      </c>
      <c r="AE94" s="193">
        <f t="shared" si="68"/>
        <v>0.54929577464788737</v>
      </c>
      <c r="AF94" s="193">
        <f t="shared" si="68"/>
        <v>0.61971830985915488</v>
      </c>
      <c r="AG94" s="193">
        <f t="shared" si="68"/>
        <v>0.46478873239436619</v>
      </c>
      <c r="AH94" s="193">
        <f t="shared" si="68"/>
        <v>0.36619718309859156</v>
      </c>
      <c r="AI94" s="193">
        <f t="shared" ref="AI94" si="70">COUNTIF(AI14:AI92,"&gt;0")/$B$10</f>
        <v>0.63380281690140849</v>
      </c>
      <c r="AJ94" s="193">
        <f t="shared" si="68"/>
        <v>0.46478873239436619</v>
      </c>
      <c r="AK94" s="193">
        <f t="shared" si="68"/>
        <v>0.57746478873239437</v>
      </c>
      <c r="AL94" s="193">
        <f t="shared" si="68"/>
        <v>0.42253521126760563</v>
      </c>
      <c r="AM94" s="193">
        <f t="shared" si="68"/>
        <v>0.57746478873239437</v>
      </c>
      <c r="AN94" s="193">
        <f t="shared" si="68"/>
        <v>0.54929577464788737</v>
      </c>
      <c r="AO94" s="193">
        <f t="shared" si="68"/>
        <v>0.60563380281690138</v>
      </c>
      <c r="AP94" s="193">
        <f t="shared" si="68"/>
        <v>0.52112676056338025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1294</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1" t="str">
        <f t="shared" ref="Z1:AP1" si="1">Z12</f>
        <v>MAX ACC 101% PNL 104530</v>
      </c>
      <c r="AA1" s="332" t="str">
        <f t="shared" si="1"/>
        <v>RISK-ON ACC 73% PNL 49810</v>
      </c>
      <c r="AB1" s="332" t="str">
        <f t="shared" si="1"/>
        <v>RISK-OFF ACC 28% PNL -49810</v>
      </c>
      <c r="AC1" s="332" t="str">
        <f t="shared" ref="AC1" si="2">AC12</f>
        <v>Previous ACC 51% PNL -1826</v>
      </c>
      <c r="AD1" s="295" t="str">
        <f t="shared" si="1"/>
        <v>Anti-Previous ACC 51% PNL 1826</v>
      </c>
      <c r="AE1" s="333" t="str">
        <f t="shared" si="1"/>
        <v>&gt;equity ACC 49% PNL 4497</v>
      </c>
      <c r="AF1" s="333" t="str">
        <f t="shared" si="1"/>
        <v>50/50 ACC 48% PNL -17357</v>
      </c>
      <c r="AG1" s="333" t="str">
        <f t="shared" si="1"/>
        <v>&lt;equity ACC 49% PNL -9497</v>
      </c>
      <c r="AH1" s="334" t="str">
        <f t="shared" si="1"/>
        <v>SEASONALITY ACC 55% PNL -5999</v>
      </c>
      <c r="AI1" s="334" t="str">
        <f t="shared" si="1"/>
        <v>ANTI-SEASONALITY ACC 46% PNL 5999</v>
      </c>
      <c r="AJ1" s="334" t="str">
        <f t="shared" si="1"/>
        <v>ADJ_SEASONALITY ACC 46% PNL -7345</v>
      </c>
      <c r="AK1" s="335" t="str">
        <f t="shared" si="1"/>
        <v>V1 ACC 52% PNL 6731</v>
      </c>
      <c r="AL1" s="335" t="str">
        <f t="shared" si="1"/>
        <v>V2 ACC 52% PNL 6568</v>
      </c>
      <c r="AM1" s="335" t="str">
        <f t="shared" si="1"/>
        <v>V3 ACC 45% PNL -10849</v>
      </c>
      <c r="AN1" s="335" t="str">
        <f t="shared" si="1"/>
        <v>V4 ACC 51% PNL 455</v>
      </c>
      <c r="AO1" s="335" t="str">
        <f t="shared" si="1"/>
        <v>V5 ACC 54% PNL 6577</v>
      </c>
      <c r="AP1" s="335" t="str">
        <f t="shared" si="1"/>
        <v>V6 ACC 48% PNL 4881</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2">
        <f t="shared" ref="K2:K9" si="7">SUMIF($C$14:$C$92,$A2,E$14:E$92)/$B2</f>
        <v>0.1111111111111111</v>
      </c>
      <c r="L2" s="342">
        <f t="shared" ref="L2:O9" si="8">SUMIF($C$14:$C$92,$A2,I$14:I$92)/$B2</f>
        <v>0.33333333333333331</v>
      </c>
      <c r="M2" s="342">
        <f t="shared" si="8"/>
        <v>0.33333333333333331</v>
      </c>
      <c r="N2" s="342">
        <f t="shared" si="8"/>
        <v>0.33333333333333331</v>
      </c>
      <c r="O2" s="342">
        <f t="shared" si="8"/>
        <v>0.55555555555555558</v>
      </c>
      <c r="P2" s="342">
        <f t="shared" ref="P2:V9" si="9">SUMIF($C$14:$C$92,$A2,O$14:O$92)/$B2</f>
        <v>0.1111111111111111</v>
      </c>
      <c r="Q2" s="342">
        <f t="shared" si="9"/>
        <v>0.1111111111111111</v>
      </c>
      <c r="R2" s="342">
        <f t="shared" si="9"/>
        <v>0.1111111111111111</v>
      </c>
      <c r="S2" s="342">
        <f t="shared" si="9"/>
        <v>-0.33333333333333331</v>
      </c>
      <c r="T2" s="342">
        <f t="shared" si="9"/>
        <v>-0.33333333333333331</v>
      </c>
      <c r="U2" s="342">
        <f t="shared" si="9"/>
        <v>-0.1111111111111111</v>
      </c>
      <c r="V2" s="342">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8.4507042253521125E-2</v>
      </c>
      <c r="F3" s="294">
        <f t="shared" si="3"/>
        <v>0.5</v>
      </c>
      <c r="G3" s="137">
        <f t="shared" si="4"/>
        <v>4886.055101366841</v>
      </c>
      <c r="H3" s="143">
        <f t="shared" si="5"/>
        <v>814.34251689447353</v>
      </c>
      <c r="I3" s="186">
        <f t="shared" ref="I3:I9" si="13">SUMIF($C$14:$C$92,A3,F$14:F$92)/B3</f>
        <v>-511.90905320955409</v>
      </c>
      <c r="J3" t="str">
        <f t="shared" si="6"/>
        <v>energy</v>
      </c>
      <c r="K3" s="342">
        <f t="shared" si="7"/>
        <v>0.66666666666666663</v>
      </c>
      <c r="L3" s="342">
        <f t="shared" si="8"/>
        <v>0.33333333333333331</v>
      </c>
      <c r="M3" s="342">
        <f t="shared" si="8"/>
        <v>0.33333333333333331</v>
      </c>
      <c r="N3" s="342">
        <f t="shared" si="8"/>
        <v>-0.66666666666666663</v>
      </c>
      <c r="O3" s="342">
        <f t="shared" si="8"/>
        <v>0.66666666666666663</v>
      </c>
      <c r="P3" s="342">
        <f t="shared" si="9"/>
        <v>0.33333333333333331</v>
      </c>
      <c r="Q3" s="342">
        <f t="shared" si="9"/>
        <v>-0.66666666666666663</v>
      </c>
      <c r="R3" s="342">
        <f t="shared" si="9"/>
        <v>0</v>
      </c>
      <c r="S3" s="342">
        <f t="shared" si="9"/>
        <v>-0.33333333333333331</v>
      </c>
      <c r="T3" s="342">
        <f t="shared" si="9"/>
        <v>-0.33333333333333331</v>
      </c>
      <c r="U3" s="342">
        <f t="shared" si="9"/>
        <v>1</v>
      </c>
      <c r="V3" s="342">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0.14084507042253522</v>
      </c>
      <c r="F4" s="294">
        <f t="shared" si="3"/>
        <v>0.3</v>
      </c>
      <c r="G4" s="137">
        <f t="shared" si="4"/>
        <v>7608.0595039681693</v>
      </c>
      <c r="H4" s="143">
        <f t="shared" si="5"/>
        <v>760.80595039681691</v>
      </c>
      <c r="I4" s="186">
        <f t="shared" si="13"/>
        <v>-44.333853069865484</v>
      </c>
      <c r="J4" t="str">
        <f t="shared" si="6"/>
        <v>grain</v>
      </c>
      <c r="K4" s="342">
        <f t="shared" si="7"/>
        <v>0.8</v>
      </c>
      <c r="L4" s="342">
        <f t="shared" si="8"/>
        <v>0.6</v>
      </c>
      <c r="M4" s="342">
        <f t="shared" si="8"/>
        <v>0.6</v>
      </c>
      <c r="N4" s="342">
        <f t="shared" si="8"/>
        <v>0</v>
      </c>
      <c r="O4" s="342">
        <f t="shared" si="8"/>
        <v>-0.6</v>
      </c>
      <c r="P4" s="342">
        <f t="shared" si="9"/>
        <v>0</v>
      </c>
      <c r="Q4" s="342">
        <f t="shared" si="9"/>
        <v>0.6</v>
      </c>
      <c r="R4" s="342">
        <f t="shared" si="9"/>
        <v>0</v>
      </c>
      <c r="S4" s="342">
        <f t="shared" si="9"/>
        <v>0.4</v>
      </c>
      <c r="T4" s="342">
        <f t="shared" si="9"/>
        <v>0.6</v>
      </c>
      <c r="U4" s="342">
        <f t="shared" si="9"/>
        <v>0.8</v>
      </c>
      <c r="V4" s="342">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0.29577464788732394</v>
      </c>
      <c r="F5" s="294">
        <f t="shared" si="3"/>
        <v>0.95238095238095233</v>
      </c>
      <c r="G5" s="137">
        <f t="shared" si="4"/>
        <v>38391.01861230217</v>
      </c>
      <c r="H5" s="143">
        <f t="shared" si="5"/>
        <v>1828.1437434429604</v>
      </c>
      <c r="I5" s="186">
        <f t="shared" si="13"/>
        <v>1823.3960321378649</v>
      </c>
      <c r="J5" t="str">
        <f t="shared" si="6"/>
        <v>index</v>
      </c>
      <c r="K5" s="342">
        <f t="shared" si="7"/>
        <v>0.42857142857142855</v>
      </c>
      <c r="L5" s="342">
        <f t="shared" si="8"/>
        <v>0.14285714285714285</v>
      </c>
      <c r="M5" s="342">
        <f t="shared" si="8"/>
        <v>-0.23809523809523808</v>
      </c>
      <c r="N5" s="342">
        <f t="shared" si="8"/>
        <v>0.14285714285714285</v>
      </c>
      <c r="O5" s="342">
        <f t="shared" si="8"/>
        <v>0.14285714285714285</v>
      </c>
      <c r="P5" s="342">
        <f t="shared" si="9"/>
        <v>0.23809523809523808</v>
      </c>
      <c r="Q5" s="342">
        <f t="shared" si="9"/>
        <v>0.42857142857142855</v>
      </c>
      <c r="R5" s="342">
        <f t="shared" si="9"/>
        <v>-0.33333333333333331</v>
      </c>
      <c r="S5" s="342">
        <f t="shared" si="9"/>
        <v>-0.42857142857142855</v>
      </c>
      <c r="T5" s="342">
        <f t="shared" si="9"/>
        <v>-0.23809523809523808</v>
      </c>
      <c r="U5" s="342">
        <f t="shared" si="9"/>
        <v>-0.14285714285714285</v>
      </c>
      <c r="V5" s="342">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4.2253521126760563E-2</v>
      </c>
      <c r="F6" s="294">
        <f t="shared" si="3"/>
        <v>0</v>
      </c>
      <c r="G6" s="137">
        <f t="shared" si="4"/>
        <v>8005.5004004503808</v>
      </c>
      <c r="H6" s="143">
        <f t="shared" si="5"/>
        <v>2668.5001334834601</v>
      </c>
      <c r="I6" s="186">
        <f t="shared" si="13"/>
        <v>-2668.5001334834601</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7.0422535211267609E-2</v>
      </c>
      <c r="F7" s="294">
        <f t="shared" si="3"/>
        <v>0.8</v>
      </c>
      <c r="G7" s="137">
        <f t="shared" si="4"/>
        <v>5209.3041858579245</v>
      </c>
      <c r="H7" s="143">
        <f t="shared" si="5"/>
        <v>1041.860837171585</v>
      </c>
      <c r="I7" s="186">
        <f t="shared" si="13"/>
        <v>969.95624353215067</v>
      </c>
      <c r="J7" t="str">
        <f t="shared" si="6"/>
        <v>metal</v>
      </c>
      <c r="K7" s="342">
        <f t="shared" si="7"/>
        <v>0.2</v>
      </c>
      <c r="L7" s="342">
        <f t="shared" si="8"/>
        <v>0.2</v>
      </c>
      <c r="M7" s="342">
        <f t="shared" si="8"/>
        <v>-0.2</v>
      </c>
      <c r="N7" s="342">
        <f t="shared" si="8"/>
        <v>0.2</v>
      </c>
      <c r="O7" s="342">
        <f t="shared" si="8"/>
        <v>1</v>
      </c>
      <c r="P7" s="342">
        <f t="shared" si="9"/>
        <v>0.2</v>
      </c>
      <c r="Q7" s="342">
        <f t="shared" si="9"/>
        <v>0.2</v>
      </c>
      <c r="R7" s="342">
        <f t="shared" si="9"/>
        <v>-0.2</v>
      </c>
      <c r="S7" s="342">
        <f t="shared" si="9"/>
        <v>-1</v>
      </c>
      <c r="T7" s="342">
        <f t="shared" si="9"/>
        <v>-0.6</v>
      </c>
      <c r="U7" s="342">
        <f t="shared" si="9"/>
        <v>-0.2</v>
      </c>
      <c r="V7" s="342">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0.14084507042253522</v>
      </c>
      <c r="F8" s="294">
        <f t="shared" si="3"/>
        <v>0</v>
      </c>
      <c r="G8" s="137">
        <f t="shared" si="4"/>
        <v>9014.5841573387879</v>
      </c>
      <c r="H8" s="143">
        <f t="shared" si="5"/>
        <v>901.45841573387884</v>
      </c>
      <c r="I8" s="186">
        <f t="shared" si="13"/>
        <v>-901.45841573387884</v>
      </c>
      <c r="J8" t="str">
        <f t="shared" si="6"/>
        <v>rates</v>
      </c>
      <c r="K8" s="342">
        <f t="shared" si="7"/>
        <v>0.4</v>
      </c>
      <c r="L8" s="342">
        <f t="shared" si="8"/>
        <v>0.2</v>
      </c>
      <c r="M8" s="342">
        <f t="shared" si="8"/>
        <v>-1</v>
      </c>
      <c r="N8" s="342">
        <f t="shared" si="8"/>
        <v>0.6</v>
      </c>
      <c r="O8" s="342">
        <f t="shared" si="8"/>
        <v>1</v>
      </c>
      <c r="P8" s="342">
        <f t="shared" si="9"/>
        <v>1</v>
      </c>
      <c r="Q8" s="342">
        <f t="shared" si="9"/>
        <v>0.4</v>
      </c>
      <c r="R8" s="342">
        <f t="shared" si="9"/>
        <v>-0.4</v>
      </c>
      <c r="S8" s="342">
        <f t="shared" si="9"/>
        <v>-0.8</v>
      </c>
      <c r="T8" s="342">
        <f t="shared" si="9"/>
        <v>-0.8</v>
      </c>
      <c r="U8" s="342">
        <f t="shared" si="9"/>
        <v>-1</v>
      </c>
      <c r="V8" s="342">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7</v>
      </c>
      <c r="C9" s="200">
        <f t="shared" si="12"/>
        <v>9.8591549295774641E-2</v>
      </c>
      <c r="D9" s="126"/>
      <c r="F9" s="294">
        <f t="shared" si="3"/>
        <v>0.8571428571428571</v>
      </c>
      <c r="G9" s="199">
        <f t="shared" si="4"/>
        <v>19425.750234614468</v>
      </c>
      <c r="H9" s="143">
        <f t="shared" si="5"/>
        <v>2775.1071763734953</v>
      </c>
      <c r="I9" s="186">
        <f t="shared" si="13"/>
        <v>1563.5463509266733</v>
      </c>
      <c r="J9" t="str">
        <f t="shared" si="6"/>
        <v>soft</v>
      </c>
      <c r="K9" s="342">
        <f t="shared" si="7"/>
        <v>0.14285714285714285</v>
      </c>
      <c r="L9" s="342">
        <f t="shared" si="8"/>
        <v>0.14285714285714285</v>
      </c>
      <c r="M9" s="342">
        <f t="shared" si="8"/>
        <v>-0.14285714285714285</v>
      </c>
      <c r="N9" s="342">
        <f t="shared" si="8"/>
        <v>0.42857142857142855</v>
      </c>
      <c r="O9" s="342">
        <f t="shared" si="8"/>
        <v>0.42857142857142855</v>
      </c>
      <c r="P9" s="342">
        <f t="shared" si="9"/>
        <v>-0.42857142857142855</v>
      </c>
      <c r="Q9" s="342">
        <f t="shared" si="9"/>
        <v>0.14285714285714285</v>
      </c>
      <c r="R9" s="342">
        <f t="shared" si="9"/>
        <v>0.14285714285714285</v>
      </c>
      <c r="S9" s="342">
        <f t="shared" si="9"/>
        <v>-0.14285714285714285</v>
      </c>
      <c r="T9" s="342">
        <f t="shared" si="9"/>
        <v>-0.14285714285714285</v>
      </c>
      <c r="U9" s="342">
        <f t="shared" si="9"/>
        <v>0.42857142857142855</v>
      </c>
      <c r="V9" s="342">
        <f t="shared" si="9"/>
        <v>-0.14285714285714285</v>
      </c>
      <c r="W9" s="286"/>
      <c r="X9" s="6"/>
      <c r="Y9" s="17" t="s">
        <v>304</v>
      </c>
      <c r="Z9" s="283">
        <f t="shared" si="10"/>
        <v>19425.750234614468</v>
      </c>
      <c r="AA9" s="283">
        <f t="shared" si="10"/>
        <v>10944.824456486713</v>
      </c>
      <c r="AB9" s="283">
        <f t="shared" si="10"/>
        <v>-10944.824456486713</v>
      </c>
      <c r="AC9" s="283">
        <f t="shared" si="10"/>
        <v>-697.58778437813453</v>
      </c>
      <c r="AD9" s="283">
        <f t="shared" si="10"/>
        <v>697.58778437813453</v>
      </c>
      <c r="AE9" s="283">
        <f t="shared" si="10"/>
        <v>6464.0883240697349</v>
      </c>
      <c r="AF9" s="283">
        <f t="shared" si="10"/>
        <v>-4936.95188797845</v>
      </c>
      <c r="AG9" s="283">
        <f t="shared" si="10"/>
        <v>-377.17448118049288</v>
      </c>
      <c r="AH9" s="283">
        <f t="shared" si="10"/>
        <v>-1519.7890905555992</v>
      </c>
      <c r="AI9" s="283">
        <f t="shared" si="10"/>
        <v>1519.7890905555992</v>
      </c>
      <c r="AJ9" s="283">
        <f t="shared" si="10"/>
        <v>-4537.4973103998309</v>
      </c>
      <c r="AK9" s="283">
        <f t="shared" si="10"/>
        <v>-697.58778437813453</v>
      </c>
      <c r="AL9" s="283">
        <f t="shared" si="10"/>
        <v>6784.5016272673747</v>
      </c>
      <c r="AM9" s="283">
        <f t="shared" si="10"/>
        <v>1840.2023937532394</v>
      </c>
      <c r="AN9" s="283">
        <f t="shared" si="10"/>
        <v>1840.2023937532394</v>
      </c>
      <c r="AO9" s="283">
        <f t="shared" si="10"/>
        <v>4537.4973103998309</v>
      </c>
      <c r="AP9" s="283">
        <f t="shared" si="10"/>
        <v>6464.0883240697349</v>
      </c>
    </row>
    <row r="10" spans="1:42" outlineLevel="1" x14ac:dyDescent="0.25">
      <c r="B10">
        <f>SUM(B2:B9)</f>
        <v>71</v>
      </c>
      <c r="C10" s="193">
        <f t="shared" si="12"/>
        <v>1</v>
      </c>
      <c r="D10" s="126"/>
      <c r="F10" s="294">
        <f>SUMIFS(H$14:H$92,H$14:H$92,1,$C$14:$C$92,"&lt;&gt;offline")/$B10</f>
        <v>0.57746478873239437</v>
      </c>
      <c r="G10" s="167">
        <f>SUM(G2:G9)</f>
        <v>104530.08215675535</v>
      </c>
      <c r="H10" s="143">
        <f t="shared" si="5"/>
        <v>1472.2546782641598</v>
      </c>
      <c r="I10">
        <f>SUM(F14:F92)/B10</f>
        <v>372.5334366167117</v>
      </c>
      <c r="J10" s="137"/>
      <c r="K10" s="6"/>
      <c r="L10" s="292"/>
      <c r="M10" s="286"/>
      <c r="N10" s="292"/>
      <c r="O10" s="6"/>
      <c r="R10" s="6"/>
      <c r="S10" s="286"/>
      <c r="T10" s="286"/>
      <c r="U10" s="286"/>
      <c r="V10" s="6"/>
      <c r="W10" s="286"/>
      <c r="X10" s="6"/>
      <c r="Y10" s="6" t="s">
        <v>1245</v>
      </c>
      <c r="Z10" s="284">
        <f>SUM(Z2:Z9)</f>
        <v>104530.08215675535</v>
      </c>
      <c r="AA10" s="284">
        <f t="shared" ref="AA10:AP10" si="14">SUM(AA2:AA9)</f>
        <v>49810.07427704829</v>
      </c>
      <c r="AB10" s="284">
        <f t="shared" si="14"/>
        <v>-49810.07427704829</v>
      </c>
      <c r="AC10" s="284">
        <f t="shared" si="14"/>
        <v>-1826.1067996691845</v>
      </c>
      <c r="AD10" s="284">
        <f t="shared" si="14"/>
        <v>1826.1067996691845</v>
      </c>
      <c r="AE10" s="284">
        <f t="shared" si="14"/>
        <v>4497.4272850855177</v>
      </c>
      <c r="AF10" s="284">
        <f t="shared" si="14"/>
        <v>-17357.126077339075</v>
      </c>
      <c r="AG10" s="284">
        <f t="shared" si="14"/>
        <v>-9496.630668531081</v>
      </c>
      <c r="AH10" s="284">
        <f t="shared" si="14"/>
        <v>-5999.077202438164</v>
      </c>
      <c r="AI10" s="284">
        <f t="shared" ref="AI10" si="15">SUM(AI2:AI9)</f>
        <v>5999.077202438164</v>
      </c>
      <c r="AJ10" s="284">
        <f t="shared" si="14"/>
        <v>-7344.6147228386999</v>
      </c>
      <c r="AK10" s="284">
        <f t="shared" si="14"/>
        <v>6731.3242520002696</v>
      </c>
      <c r="AL10" s="284">
        <f t="shared" si="14"/>
        <v>6567.9433195163256</v>
      </c>
      <c r="AM10" s="284">
        <f t="shared" si="14"/>
        <v>-10848.987420008631</v>
      </c>
      <c r="AN10" s="284">
        <f t="shared" si="14"/>
        <v>454.97643955326294</v>
      </c>
      <c r="AO10" s="284">
        <f t="shared" si="14"/>
        <v>6576.9873618139418</v>
      </c>
      <c r="AP10" s="284">
        <f t="shared" si="14"/>
        <v>4880.6472513293884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104530</v>
      </c>
      <c r="AA12" s="308" t="str">
        <f t="shared" si="16"/>
        <v>RISK-ON ACC 73% PNL 49810</v>
      </c>
      <c r="AB12" s="308" t="str">
        <f t="shared" si="16"/>
        <v>RISK-OFF ACC 28% PNL -49810</v>
      </c>
      <c r="AC12" s="308" t="str">
        <f t="shared" si="16"/>
        <v>Previous ACC 51% PNL -1826</v>
      </c>
      <c r="AD12" s="337" t="str">
        <f t="shared" si="16"/>
        <v>Anti-Previous ACC 51% PNL 1826</v>
      </c>
      <c r="AE12" s="338" t="str">
        <f t="shared" si="16"/>
        <v>&gt;equity ACC 49% PNL 4497</v>
      </c>
      <c r="AF12" s="338" t="str">
        <f t="shared" si="16"/>
        <v>50/50 ACC 48% PNL -17357</v>
      </c>
      <c r="AG12" s="338" t="str">
        <f t="shared" si="16"/>
        <v>&lt;equity ACC 49% PNL -9497</v>
      </c>
      <c r="AH12" s="339" t="str">
        <f t="shared" si="16"/>
        <v>SEASONALITY ACC 55% PNL -5999</v>
      </c>
      <c r="AI12" s="339" t="str">
        <f t="shared" si="16"/>
        <v>ANTI-SEASONALITY ACC 46% PNL 5999</v>
      </c>
      <c r="AJ12" s="339" t="str">
        <f t="shared" si="16"/>
        <v>ADJ_SEASONALITY ACC 46% PNL -7345</v>
      </c>
      <c r="AK12" s="340" t="str">
        <f t="shared" si="16"/>
        <v>V1 ACC 52% PNL 6731</v>
      </c>
      <c r="AL12" s="340" t="str">
        <f t="shared" si="16"/>
        <v>V2 ACC 52% PNL 6568</v>
      </c>
      <c r="AM12" s="340" t="str">
        <f t="shared" si="16"/>
        <v>V3 ACC 45% PNL -10849</v>
      </c>
      <c r="AN12" s="340" t="str">
        <f t="shared" si="16"/>
        <v>V4 ACC 51% PNL 455</v>
      </c>
      <c r="AO12" s="340" t="str">
        <f t="shared" si="16"/>
        <v>V5 ACC 54% PNL 6577</v>
      </c>
      <c r="AP12" s="340" t="str">
        <f t="shared" si="16"/>
        <v>V6 ACC 48% PNL 4881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858300.99064841692</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28" t="s">
        <v>287</v>
      </c>
      <c r="B14" s="329" t="s">
        <v>558</v>
      </c>
      <c r="C14" s="330" t="s">
        <v>1285</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7968</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H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21726.143999999997</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4685</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8889</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52237.5</v>
      </c>
      <c r="Y19" s="137">
        <v>13500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124040</v>
      </c>
      <c r="Y20" s="137">
        <v>9000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10428</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28" t="s">
        <v>307</v>
      </c>
      <c r="B22" s="329" t="s">
        <v>484</v>
      </c>
      <c r="C22" s="330" t="s">
        <v>1285</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9180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4503</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21792</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14804</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12992.099999999999</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13327.38</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28" t="s">
        <v>320</v>
      </c>
      <c r="B29" s="329" t="s">
        <v>564</v>
      </c>
      <c r="C29" s="330" t="s">
        <v>1285</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14250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15750</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8436</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2449.7791999999999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17434.559999999998</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28" t="s">
        <v>335</v>
      </c>
      <c r="B36" s="329" t="s">
        <v>568</v>
      </c>
      <c r="C36" s="330" t="s">
        <v>1285</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16638.4218</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15369.6543</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28" t="s">
        <v>341</v>
      </c>
      <c r="B39" s="329" t="s">
        <v>453</v>
      </c>
      <c r="C39" s="330" t="s">
        <v>1285</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7000</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11250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15115.9793814433</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107375</v>
      </c>
      <c r="Y43" s="137">
        <v>5750</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25265.463917525773</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11970</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7894</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15000</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83350</v>
      </c>
      <c r="Y48" s="137">
        <v>7000</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330" t="s">
        <v>1285</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106326</v>
      </c>
      <c r="Y49" s="137">
        <v>7311</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6750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10000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8800</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125359.99999999999</v>
      </c>
      <c r="Y53" s="137">
        <v>6000</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128030</v>
      </c>
      <c r="Y54" s="137">
        <v>15640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8312</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9572</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25145.999999999996</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18496</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17875</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9054</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6495</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12500</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15000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4376</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10500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6192</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12236</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86040.841206949102</v>
      </c>
      <c r="Y70" s="137">
        <v>4299.8239032233369</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15250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12000</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33606</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1296</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6756</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1045336.9639210347</v>
      </c>
      <c r="Y76" s="137">
        <v>1975.1135690302192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73480</v>
      </c>
      <c r="Y77" s="137">
        <v>12000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26336.136177194425</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6246.24</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H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11250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16205.199999999997</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13500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1533109.375</v>
      </c>
      <c r="Y83" s="137">
        <v>8244</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6248</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9124</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26148</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14000</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19499.594399999998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28" t="s">
        <v>1054</v>
      </c>
      <c r="B89" s="329" t="s">
        <v>463</v>
      </c>
      <c r="C89" s="330" t="s">
        <v>1285</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16248</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12326.4</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12518.999999999998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0.73239436619718312</v>
      </c>
      <c r="AB94" s="193">
        <f t="shared" si="68"/>
        <v>0.28169014084507044</v>
      </c>
      <c r="AC94" s="193">
        <f t="shared" ref="AC94" si="69">COUNTIF(AC14:AC92,"&gt;0")/$B$10</f>
        <v>0.50704225352112675</v>
      </c>
      <c r="AD94" s="193">
        <f t="shared" si="68"/>
        <v>0.50704225352112675</v>
      </c>
      <c r="AE94" s="193">
        <f t="shared" si="68"/>
        <v>0.49295774647887325</v>
      </c>
      <c r="AF94" s="193">
        <f t="shared" si="68"/>
        <v>0.47887323943661969</v>
      </c>
      <c r="AG94" s="193">
        <f t="shared" si="68"/>
        <v>0.49295774647887325</v>
      </c>
      <c r="AH94" s="193">
        <f t="shared" si="68"/>
        <v>0.54929577464788737</v>
      </c>
      <c r="AI94" s="193">
        <f t="shared" ref="AI94" si="70">COUNTIF(AI14:AI92,"&gt;0")/$B$10</f>
        <v>0.46478873239436619</v>
      </c>
      <c r="AJ94" s="193">
        <f t="shared" si="68"/>
        <v>0.46478873239436619</v>
      </c>
      <c r="AK94" s="193">
        <f t="shared" si="68"/>
        <v>0.52112676056338025</v>
      </c>
      <c r="AL94" s="193">
        <f t="shared" si="68"/>
        <v>0.52112676056338025</v>
      </c>
      <c r="AM94" s="193">
        <f t="shared" si="68"/>
        <v>0.45070422535211269</v>
      </c>
      <c r="AN94" s="193">
        <f t="shared" si="68"/>
        <v>0.50704225352112675</v>
      </c>
      <c r="AO94" s="193">
        <f t="shared" si="68"/>
        <v>0.53521126760563376</v>
      </c>
      <c r="AP94" s="193">
        <f t="shared" si="68"/>
        <v>0.47887323943661969</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1294</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1" t="str">
        <f t="shared" ref="Z1:AP1" si="1">Z12</f>
        <v>MAX ACC 100% PNL 85204</v>
      </c>
      <c r="AA1" s="332" t="str">
        <f t="shared" si="1"/>
        <v>RISK-ON ACC 63% PNL 45399</v>
      </c>
      <c r="AB1" s="332" t="str">
        <f t="shared" si="1"/>
        <v>RISK-OFF ACC 37% PNL -45399</v>
      </c>
      <c r="AC1" s="332" t="str">
        <f t="shared" ref="AC1" si="2">AC12</f>
        <v>Previous ACC 51% PNL -1438</v>
      </c>
      <c r="AD1" s="295" t="str">
        <f t="shared" si="1"/>
        <v>Anti-Previous ACC 49% PNL 1438</v>
      </c>
      <c r="AE1" s="333" t="str">
        <f t="shared" si="1"/>
        <v>&gt;equity ACC 42% PNL -3184</v>
      </c>
      <c r="AF1" s="333" t="str">
        <f t="shared" si="1"/>
        <v>50/50 ACC 55% PNL 7177</v>
      </c>
      <c r="AG1" s="333" t="str">
        <f t="shared" si="1"/>
        <v>&lt;equity ACC 52% PNL 621</v>
      </c>
      <c r="AH1" s="334" t="str">
        <f t="shared" si="1"/>
        <v>SEASONALITY ACC 54% PNL 11085</v>
      </c>
      <c r="AI1" s="334" t="str">
        <f t="shared" si="1"/>
        <v>ANTI-SEASONALITY ACC 46% PNL -11085</v>
      </c>
      <c r="AJ1" s="334" t="str">
        <f t="shared" si="1"/>
        <v>ADJ_SEASONALITY ACC 62% PNL 18929</v>
      </c>
      <c r="AK1" s="335" t="str">
        <f t="shared" si="1"/>
        <v>V1 ACC 54% PNL -2692</v>
      </c>
      <c r="AL1" s="335" t="str">
        <f t="shared" si="1"/>
        <v>V2 ACC 52% PNL 9069</v>
      </c>
      <c r="AM1" s="335" t="str">
        <f t="shared" si="1"/>
        <v>V3 ACC 52% PNL 5452</v>
      </c>
      <c r="AN1" s="335" t="str">
        <f t="shared" si="1"/>
        <v>V4 ACC 48% PNL -3556</v>
      </c>
      <c r="AO1" s="335" t="str">
        <f t="shared" si="1"/>
        <v>V5 ACC 42% PNL -8629</v>
      </c>
      <c r="AP1" s="335" t="str">
        <f t="shared" si="1"/>
        <v>V6 ACC 51% PNL 7385</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2">
        <f t="shared" ref="K2:K9" si="7">SUMIF($C$14:$C$92,$A2,E$14:E$92)/$B2</f>
        <v>-0.33333333333333331</v>
      </c>
      <c r="L2" s="342">
        <f t="shared" ref="L2:O9" si="8">SUMIF($C$14:$C$92,$A2,I$14:I$92)/$B2</f>
        <v>-0.1111111111111111</v>
      </c>
      <c r="M2" s="342">
        <f t="shared" si="8"/>
        <v>0.1111111111111111</v>
      </c>
      <c r="N2" s="342">
        <f t="shared" si="8"/>
        <v>-0.1111111111111111</v>
      </c>
      <c r="O2" s="342">
        <f t="shared" si="8"/>
        <v>0.55555555555555558</v>
      </c>
      <c r="P2" s="342">
        <f t="shared" ref="P2:V9" si="9">SUMIF($C$14:$C$92,$A2,O$14:O$92)/$B2</f>
        <v>-0.1111111111111111</v>
      </c>
      <c r="Q2" s="342">
        <f t="shared" si="9"/>
        <v>-0.33333333333333331</v>
      </c>
      <c r="R2" s="342">
        <f t="shared" si="9"/>
        <v>0.1111111111111111</v>
      </c>
      <c r="S2" s="342">
        <f t="shared" si="9"/>
        <v>-0.33333333333333331</v>
      </c>
      <c r="T2" s="342">
        <f t="shared" si="9"/>
        <v>-0.33333333333333331</v>
      </c>
      <c r="U2" s="342">
        <f t="shared" si="9"/>
        <v>-0.1111111111111111</v>
      </c>
      <c r="V2" s="342">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8.4507042253521125E-2</v>
      </c>
      <c r="F3" s="294">
        <f t="shared" si="3"/>
        <v>0.83333333333333337</v>
      </c>
      <c r="G3" s="137">
        <f t="shared" si="4"/>
        <v>4398.3391056880109</v>
      </c>
      <c r="H3" s="143">
        <f t="shared" si="5"/>
        <v>733.05651761466845</v>
      </c>
      <c r="I3" s="186">
        <f t="shared" ref="I3:I9" si="13">SUMIF($C$14:$C$92,A3,F$14:F$92)/B3</f>
        <v>98.003451576046885</v>
      </c>
      <c r="J3" t="str">
        <f t="shared" si="6"/>
        <v>energy</v>
      </c>
      <c r="K3" s="342">
        <f t="shared" si="7"/>
        <v>-0.66666666666666663</v>
      </c>
      <c r="L3" s="342">
        <f t="shared" si="8"/>
        <v>-0.33333333333333331</v>
      </c>
      <c r="M3" s="342">
        <f t="shared" si="8"/>
        <v>-0.33333333333333331</v>
      </c>
      <c r="N3" s="342">
        <f t="shared" si="8"/>
        <v>-0.33333333333333331</v>
      </c>
      <c r="O3" s="342">
        <f t="shared" si="8"/>
        <v>0.66666666666666663</v>
      </c>
      <c r="P3" s="342">
        <f t="shared" si="9"/>
        <v>0.33333333333333331</v>
      </c>
      <c r="Q3" s="342">
        <f t="shared" si="9"/>
        <v>-0.66666666666666663</v>
      </c>
      <c r="R3" s="342">
        <f t="shared" si="9"/>
        <v>0.66666666666666663</v>
      </c>
      <c r="S3" s="342">
        <f t="shared" si="9"/>
        <v>-0.66666666666666663</v>
      </c>
      <c r="T3" s="342">
        <f t="shared" si="9"/>
        <v>-0.66666666666666663</v>
      </c>
      <c r="U3" s="342">
        <f t="shared" si="9"/>
        <v>-0.66666666666666663</v>
      </c>
      <c r="V3" s="342">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0.14084507042253522</v>
      </c>
      <c r="F4" s="294">
        <f t="shared" si="3"/>
        <v>0.9</v>
      </c>
      <c r="G4" s="137">
        <f t="shared" si="4"/>
        <v>18553.321180615476</v>
      </c>
      <c r="H4" s="143">
        <f t="shared" si="5"/>
        <v>1855.3321180615476</v>
      </c>
      <c r="I4" s="186">
        <f t="shared" si="13"/>
        <v>1418.8350983457474</v>
      </c>
      <c r="J4" t="str">
        <f t="shared" si="6"/>
        <v>grain</v>
      </c>
      <c r="K4" s="342">
        <f t="shared" si="7"/>
        <v>-0.4</v>
      </c>
      <c r="L4" s="342">
        <f t="shared" si="8"/>
        <v>0</v>
      </c>
      <c r="M4" s="342">
        <f t="shared" si="8"/>
        <v>0</v>
      </c>
      <c r="N4" s="342">
        <f t="shared" si="8"/>
        <v>-0.8</v>
      </c>
      <c r="O4" s="342">
        <f t="shared" si="8"/>
        <v>-0.6</v>
      </c>
      <c r="P4" s="342">
        <f t="shared" si="9"/>
        <v>-0.4</v>
      </c>
      <c r="Q4" s="342">
        <f t="shared" si="9"/>
        <v>-0.4</v>
      </c>
      <c r="R4" s="342">
        <f t="shared" si="9"/>
        <v>-0.2</v>
      </c>
      <c r="S4" s="342">
        <f t="shared" si="9"/>
        <v>0.8</v>
      </c>
      <c r="T4" s="342">
        <f t="shared" si="9"/>
        <v>0</v>
      </c>
      <c r="U4" s="342">
        <f t="shared" si="9"/>
        <v>0.6</v>
      </c>
      <c r="V4" s="342">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0.29577464788732394</v>
      </c>
      <c r="F5" s="294">
        <f t="shared" si="3"/>
        <v>0.7142857142857143</v>
      </c>
      <c r="G5" s="137">
        <f t="shared" si="4"/>
        <v>32529.099084795685</v>
      </c>
      <c r="H5" s="143">
        <f t="shared" si="5"/>
        <v>1549.004718323604</v>
      </c>
      <c r="I5" s="186">
        <f t="shared" si="13"/>
        <v>1128.7509886316714</v>
      </c>
      <c r="J5" t="str">
        <f t="shared" si="6"/>
        <v>index</v>
      </c>
      <c r="K5" s="342">
        <f t="shared" si="7"/>
        <v>0.42857142857142855</v>
      </c>
      <c r="L5" s="342">
        <f t="shared" si="8"/>
        <v>-4.7619047619047616E-2</v>
      </c>
      <c r="M5" s="342">
        <f t="shared" si="8"/>
        <v>4.7619047619047616E-2</v>
      </c>
      <c r="N5" s="342">
        <f t="shared" si="8"/>
        <v>-4.7619047619047616E-2</v>
      </c>
      <c r="O5" s="342">
        <f t="shared" si="8"/>
        <v>0.33333333333333331</v>
      </c>
      <c r="P5" s="342">
        <f t="shared" si="9"/>
        <v>0.33333333333333331</v>
      </c>
      <c r="Q5" s="342">
        <f t="shared" si="9"/>
        <v>-0.14285714285714285</v>
      </c>
      <c r="R5" s="342">
        <f t="shared" si="9"/>
        <v>-4.7619047619047616E-2</v>
      </c>
      <c r="S5" s="342">
        <f t="shared" si="9"/>
        <v>-0.23809523809523808</v>
      </c>
      <c r="T5" s="342">
        <f t="shared" si="9"/>
        <v>-0.23809523809523808</v>
      </c>
      <c r="U5" s="342">
        <f t="shared" si="9"/>
        <v>0.14285714285714285</v>
      </c>
      <c r="V5" s="342">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4.2253521126760563E-2</v>
      </c>
      <c r="F6" s="294">
        <f t="shared" si="3"/>
        <v>0.33333333333333331</v>
      </c>
      <c r="G6" s="137">
        <f t="shared" si="4"/>
        <v>2732.9782310946512</v>
      </c>
      <c r="H6" s="143">
        <f t="shared" si="5"/>
        <v>910.99274369821705</v>
      </c>
      <c r="I6" s="186">
        <f t="shared" si="13"/>
        <v>-569.70025711525932</v>
      </c>
      <c r="J6" t="str">
        <f t="shared" si="6"/>
        <v>meat</v>
      </c>
      <c r="K6" s="342">
        <f t="shared" si="7"/>
        <v>-1</v>
      </c>
      <c r="L6" s="342">
        <f t="shared" si="8"/>
        <v>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1</v>
      </c>
      <c r="T6" s="342">
        <f t="shared" si="9"/>
        <v>1</v>
      </c>
      <c r="U6" s="342">
        <f t="shared" si="9"/>
        <v>0.33333333333333331</v>
      </c>
      <c r="V6" s="342">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7.0422535211267609E-2</v>
      </c>
      <c r="F7" s="294">
        <f t="shared" si="3"/>
        <v>0.6</v>
      </c>
      <c r="G7" s="137">
        <f t="shared" si="4"/>
        <v>3385.4317258242409</v>
      </c>
      <c r="H7" s="143">
        <f t="shared" si="5"/>
        <v>677.08634516484813</v>
      </c>
      <c r="I7" s="186">
        <f t="shared" si="13"/>
        <v>439.67909431062878</v>
      </c>
      <c r="J7" t="str">
        <f t="shared" si="6"/>
        <v>metal</v>
      </c>
      <c r="K7" s="342">
        <f t="shared" si="7"/>
        <v>-0.2</v>
      </c>
      <c r="L7" s="342">
        <f t="shared" si="8"/>
        <v>0.2</v>
      </c>
      <c r="M7" s="342">
        <f t="shared" si="8"/>
        <v>-1</v>
      </c>
      <c r="N7" s="342">
        <f t="shared" si="8"/>
        <v>0.2</v>
      </c>
      <c r="O7" s="342">
        <f t="shared" si="8"/>
        <v>1</v>
      </c>
      <c r="P7" s="342">
        <f t="shared" si="9"/>
        <v>0.2</v>
      </c>
      <c r="Q7" s="342">
        <f t="shared" si="9"/>
        <v>-0.6</v>
      </c>
      <c r="R7" s="342">
        <f t="shared" si="9"/>
        <v>-0.6</v>
      </c>
      <c r="S7" s="342">
        <f t="shared" si="9"/>
        <v>-0.2</v>
      </c>
      <c r="T7" s="342">
        <f t="shared" si="9"/>
        <v>-1</v>
      </c>
      <c r="U7" s="342">
        <f t="shared" si="9"/>
        <v>-0.6</v>
      </c>
      <c r="V7" s="342">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0.14084507042253522</v>
      </c>
      <c r="F8" s="294">
        <f t="shared" si="3"/>
        <v>0.7</v>
      </c>
      <c r="G8" s="137">
        <f t="shared" si="4"/>
        <v>5714.1691185263408</v>
      </c>
      <c r="H8" s="143">
        <f t="shared" si="5"/>
        <v>571.41691185263403</v>
      </c>
      <c r="I8" s="186">
        <f t="shared" si="13"/>
        <v>287.69983704357571</v>
      </c>
      <c r="J8" t="str">
        <f t="shared" si="6"/>
        <v>rates</v>
      </c>
      <c r="K8" s="342">
        <f t="shared" si="7"/>
        <v>0.2</v>
      </c>
      <c r="L8" s="342">
        <f t="shared" si="8"/>
        <v>0.2</v>
      </c>
      <c r="M8" s="342">
        <f t="shared" si="8"/>
        <v>-0.2</v>
      </c>
      <c r="N8" s="342">
        <f t="shared" si="8"/>
        <v>0.6</v>
      </c>
      <c r="O8" s="342">
        <f t="shared" si="8"/>
        <v>1</v>
      </c>
      <c r="P8" s="342">
        <f t="shared" si="9"/>
        <v>1</v>
      </c>
      <c r="Q8" s="342">
        <f t="shared" si="9"/>
        <v>0</v>
      </c>
      <c r="R8" s="342">
        <f t="shared" si="9"/>
        <v>0.2</v>
      </c>
      <c r="S8" s="342">
        <f t="shared" si="9"/>
        <v>-0.4</v>
      </c>
      <c r="T8" s="342">
        <f t="shared" si="9"/>
        <v>0</v>
      </c>
      <c r="U8" s="342">
        <f t="shared" si="9"/>
        <v>-0.8</v>
      </c>
      <c r="V8" s="342">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7</v>
      </c>
      <c r="C9" s="200">
        <f t="shared" si="12"/>
        <v>9.8591549295774641E-2</v>
      </c>
      <c r="D9" s="126"/>
      <c r="F9" s="294">
        <f t="shared" si="3"/>
        <v>0.5714285714285714</v>
      </c>
      <c r="G9" s="199">
        <f t="shared" si="4"/>
        <v>7792.5300457271078</v>
      </c>
      <c r="H9" s="143">
        <f t="shared" si="5"/>
        <v>1113.2185779610154</v>
      </c>
      <c r="I9" s="186">
        <f t="shared" si="13"/>
        <v>653.7379387225659</v>
      </c>
      <c r="J9" t="str">
        <f t="shared" si="6"/>
        <v>soft</v>
      </c>
      <c r="K9" s="342">
        <f t="shared" si="7"/>
        <v>-0.14285714285714285</v>
      </c>
      <c r="L9" s="342">
        <f t="shared" si="8"/>
        <v>0.42857142857142855</v>
      </c>
      <c r="M9" s="342">
        <f t="shared" si="8"/>
        <v>0.42857142857142855</v>
      </c>
      <c r="N9" s="342">
        <f t="shared" si="8"/>
        <v>0.42857142857142855</v>
      </c>
      <c r="O9" s="342">
        <f t="shared" si="8"/>
        <v>0.42857142857142855</v>
      </c>
      <c r="P9" s="342">
        <f t="shared" si="9"/>
        <v>-0.42857142857142855</v>
      </c>
      <c r="Q9" s="342">
        <f t="shared" si="9"/>
        <v>0.14285714285714285</v>
      </c>
      <c r="R9" s="342">
        <f t="shared" si="9"/>
        <v>0.14285714285714285</v>
      </c>
      <c r="S9" s="342">
        <f t="shared" si="9"/>
        <v>-0.14285714285714285</v>
      </c>
      <c r="T9" s="342">
        <f t="shared" si="9"/>
        <v>-0.14285714285714285</v>
      </c>
      <c r="U9" s="342">
        <f t="shared" si="9"/>
        <v>-0.14285714285714285</v>
      </c>
      <c r="V9" s="342">
        <f t="shared" si="9"/>
        <v>0.14285714285714285</v>
      </c>
      <c r="W9" s="286"/>
      <c r="X9" s="6"/>
      <c r="Y9" s="17" t="s">
        <v>304</v>
      </c>
      <c r="Z9" s="283">
        <f t="shared" si="10"/>
        <v>7792.5300457271078</v>
      </c>
      <c r="AA9" s="283">
        <f t="shared" si="10"/>
        <v>4576.1655710579616</v>
      </c>
      <c r="AB9" s="283">
        <f t="shared" si="10"/>
        <v>-4576.1655710579616</v>
      </c>
      <c r="AC9" s="283">
        <f t="shared" si="10"/>
        <v>1250.8598883645739</v>
      </c>
      <c r="AD9" s="283">
        <f t="shared" si="10"/>
        <v>-1250.8598883645739</v>
      </c>
      <c r="AE9" s="283">
        <f t="shared" si="10"/>
        <v>-2286.5126214831312</v>
      </c>
      <c r="AF9" s="283">
        <f t="shared" si="10"/>
        <v>6756.8773126085507</v>
      </c>
      <c r="AG9" s="283">
        <f t="shared" si="10"/>
        <v>6756.8773126085507</v>
      </c>
      <c r="AH9" s="283">
        <f t="shared" si="10"/>
        <v>3690.3382963690337</v>
      </c>
      <c r="AI9" s="283">
        <f t="shared" si="10"/>
        <v>-3690.3382963690337</v>
      </c>
      <c r="AJ9" s="283">
        <f t="shared" si="10"/>
        <v>-3825.0510073727237</v>
      </c>
      <c r="AK9" s="283">
        <f t="shared" si="10"/>
        <v>3250.9182152980466</v>
      </c>
      <c r="AL9" s="283">
        <f t="shared" si="10"/>
        <v>-1250.8598883645739</v>
      </c>
      <c r="AM9" s="283">
        <f t="shared" si="10"/>
        <v>-184.37919905852914</v>
      </c>
      <c r="AN9" s="283">
        <f t="shared" si="10"/>
        <v>-184.37919905852914</v>
      </c>
      <c r="AO9" s="283">
        <f t="shared" si="10"/>
        <v>-1680.9664168712529</v>
      </c>
      <c r="AP9" s="283">
        <f t="shared" si="10"/>
        <v>-1250.8598883645739</v>
      </c>
    </row>
    <row r="10" spans="1:42" outlineLevel="1" x14ac:dyDescent="0.25">
      <c r="B10">
        <f>SUM(B2:B9)</f>
        <v>71</v>
      </c>
      <c r="C10" s="193">
        <f t="shared" si="12"/>
        <v>1</v>
      </c>
      <c r="D10" s="126"/>
      <c r="F10" s="294">
        <f>SUMIFS(H$14:H$92,H$14:H$92,1,$C$14:$C$92,"&lt;&gt;offline")/$B10</f>
        <v>0.6901408450704225</v>
      </c>
      <c r="G10" s="167">
        <f>SUM(G2:G9)</f>
        <v>85204.136569082402</v>
      </c>
      <c r="H10" s="143">
        <f t="shared" si="5"/>
        <v>1200.0582615363719</v>
      </c>
      <c r="I10">
        <f>SUM(F14:F92)/B10</f>
        <v>747.35990670865135</v>
      </c>
      <c r="J10" s="137"/>
      <c r="K10" s="6"/>
      <c r="L10" s="292"/>
      <c r="M10" s="286"/>
      <c r="N10" s="292"/>
      <c r="O10" s="6"/>
      <c r="R10" s="6"/>
      <c r="S10" s="286"/>
      <c r="T10" s="286"/>
      <c r="U10" s="286"/>
      <c r="V10" s="6"/>
      <c r="W10" s="286"/>
      <c r="X10" s="6"/>
      <c r="Y10" s="6" t="s">
        <v>1245</v>
      </c>
      <c r="Z10" s="284">
        <f>SUM(Z2:Z9)</f>
        <v>85204.136569082402</v>
      </c>
      <c r="AA10" s="284">
        <f t="shared" ref="AA10:AP10" si="14">SUM(AA2:AA9)</f>
        <v>45398.712440645846</v>
      </c>
      <c r="AB10" s="284">
        <f t="shared" si="14"/>
        <v>-45398.712440645846</v>
      </c>
      <c r="AC10" s="284">
        <f t="shared" si="14"/>
        <v>-1437.8985749028163</v>
      </c>
      <c r="AD10" s="284">
        <f t="shared" si="14"/>
        <v>1437.8985749028163</v>
      </c>
      <c r="AE10" s="284">
        <f t="shared" si="14"/>
        <v>-3183.6790762164746</v>
      </c>
      <c r="AF10" s="284">
        <f t="shared" si="14"/>
        <v>7176.8801512712407</v>
      </c>
      <c r="AG10" s="284">
        <f t="shared" si="14"/>
        <v>621.05155061270125</v>
      </c>
      <c r="AH10" s="284">
        <f t="shared" si="14"/>
        <v>11085.147774287434</v>
      </c>
      <c r="AI10" s="284">
        <f t="shared" ref="AI10" si="15">SUM(AI2:AI9)</f>
        <v>-11085.147774287434</v>
      </c>
      <c r="AJ10" s="284">
        <f t="shared" si="14"/>
        <v>18928.522376180339</v>
      </c>
      <c r="AK10" s="284">
        <f t="shared" si="14"/>
        <v>-2692.0770518317076</v>
      </c>
      <c r="AL10" s="284">
        <f t="shared" si="14"/>
        <v>9069.1714624675351</v>
      </c>
      <c r="AM10" s="284">
        <f t="shared" si="14"/>
        <v>5451.5227968259314</v>
      </c>
      <c r="AN10" s="284">
        <f t="shared" si="14"/>
        <v>-3555.9478755407822</v>
      </c>
      <c r="AO10" s="284">
        <f t="shared" si="14"/>
        <v>-8629.0774693364674</v>
      </c>
      <c r="AP10" s="284">
        <f t="shared" si="14"/>
        <v>7385.1965715813003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85204</v>
      </c>
      <c r="AA12" s="308" t="str">
        <f t="shared" si="16"/>
        <v>RISK-ON ACC 63% PNL 45399</v>
      </c>
      <c r="AB12" s="308" t="str">
        <f t="shared" si="16"/>
        <v>RISK-OFF ACC 37% PNL -45399</v>
      </c>
      <c r="AC12" s="308" t="str">
        <f t="shared" si="16"/>
        <v>Previous ACC 51% PNL -1438</v>
      </c>
      <c r="AD12" s="337" t="str">
        <f t="shared" si="16"/>
        <v>Anti-Previous ACC 49% PNL 1438</v>
      </c>
      <c r="AE12" s="338" t="str">
        <f t="shared" si="16"/>
        <v>&gt;equity ACC 42% PNL -3184</v>
      </c>
      <c r="AF12" s="338" t="str">
        <f t="shared" si="16"/>
        <v>50/50 ACC 55% PNL 7177</v>
      </c>
      <c r="AG12" s="338" t="str">
        <f t="shared" si="16"/>
        <v>&lt;equity ACC 52% PNL 621</v>
      </c>
      <c r="AH12" s="339" t="str">
        <f t="shared" si="16"/>
        <v>SEASONALITY ACC 54% PNL 11085</v>
      </c>
      <c r="AI12" s="339" t="str">
        <f t="shared" si="16"/>
        <v>ANTI-SEASONALITY ACC 46% PNL -11085</v>
      </c>
      <c r="AJ12" s="339" t="str">
        <f t="shared" si="16"/>
        <v>ADJ_SEASONALITY ACC 62% PNL 18929</v>
      </c>
      <c r="AK12" s="340" t="str">
        <f t="shared" si="16"/>
        <v>V1 ACC 54% PNL -2692</v>
      </c>
      <c r="AL12" s="340" t="str">
        <f t="shared" si="16"/>
        <v>V2 ACC 52% PNL 9069</v>
      </c>
      <c r="AM12" s="340" t="str">
        <f t="shared" si="16"/>
        <v>V3 ACC 52% PNL 5452</v>
      </c>
      <c r="AN12" s="340" t="str">
        <f t="shared" si="16"/>
        <v>V4 ACC 48% PNL -3556</v>
      </c>
      <c r="AO12" s="340" t="str">
        <f t="shared" si="16"/>
        <v>V5 ACC 42% PNL -8629</v>
      </c>
      <c r="AP12" s="340" t="str">
        <f t="shared" si="16"/>
        <v>V6 ACC 51% PNL 7385</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858300.99064841692</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28" t="s">
        <v>287</v>
      </c>
      <c r="B14" s="329" t="s">
        <v>558</v>
      </c>
      <c r="C14" s="330" t="s">
        <v>1285</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7968</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H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21726.143999999997</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4685</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8889</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53250</v>
      </c>
      <c r="Y19" s="137">
        <v>13500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123880</v>
      </c>
      <c r="Y20" s="137">
        <v>9000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10428</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28" t="s">
        <v>307</v>
      </c>
      <c r="B22" s="329" t="s">
        <v>484</v>
      </c>
      <c r="C22" s="330" t="s">
        <v>1285</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9180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4503</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21792</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14804</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12992.099999999999</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13327.38</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28" t="s">
        <v>320</v>
      </c>
      <c r="B29" s="329" t="s">
        <v>564</v>
      </c>
      <c r="C29" s="330" t="s">
        <v>1285</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14250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15750</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8436</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2449.7791999999999</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17434.559999999998</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28" t="s">
        <v>335</v>
      </c>
      <c r="B36" s="329" t="s">
        <v>568</v>
      </c>
      <c r="C36" s="330" t="s">
        <v>1285</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16638.4218</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15369.6543</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28" t="s">
        <v>341</v>
      </c>
      <c r="B39" s="329" t="s">
        <v>453</v>
      </c>
      <c r="C39" s="330" t="s">
        <v>1285</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7000</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11250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15115.9793814433</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105950</v>
      </c>
      <c r="Y43" s="137">
        <v>5750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25265.463917525773</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11970</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7894</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15000</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84250</v>
      </c>
      <c r="Y48" s="137">
        <v>7000</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330" t="s">
        <v>1285</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105336</v>
      </c>
      <c r="Y49" s="137">
        <v>7311</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6750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10000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8800</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126120</v>
      </c>
      <c r="Y53" s="137">
        <v>6000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125790</v>
      </c>
      <c r="Y54" s="137">
        <v>15640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8312</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9572</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25145.999999999996</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18496</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17875</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9054</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6495</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12500</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15000</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6750</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4376</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10500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12236</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6850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86509.701664238048</v>
      </c>
      <c r="Y70" s="137">
        <v>4299.8239032233369</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15250</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12000</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33606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1296</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6756</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1070834.1628508861</v>
      </c>
      <c r="Y76" s="137">
        <v>1975.1135690302192</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74060</v>
      </c>
      <c r="Y77" s="137">
        <v>12000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26336.136177194425</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6246.24</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H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16205.199999999997</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13500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1534312.5</v>
      </c>
      <c r="Y83" s="137">
        <v>8244</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6248</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9124</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14000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19499.594399999998</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28" t="s">
        <v>1054</v>
      </c>
      <c r="B89" s="329" t="s">
        <v>463</v>
      </c>
      <c r="C89" s="330" t="s">
        <v>1285</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16248</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12326.4</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12518.999999999998</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0.63380281690140849</v>
      </c>
      <c r="AB94" s="193">
        <f t="shared" si="68"/>
        <v>0.36619718309859156</v>
      </c>
      <c r="AC94" s="193">
        <f t="shared" ref="AC94" si="69">COUNTIF(AC14:AC92,"&gt;0")/$B$10</f>
        <v>0.50704225352112675</v>
      </c>
      <c r="AD94" s="193">
        <f t="shared" si="68"/>
        <v>0.49295774647887325</v>
      </c>
      <c r="AE94" s="193">
        <f t="shared" si="68"/>
        <v>0.42253521126760563</v>
      </c>
      <c r="AF94" s="193">
        <f t="shared" si="68"/>
        <v>0.54929577464788737</v>
      </c>
      <c r="AG94" s="193">
        <f t="shared" si="68"/>
        <v>0.52112676056338025</v>
      </c>
      <c r="AH94" s="193">
        <f t="shared" si="68"/>
        <v>0.53521126760563376</v>
      </c>
      <c r="AI94" s="193">
        <f t="shared" ref="AI94" si="70">COUNTIF(AI14:AI92,"&gt;0")/$B$10</f>
        <v>0.46478873239436619</v>
      </c>
      <c r="AJ94" s="193">
        <f t="shared" si="68"/>
        <v>0.61971830985915488</v>
      </c>
      <c r="AK94" s="193">
        <f t="shared" si="68"/>
        <v>0.53521126760563376</v>
      </c>
      <c r="AL94" s="193">
        <f t="shared" si="68"/>
        <v>0.52112676056338025</v>
      </c>
      <c r="AM94" s="193">
        <f t="shared" si="68"/>
        <v>0.52112676056338025</v>
      </c>
      <c r="AN94" s="193">
        <f t="shared" si="68"/>
        <v>0.47887323943661969</v>
      </c>
      <c r="AO94" s="193">
        <f t="shared" si="68"/>
        <v>0.42253521126760563</v>
      </c>
      <c r="AP94" s="193">
        <f t="shared" si="68"/>
        <v>0.50704225352112675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1294</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1" t="str">
        <f t="shared" ref="Z1:AP1" si="1">Z12</f>
        <v>MAX ACC 100% PNL 79860</v>
      </c>
      <c r="AA1" s="332" t="str">
        <f t="shared" si="1"/>
        <v>RISK-ON ACC 44% PNL -24767</v>
      </c>
      <c r="AB1" s="332" t="str">
        <f t="shared" si="1"/>
        <v>RISK-OFF ACC 56% PNL 24767</v>
      </c>
      <c r="AC1" s="332" t="str">
        <f t="shared" ref="AC1" si="2">AC12</f>
        <v>Previous ACC 42% PNL -13522</v>
      </c>
      <c r="AD1" s="295" t="str">
        <f t="shared" si="1"/>
        <v>Anti-Previous ACC 58% PNL 13522</v>
      </c>
      <c r="AE1" s="333" t="str">
        <f t="shared" si="1"/>
        <v>&gt;equity ACC 48% PNL -10894</v>
      </c>
      <c r="AF1" s="333" t="str">
        <f t="shared" si="1"/>
        <v>50/50 ACC 52% PNL 7071</v>
      </c>
      <c r="AG1" s="333" t="str">
        <f t="shared" si="1"/>
        <v>&lt;equity ACC 52% PNL 16093</v>
      </c>
      <c r="AH1" s="334" t="str">
        <f t="shared" si="1"/>
        <v>SEASONALITY ACC 51% PNL 3324</v>
      </c>
      <c r="AI1" s="334" t="str">
        <f t="shared" si="1"/>
        <v>ANTI-SEASONALITY ACC 49% PNL -3324</v>
      </c>
      <c r="AJ1" s="334" t="str">
        <f t="shared" si="1"/>
        <v>ADJ_SEASONALITY ACC 56% PNL 7783</v>
      </c>
      <c r="AK1" s="335" t="str">
        <f t="shared" si="1"/>
        <v>V1 ACC 48% PNL 3221</v>
      </c>
      <c r="AL1" s="335" t="str">
        <f t="shared" si="1"/>
        <v>V2 ACC 54% PNL 3000</v>
      </c>
      <c r="AM1" s="335" t="str">
        <f t="shared" si="1"/>
        <v>V3 ACC 55% PNL 6815</v>
      </c>
      <c r="AN1" s="335" t="str">
        <f t="shared" si="1"/>
        <v>V4 ACC 48% PNL -6217</v>
      </c>
      <c r="AO1" s="335" t="str">
        <f t="shared" si="1"/>
        <v>V5 ACC 41% PNL -22760</v>
      </c>
      <c r="AP1" s="335" t="str">
        <f t="shared" si="1"/>
        <v>V6 ACC 54% PNL -1733</v>
      </c>
    </row>
    <row r="2" spans="1:42" outlineLevel="1" x14ac:dyDescent="0.25">
      <c r="A2" t="s">
        <v>1121</v>
      </c>
      <c r="B2" s="95">
        <f>COUNTIF($C$14:$C$92,A2)</f>
        <v>9</v>
      </c>
      <c r="C2" s="193">
        <f>B2/$B$10</f>
        <v>0.12676056338028169</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2">
        <f t="shared" ref="K2:K9" si="7">SUMIF($C$14:$C$92,$A2,E$14:E$92)/$B2</f>
        <v>0.33333333333333331</v>
      </c>
      <c r="L2" s="342">
        <f t="shared" ref="L2:O9" si="8">SUMIF($C$14:$C$92,$A2,I$14:I$92)/$B2</f>
        <v>-0.55555555555555558</v>
      </c>
      <c r="M2" s="342">
        <f t="shared" si="8"/>
        <v>0.1111111111111111</v>
      </c>
      <c r="N2" s="342">
        <f t="shared" si="8"/>
        <v>-0.1111111111111111</v>
      </c>
      <c r="O2" s="342">
        <f t="shared" si="8"/>
        <v>0.55555555555555558</v>
      </c>
      <c r="P2" s="342">
        <f t="shared" ref="P2:V9" si="9">SUMIF($C$14:$C$92,$A2,O$14:O$92)/$B2</f>
        <v>-0.1111111111111111</v>
      </c>
      <c r="Q2" s="342">
        <f t="shared" si="9"/>
        <v>-0.1111111111111111</v>
      </c>
      <c r="R2" s="342">
        <f t="shared" si="9"/>
        <v>-0.1111111111111111</v>
      </c>
      <c r="S2" s="342">
        <f t="shared" si="9"/>
        <v>-0.77777777777777779</v>
      </c>
      <c r="T2" s="342">
        <f t="shared" si="9"/>
        <v>-0.55555555555555558</v>
      </c>
      <c r="U2" s="342">
        <f t="shared" si="9"/>
        <v>0.1111111111111111</v>
      </c>
      <c r="V2" s="342">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8.4507042253521125E-2</v>
      </c>
      <c r="F3" s="294">
        <f t="shared" si="3"/>
        <v>0.16666666666666666</v>
      </c>
      <c r="G3" s="137">
        <f t="shared" si="4"/>
        <v>14617.634988381646</v>
      </c>
      <c r="H3" s="143">
        <f t="shared" si="5"/>
        <v>2436.2724980636076</v>
      </c>
      <c r="I3" s="186">
        <f t="shared" ref="I3:I9" si="13">SUMIF($C$14:$C$92,A3,F$14:F$92)/B3</f>
        <v>-2369.4482269841142</v>
      </c>
      <c r="J3" t="str">
        <f t="shared" si="6"/>
        <v>energy</v>
      </c>
      <c r="K3" s="342">
        <f t="shared" si="7"/>
        <v>0.66666666666666663</v>
      </c>
      <c r="L3" s="342">
        <f t="shared" si="8"/>
        <v>-0.66666666666666663</v>
      </c>
      <c r="M3" s="342">
        <f t="shared" si="8"/>
        <v>0</v>
      </c>
      <c r="N3" s="342">
        <f t="shared" si="8"/>
        <v>-0.66666666666666663</v>
      </c>
      <c r="O3" s="342">
        <f t="shared" si="8"/>
        <v>0.66666666666666663</v>
      </c>
      <c r="P3" s="342">
        <f t="shared" si="9"/>
        <v>0.33333333333333331</v>
      </c>
      <c r="Q3" s="342">
        <f t="shared" si="9"/>
        <v>-0.33333333333333331</v>
      </c>
      <c r="R3" s="342">
        <f t="shared" si="9"/>
        <v>0</v>
      </c>
      <c r="S3" s="342">
        <f t="shared" si="9"/>
        <v>-1</v>
      </c>
      <c r="T3" s="342">
        <f t="shared" si="9"/>
        <v>-0.66666666666666663</v>
      </c>
      <c r="U3" s="342">
        <f t="shared" si="9"/>
        <v>0.66666666666666663</v>
      </c>
      <c r="V3" s="342">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0.14084507042253522</v>
      </c>
      <c r="F4" s="294">
        <f t="shared" si="3"/>
        <v>0.3</v>
      </c>
      <c r="G4" s="137">
        <f t="shared" si="4"/>
        <v>18671.788284247938</v>
      </c>
      <c r="H4" s="143">
        <f t="shared" si="5"/>
        <v>1867.1788284247937</v>
      </c>
      <c r="I4" s="186">
        <f t="shared" si="13"/>
        <v>-1199.2348081012137</v>
      </c>
      <c r="J4" t="str">
        <f t="shared" si="6"/>
        <v>grain</v>
      </c>
      <c r="K4" s="342">
        <f t="shared" si="7"/>
        <v>-0.4</v>
      </c>
      <c r="L4" s="342">
        <f t="shared" si="8"/>
        <v>-0.6</v>
      </c>
      <c r="M4" s="342">
        <f t="shared" si="8"/>
        <v>0.8</v>
      </c>
      <c r="N4" s="342">
        <f t="shared" si="8"/>
        <v>-1</v>
      </c>
      <c r="O4" s="342">
        <f t="shared" si="8"/>
        <v>-0.6</v>
      </c>
      <c r="P4" s="342">
        <f t="shared" si="9"/>
        <v>-0.2</v>
      </c>
      <c r="Q4" s="342">
        <f t="shared" si="9"/>
        <v>-0.6</v>
      </c>
      <c r="R4" s="342">
        <f t="shared" si="9"/>
        <v>0.8</v>
      </c>
      <c r="S4" s="342">
        <f t="shared" si="9"/>
        <v>0.2</v>
      </c>
      <c r="T4" s="342">
        <f t="shared" si="9"/>
        <v>0.4</v>
      </c>
      <c r="U4" s="342">
        <f t="shared" si="9"/>
        <v>0.6</v>
      </c>
      <c r="V4" s="342">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0.29577464788732394</v>
      </c>
      <c r="F5" s="294">
        <f t="shared" si="3"/>
        <v>0.7142857142857143</v>
      </c>
      <c r="G5" s="137">
        <f t="shared" si="4"/>
        <v>14967.736316834389</v>
      </c>
      <c r="H5" s="143">
        <f t="shared" si="5"/>
        <v>712.74934842068524</v>
      </c>
      <c r="I5" s="186">
        <f t="shared" si="13"/>
        <v>580.41744421567682</v>
      </c>
      <c r="J5" t="str">
        <f t="shared" si="6"/>
        <v>index</v>
      </c>
      <c r="K5" s="342">
        <f t="shared" si="7"/>
        <v>-0.52380952380952384</v>
      </c>
      <c r="L5" s="342">
        <f t="shared" si="8"/>
        <v>0.23809523809523808</v>
      </c>
      <c r="M5" s="342">
        <f t="shared" si="8"/>
        <v>-0.14285714285714285</v>
      </c>
      <c r="N5" s="342">
        <f t="shared" si="8"/>
        <v>0.14285714285714285</v>
      </c>
      <c r="O5" s="342">
        <f t="shared" si="8"/>
        <v>4.7619047619047616E-2</v>
      </c>
      <c r="P5" s="342">
        <f t="shared" si="9"/>
        <v>0.33333333333333331</v>
      </c>
      <c r="Q5" s="342">
        <f t="shared" si="9"/>
        <v>-0.42857142857142855</v>
      </c>
      <c r="R5" s="342">
        <f t="shared" si="9"/>
        <v>0.33333333333333331</v>
      </c>
      <c r="S5" s="342">
        <f t="shared" si="9"/>
        <v>0.52380952380952384</v>
      </c>
      <c r="T5" s="342">
        <f t="shared" si="9"/>
        <v>0.33333333333333331</v>
      </c>
      <c r="U5" s="342">
        <f t="shared" si="9"/>
        <v>-0.33333333333333331</v>
      </c>
      <c r="V5" s="342">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4.2253521126760563E-2</v>
      </c>
      <c r="F6" s="294">
        <f t="shared" si="3"/>
        <v>0</v>
      </c>
      <c r="G6" s="137">
        <f t="shared" si="4"/>
        <v>2928.15802709526</v>
      </c>
      <c r="H6" s="143">
        <f t="shared" si="5"/>
        <v>976.05267569841999</v>
      </c>
      <c r="I6" s="186">
        <f t="shared" si="13"/>
        <v>-976.05267569841999</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7.0422535211267609E-2</v>
      </c>
      <c r="F7" s="294">
        <f t="shared" si="3"/>
        <v>0.4</v>
      </c>
      <c r="G7" s="137">
        <f t="shared" si="4"/>
        <v>5118.2112611546236</v>
      </c>
      <c r="H7" s="143">
        <f t="shared" si="5"/>
        <v>1023.6422522309247</v>
      </c>
      <c r="I7" s="186">
        <f t="shared" si="13"/>
        <v>-484.07915084509921</v>
      </c>
      <c r="J7" t="str">
        <f t="shared" si="6"/>
        <v>metal</v>
      </c>
      <c r="K7" s="342">
        <f t="shared" si="7"/>
        <v>0.6</v>
      </c>
      <c r="L7" s="342">
        <f t="shared" si="8"/>
        <v>0.6</v>
      </c>
      <c r="M7" s="342">
        <f t="shared" si="8"/>
        <v>-0.6</v>
      </c>
      <c r="N7" s="342">
        <f t="shared" si="8"/>
        <v>1</v>
      </c>
      <c r="O7" s="342">
        <f t="shared" si="8"/>
        <v>1</v>
      </c>
      <c r="P7" s="342">
        <f t="shared" si="9"/>
        <v>0.6</v>
      </c>
      <c r="Q7" s="342">
        <f t="shared" si="9"/>
        <v>0.6</v>
      </c>
      <c r="R7" s="342">
        <f t="shared" si="9"/>
        <v>-0.6</v>
      </c>
      <c r="S7" s="342">
        <f t="shared" si="9"/>
        <v>-0.6</v>
      </c>
      <c r="T7" s="342">
        <f t="shared" si="9"/>
        <v>-0.6</v>
      </c>
      <c r="U7" s="342">
        <f t="shared" si="9"/>
        <v>-0.6</v>
      </c>
      <c r="V7" s="342">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0.14084507042253522</v>
      </c>
      <c r="F8" s="294">
        <f t="shared" si="3"/>
        <v>0.6</v>
      </c>
      <c r="G8" s="137">
        <f t="shared" si="4"/>
        <v>2523.3174356522431</v>
      </c>
      <c r="H8" s="143">
        <f t="shared" si="5"/>
        <v>252.33174356522431</v>
      </c>
      <c r="I8" s="186">
        <f t="shared" si="13"/>
        <v>35.787105600268951</v>
      </c>
      <c r="J8" t="str">
        <f t="shared" si="6"/>
        <v>rates</v>
      </c>
      <c r="K8" s="342">
        <f t="shared" si="7"/>
        <v>-0.2</v>
      </c>
      <c r="L8" s="342">
        <f t="shared" si="8"/>
        <v>-0.2</v>
      </c>
      <c r="M8" s="342">
        <f t="shared" si="8"/>
        <v>-0.6</v>
      </c>
      <c r="N8" s="342">
        <f t="shared" si="8"/>
        <v>0.4</v>
      </c>
      <c r="O8" s="342">
        <f t="shared" si="8"/>
        <v>1</v>
      </c>
      <c r="P8" s="342">
        <f t="shared" si="9"/>
        <v>1</v>
      </c>
      <c r="Q8" s="342">
        <f t="shared" si="9"/>
        <v>-0.2</v>
      </c>
      <c r="R8" s="342">
        <f t="shared" si="9"/>
        <v>0.4</v>
      </c>
      <c r="S8" s="342">
        <f t="shared" si="9"/>
        <v>-0.6</v>
      </c>
      <c r="T8" s="342">
        <f t="shared" si="9"/>
        <v>-0.4</v>
      </c>
      <c r="U8" s="342">
        <f t="shared" si="9"/>
        <v>-1</v>
      </c>
      <c r="V8" s="342">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7</v>
      </c>
      <c r="C9" s="200">
        <f t="shared" si="12"/>
        <v>9.8591549295774641E-2</v>
      </c>
      <c r="D9" s="126"/>
      <c r="F9" s="294">
        <f t="shared" si="3"/>
        <v>0.42857142857142855</v>
      </c>
      <c r="G9" s="199">
        <f t="shared" si="4"/>
        <v>10409.436326239305</v>
      </c>
      <c r="H9" s="143">
        <f t="shared" si="5"/>
        <v>1487.0623323199009</v>
      </c>
      <c r="I9" s="186">
        <f t="shared" si="13"/>
        <v>-572.92193142771862</v>
      </c>
      <c r="J9" t="str">
        <f t="shared" si="6"/>
        <v>soft</v>
      </c>
      <c r="K9" s="342">
        <f t="shared" si="7"/>
        <v>-0.42857142857142855</v>
      </c>
      <c r="L9" s="342">
        <f t="shared" si="8"/>
        <v>0.42857142857142855</v>
      </c>
      <c r="M9" s="342">
        <f t="shared" si="8"/>
        <v>-0.7142857142857143</v>
      </c>
      <c r="N9" s="342">
        <f t="shared" si="8"/>
        <v>0.42857142857142855</v>
      </c>
      <c r="O9" s="342">
        <f t="shared" si="8"/>
        <v>0.42857142857142855</v>
      </c>
      <c r="P9" s="342">
        <f t="shared" si="9"/>
        <v>-0.7142857142857143</v>
      </c>
      <c r="Q9" s="342">
        <f t="shared" si="9"/>
        <v>-0.42857142857142855</v>
      </c>
      <c r="R9" s="342">
        <f t="shared" si="9"/>
        <v>-0.7142857142857143</v>
      </c>
      <c r="S9" s="342">
        <f t="shared" si="9"/>
        <v>0.42857142857142855</v>
      </c>
      <c r="T9" s="342">
        <f t="shared" si="9"/>
        <v>-0.42857142857142855</v>
      </c>
      <c r="U9" s="342">
        <f t="shared" si="9"/>
        <v>-0.42857142857142855</v>
      </c>
      <c r="V9" s="342">
        <f t="shared" si="9"/>
        <v>-0.42857142857142855</v>
      </c>
      <c r="W9" s="286"/>
      <c r="X9" s="6"/>
      <c r="Y9" s="17" t="s">
        <v>304</v>
      </c>
      <c r="Z9" s="283">
        <f t="shared" si="10"/>
        <v>10409.436326239305</v>
      </c>
      <c r="AA9" s="283">
        <f t="shared" si="10"/>
        <v>-4010.4535199940301</v>
      </c>
      <c r="AB9" s="283">
        <f t="shared" si="10"/>
        <v>4010.4535199940301</v>
      </c>
      <c r="AC9" s="283">
        <f t="shared" si="10"/>
        <v>5984.8638340293192</v>
      </c>
      <c r="AD9" s="283">
        <f t="shared" si="10"/>
        <v>-5984.8638340293192</v>
      </c>
      <c r="AE9" s="283">
        <f t="shared" si="10"/>
        <v>3561.4872106526309</v>
      </c>
      <c r="AF9" s="283">
        <f t="shared" si="10"/>
        <v>-5984.8638340293192</v>
      </c>
      <c r="AG9" s="283">
        <f t="shared" si="10"/>
        <v>-5984.8638340293192</v>
      </c>
      <c r="AH9" s="283">
        <f t="shared" si="10"/>
        <v>2768.7003228459926</v>
      </c>
      <c r="AI9" s="283">
        <f t="shared" si="10"/>
        <v>-2768.7003228459926</v>
      </c>
      <c r="AJ9" s="283">
        <f t="shared" si="10"/>
        <v>-1403.8344722256413</v>
      </c>
      <c r="AK9" s="283">
        <f t="shared" si="10"/>
        <v>-2768.7003228459926</v>
      </c>
      <c r="AL9" s="283">
        <f t="shared" si="10"/>
        <v>-1403.8344722256413</v>
      </c>
      <c r="AM9" s="283">
        <f t="shared" si="10"/>
        <v>-5984.8638340293192</v>
      </c>
      <c r="AN9" s="283">
        <f t="shared" si="10"/>
        <v>-7734.022005724265</v>
      </c>
      <c r="AO9" s="283">
        <f t="shared" si="10"/>
        <v>5984.8638340293192</v>
      </c>
      <c r="AP9" s="283">
        <f t="shared" si="10"/>
        <v>-2768.7003228459926</v>
      </c>
    </row>
    <row r="10" spans="1:42" outlineLevel="1" x14ac:dyDescent="0.25">
      <c r="B10">
        <f>SUM(B2:B9)</f>
        <v>71</v>
      </c>
      <c r="C10" s="193">
        <f t="shared" si="12"/>
        <v>1</v>
      </c>
      <c r="D10" s="126"/>
      <c r="F10" s="294">
        <f>SUMIFS(H$14:H$92,H$14:H$92,1,$C$14:$C$92,"&lt;&gt;offline")/$B10</f>
        <v>0.46478873239436619</v>
      </c>
      <c r="G10" s="167">
        <f>SUM(G2:G9)</f>
        <v>79859.775411236813</v>
      </c>
      <c r="H10" s="143">
        <f t="shared" si="5"/>
        <v>1124.7855691723494</v>
      </c>
      <c r="I10">
        <f>SUM(F14:F92)/B10</f>
        <v>-347.77744793475284</v>
      </c>
      <c r="J10" s="137"/>
      <c r="K10" s="6"/>
      <c r="L10" s="292"/>
      <c r="M10" s="286"/>
      <c r="N10" s="292"/>
      <c r="O10" s="6"/>
      <c r="R10" s="6"/>
      <c r="S10" s="286"/>
      <c r="T10" s="286"/>
      <c r="U10" s="286"/>
      <c r="V10" s="6"/>
      <c r="W10" s="286"/>
      <c r="X10" s="6"/>
      <c r="Y10" s="6" t="s">
        <v>1245</v>
      </c>
      <c r="Z10" s="284">
        <f>SUM(Z2:Z9)</f>
        <v>79859.775411236813</v>
      </c>
      <c r="AA10" s="284">
        <f t="shared" ref="AA10:AP10" si="14">SUM(AA2:AA9)</f>
        <v>-24766.743739636884</v>
      </c>
      <c r="AB10" s="284">
        <f t="shared" si="14"/>
        <v>24766.743739636884</v>
      </c>
      <c r="AC10" s="284">
        <f t="shared" si="14"/>
        <v>-13522.283164565622</v>
      </c>
      <c r="AD10" s="284">
        <f t="shared" si="14"/>
        <v>13522.283164565622</v>
      </c>
      <c r="AE10" s="284">
        <f t="shared" si="14"/>
        <v>-10894.253398338427</v>
      </c>
      <c r="AF10" s="284">
        <f t="shared" si="14"/>
        <v>7070.8849127790681</v>
      </c>
      <c r="AG10" s="284">
        <f t="shared" si="14"/>
        <v>16092.526558333215</v>
      </c>
      <c r="AH10" s="284">
        <f t="shared" si="14"/>
        <v>3324.1625474131879</v>
      </c>
      <c r="AI10" s="284">
        <f t="shared" ref="AI10" si="15">SUM(AI2:AI9)</f>
        <v>-3324.1625474131879</v>
      </c>
      <c r="AJ10" s="284">
        <f t="shared" si="14"/>
        <v>7782.7178495486178</v>
      </c>
      <c r="AK10" s="284">
        <f t="shared" si="14"/>
        <v>3220.6450415160352</v>
      </c>
      <c r="AL10" s="284">
        <f t="shared" si="14"/>
        <v>2999.619761328302</v>
      </c>
      <c r="AM10" s="284">
        <f t="shared" si="14"/>
        <v>6814.6069784582332</v>
      </c>
      <c r="AN10" s="284">
        <f t="shared" si="14"/>
        <v>-6216.9928380996189</v>
      </c>
      <c r="AO10" s="284">
        <f t="shared" si="14"/>
        <v>-22759.826449246011</v>
      </c>
      <c r="AP10" s="284">
        <f t="shared" si="14"/>
        <v>-1733.3757717562974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79860</v>
      </c>
      <c r="AA12" s="308" t="str">
        <f t="shared" si="16"/>
        <v>RISK-ON ACC 44% PNL -24767</v>
      </c>
      <c r="AB12" s="308" t="str">
        <f t="shared" si="16"/>
        <v>RISK-OFF ACC 56% PNL 24767</v>
      </c>
      <c r="AC12" s="308" t="str">
        <f t="shared" si="16"/>
        <v>Previous ACC 42% PNL -13522</v>
      </c>
      <c r="AD12" s="337" t="str">
        <f t="shared" si="16"/>
        <v>Anti-Previous ACC 58% PNL 13522</v>
      </c>
      <c r="AE12" s="338" t="str">
        <f t="shared" si="16"/>
        <v>&gt;equity ACC 48% PNL -10894</v>
      </c>
      <c r="AF12" s="338" t="str">
        <f t="shared" si="16"/>
        <v>50/50 ACC 52% PNL 7071</v>
      </c>
      <c r="AG12" s="338" t="str">
        <f t="shared" si="16"/>
        <v>&lt;equity ACC 52% PNL 16093</v>
      </c>
      <c r="AH12" s="339" t="str">
        <f t="shared" si="16"/>
        <v>SEASONALITY ACC 51% PNL 3324</v>
      </c>
      <c r="AI12" s="339" t="str">
        <f t="shared" si="16"/>
        <v>ANTI-SEASONALITY ACC 49% PNL -3324</v>
      </c>
      <c r="AJ12" s="339" t="str">
        <f t="shared" si="16"/>
        <v>ADJ_SEASONALITY ACC 56% PNL 7783</v>
      </c>
      <c r="AK12" s="340" t="str">
        <f t="shared" si="16"/>
        <v>V1 ACC 48% PNL 3221</v>
      </c>
      <c r="AL12" s="340" t="str">
        <f t="shared" si="16"/>
        <v>V2 ACC 54% PNL 3000</v>
      </c>
      <c r="AM12" s="340" t="str">
        <f t="shared" si="16"/>
        <v>V3 ACC 55% PNL 6815</v>
      </c>
      <c r="AN12" s="340" t="str">
        <f t="shared" si="16"/>
        <v>V4 ACC 48% PNL -6217</v>
      </c>
      <c r="AO12" s="340" t="str">
        <f t="shared" si="16"/>
        <v>V5 ACC 41% PNL -22760</v>
      </c>
      <c r="AP12" s="340" t="str">
        <f t="shared" si="16"/>
        <v>V6 ACC 54% PNL -1733</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858300.99064841692</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28" t="s">
        <v>287</v>
      </c>
      <c r="B14" s="329" t="s">
        <v>558</v>
      </c>
      <c r="C14" s="330" t="s">
        <v>1285</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7968</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H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21726.143999999997</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4685</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8889</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124400</v>
      </c>
      <c r="Y20" s="137">
        <v>9000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10428</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28" t="s">
        <v>307</v>
      </c>
      <c r="B22" s="329" t="s">
        <v>484</v>
      </c>
      <c r="C22" s="330" t="s">
        <v>1285</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9180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4503</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21792</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14804</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12992.099999999999</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13327.38</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28" t="s">
        <v>320</v>
      </c>
      <c r="B29" s="329" t="s">
        <v>564</v>
      </c>
      <c r="C29" s="330" t="s">
        <v>1285</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14250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15750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8436</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2449.7791999999999</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17434.559999999998</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28" t="s">
        <v>335</v>
      </c>
      <c r="B36" s="329" t="s">
        <v>568</v>
      </c>
      <c r="C36" s="330" t="s">
        <v>1285</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16638.4218</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15369.6543</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28" t="s">
        <v>341</v>
      </c>
      <c r="B39" s="329" t="s">
        <v>453</v>
      </c>
      <c r="C39" s="330" t="s">
        <v>1285</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7000</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11250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15115.9793814433</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106175</v>
      </c>
      <c r="Y43" s="137">
        <v>5750</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25265.463917525773</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11970</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7894</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15000</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82450</v>
      </c>
      <c r="Y48" s="137">
        <v>7000</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330" t="s">
        <v>1285</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105204</v>
      </c>
      <c r="Y49" s="137">
        <v>7311</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6750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10000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128200</v>
      </c>
      <c r="Y53" s="137">
        <v>6000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123340</v>
      </c>
      <c r="Y54" s="137">
        <v>15640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8312</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9572</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25145.999999999996</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18496</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9054</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6495</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12500</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15000</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6750</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4376</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10500</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6192</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12236</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6850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85387.101739264268</v>
      </c>
      <c r="Y70" s="137">
        <v>4299.8239032233369</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15250</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12000</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33606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1296</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6756</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1066881.6990869392</v>
      </c>
      <c r="Y76" s="137">
        <v>1975.1135690302192</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72140</v>
      </c>
      <c r="Y77" s="137">
        <v>12000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26336.136177194425</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6246.24</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H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16205.199999999997</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13500</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1534859.375</v>
      </c>
      <c r="Y83" s="137">
        <v>8244</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6248</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26148</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14000</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19499.594399999998</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28" t="s">
        <v>1054</v>
      </c>
      <c r="B89" s="329" t="s">
        <v>463</v>
      </c>
      <c r="C89" s="330" t="s">
        <v>1285</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16248</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12518.999999999998</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0.43661971830985913</v>
      </c>
      <c r="AB94" s="193">
        <f t="shared" si="68"/>
        <v>0.56338028169014087</v>
      </c>
      <c r="AC94" s="193">
        <f t="shared" ref="AC94" si="69">COUNTIF(AC14:AC92,"&gt;0")/$B$10</f>
        <v>0.42253521126760563</v>
      </c>
      <c r="AD94" s="193">
        <f t="shared" si="68"/>
        <v>0.57746478873239437</v>
      </c>
      <c r="AE94" s="193">
        <f t="shared" si="68"/>
        <v>0.47887323943661969</v>
      </c>
      <c r="AF94" s="193">
        <f t="shared" si="68"/>
        <v>0.52112676056338025</v>
      </c>
      <c r="AG94" s="193">
        <f t="shared" si="68"/>
        <v>0.52112676056338025</v>
      </c>
      <c r="AH94" s="193">
        <f t="shared" si="68"/>
        <v>0.50704225352112675</v>
      </c>
      <c r="AI94" s="193">
        <f t="shared" ref="AI94" si="70">COUNTIF(AI14:AI92,"&gt;0")/$B$10</f>
        <v>0.49295774647887325</v>
      </c>
      <c r="AJ94" s="193">
        <f t="shared" si="68"/>
        <v>0.56338028169014087</v>
      </c>
      <c r="AK94" s="193">
        <f t="shared" si="68"/>
        <v>0.47887323943661969</v>
      </c>
      <c r="AL94" s="193">
        <f t="shared" si="68"/>
        <v>0.53521126760563376</v>
      </c>
      <c r="AM94" s="193">
        <f t="shared" si="68"/>
        <v>0.54929577464788737</v>
      </c>
      <c r="AN94" s="193">
        <f t="shared" si="68"/>
        <v>0.47887323943661969</v>
      </c>
      <c r="AO94" s="193">
        <f t="shared" si="68"/>
        <v>0.40845070422535212</v>
      </c>
      <c r="AP94" s="193">
        <f t="shared" si="68"/>
        <v>0.53521126760563376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1294</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1" t="str">
        <f t="shared" ref="Z1:AP1" si="1">Z12</f>
        <v>MAX ACC 100% PNL 69781</v>
      </c>
      <c r="AA1" s="332" t="str">
        <f t="shared" si="1"/>
        <v>RISK-ON ACC 42% PNL -22670</v>
      </c>
      <c r="AB1" s="332" t="str">
        <f t="shared" si="1"/>
        <v>RISK-OFF ACC 58% PNL 22670</v>
      </c>
      <c r="AC1" s="332" t="str">
        <f t="shared" ref="AC1" si="2">AC12</f>
        <v>Previous ACC 48% PNL 10339</v>
      </c>
      <c r="AD1" s="295" t="str">
        <f t="shared" si="1"/>
        <v>Anti-Previous ACC 52% PNL -10339</v>
      </c>
      <c r="AE1" s="333" t="str">
        <f t="shared" si="1"/>
        <v>&gt;equity ACC 51% PNL -3495</v>
      </c>
      <c r="AF1" s="333" t="str">
        <f t="shared" si="1"/>
        <v>50/50 ACC 44% PNL -4043</v>
      </c>
      <c r="AG1" s="333" t="str">
        <f t="shared" si="1"/>
        <v>&lt;equity ACC 49% PNL 2843</v>
      </c>
      <c r="AH1" s="334" t="str">
        <f t="shared" si="1"/>
        <v>SEASONALITY ACC 62% PNL 24077</v>
      </c>
      <c r="AI1" s="334" t="str">
        <f t="shared" si="1"/>
        <v>ANTI-SEASONALITY ACC 38% PNL -24077</v>
      </c>
      <c r="AJ1" s="334" t="str">
        <f t="shared" si="1"/>
        <v>ADJ_SEASONALITY ACC 59% PNL 19947</v>
      </c>
      <c r="AK1" s="335" t="str">
        <f t="shared" si="1"/>
        <v>V1 ACC 48% PNL 5286</v>
      </c>
      <c r="AL1" s="335" t="str">
        <f t="shared" si="1"/>
        <v>V2 ACC 54% PNL -1768</v>
      </c>
      <c r="AM1" s="335" t="str">
        <f t="shared" si="1"/>
        <v>V3 ACC 38% PNL -28589</v>
      </c>
      <c r="AN1" s="335" t="str">
        <f t="shared" si="1"/>
        <v>V4 ACC 41% PNL -20833</v>
      </c>
      <c r="AO1" s="335" t="str">
        <f t="shared" si="1"/>
        <v>V5 ACC 37% PNL -19954</v>
      </c>
      <c r="AP1" s="335" t="str">
        <f t="shared" si="1"/>
        <v>V6 ACC 46% PNL -11837</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2">
        <f t="shared" ref="K2:K9" si="7">SUMIF($C$14:$C$92,$A2,E$14:E$92)/$B2</f>
        <v>-0.55555555555555558</v>
      </c>
      <c r="L2" s="342">
        <f t="shared" ref="L2:O9" si="8">SUMIF($C$14:$C$92,$A2,I$14:I$92)/$B2</f>
        <v>-0.55555555555555558</v>
      </c>
      <c r="M2" s="342">
        <f t="shared" si="8"/>
        <v>0.1111111111111111</v>
      </c>
      <c r="N2" s="342">
        <f t="shared" si="8"/>
        <v>-0.1111111111111111</v>
      </c>
      <c r="O2" s="342">
        <f t="shared" si="8"/>
        <v>0.55555555555555558</v>
      </c>
      <c r="P2" s="342">
        <f t="shared" ref="P2:V9" si="9">SUMIF($C$14:$C$92,$A2,O$14:O$92)/$B2</f>
        <v>-0.1111111111111111</v>
      </c>
      <c r="Q2" s="342">
        <f t="shared" si="9"/>
        <v>-0.55555555555555558</v>
      </c>
      <c r="R2" s="342">
        <f t="shared" si="9"/>
        <v>0.33333333333333331</v>
      </c>
      <c r="S2" s="342">
        <f t="shared" si="9"/>
        <v>-0.55555555555555558</v>
      </c>
      <c r="T2" s="342">
        <f t="shared" si="9"/>
        <v>-0.33333333333333331</v>
      </c>
      <c r="U2" s="342">
        <f t="shared" si="9"/>
        <v>-0.1111111111111111</v>
      </c>
      <c r="V2" s="342">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8.4507042253521125E-2</v>
      </c>
      <c r="F3" s="294">
        <f t="shared" si="3"/>
        <v>0.83333333333333337</v>
      </c>
      <c r="G3" s="137">
        <f t="shared" si="4"/>
        <v>5521.0707114383758</v>
      </c>
      <c r="H3" s="143">
        <f t="shared" si="5"/>
        <v>920.17845190639594</v>
      </c>
      <c r="I3" s="186">
        <f t="shared" ref="I3:I9" si="13">SUMIF($C$14:$C$92,A3,F$14:F$92)/B3</f>
        <v>853.66901794406795</v>
      </c>
      <c r="J3" t="str">
        <f t="shared" si="6"/>
        <v>energy</v>
      </c>
      <c r="K3" s="342">
        <f t="shared" si="7"/>
        <v>-1</v>
      </c>
      <c r="L3" s="342">
        <f t="shared" si="8"/>
        <v>-0.66666666666666663</v>
      </c>
      <c r="M3" s="342">
        <f t="shared" si="8"/>
        <v>0</v>
      </c>
      <c r="N3" s="342">
        <f t="shared" si="8"/>
        <v>-0.66666666666666663</v>
      </c>
      <c r="O3" s="342">
        <f t="shared" si="8"/>
        <v>0.66666666666666663</v>
      </c>
      <c r="P3" s="342">
        <f t="shared" si="9"/>
        <v>0.33333333333333331</v>
      </c>
      <c r="Q3" s="342">
        <f t="shared" si="9"/>
        <v>-1</v>
      </c>
      <c r="R3" s="342">
        <f t="shared" si="9"/>
        <v>0.66666666666666663</v>
      </c>
      <c r="S3" s="342">
        <f t="shared" si="9"/>
        <v>-0.33333333333333331</v>
      </c>
      <c r="T3" s="342">
        <f t="shared" si="9"/>
        <v>-0.66666666666666663</v>
      </c>
      <c r="U3" s="342">
        <f t="shared" si="9"/>
        <v>-0.33333333333333331</v>
      </c>
      <c r="V3" s="342">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0.14084507042253522</v>
      </c>
      <c r="F4" s="294">
        <f t="shared" si="3"/>
        <v>0.3</v>
      </c>
      <c r="G4" s="137">
        <f t="shared" si="4"/>
        <v>9418.2465449745632</v>
      </c>
      <c r="H4" s="143">
        <f t="shared" si="5"/>
        <v>941.82465449745632</v>
      </c>
      <c r="I4" s="186">
        <f t="shared" si="13"/>
        <v>-356.40350426597763</v>
      </c>
      <c r="J4" t="str">
        <f t="shared" si="6"/>
        <v>grain</v>
      </c>
      <c r="K4" s="342">
        <f t="shared" si="7"/>
        <v>-0.4</v>
      </c>
      <c r="L4" s="342">
        <f t="shared" si="8"/>
        <v>-0.6</v>
      </c>
      <c r="M4" s="342">
        <f t="shared" si="8"/>
        <v>0.8</v>
      </c>
      <c r="N4" s="342">
        <f t="shared" si="8"/>
        <v>-1</v>
      </c>
      <c r="O4" s="342">
        <f t="shared" si="8"/>
        <v>-0.8</v>
      </c>
      <c r="P4" s="342">
        <f t="shared" si="9"/>
        <v>-0.6</v>
      </c>
      <c r="Q4" s="342">
        <f t="shared" si="9"/>
        <v>-0.4</v>
      </c>
      <c r="R4" s="342">
        <f t="shared" si="9"/>
        <v>0.4</v>
      </c>
      <c r="S4" s="342">
        <f t="shared" si="9"/>
        <v>0.4</v>
      </c>
      <c r="T4" s="342">
        <f t="shared" si="9"/>
        <v>0.4</v>
      </c>
      <c r="U4" s="342">
        <f t="shared" si="9"/>
        <v>0.6</v>
      </c>
      <c r="V4" s="342">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0.29577464788732394</v>
      </c>
      <c r="F5" s="294">
        <f t="shared" si="3"/>
        <v>0.23809523809523808</v>
      </c>
      <c r="G5" s="137">
        <f t="shared" si="4"/>
        <v>23697.952526310703</v>
      </c>
      <c r="H5" s="143">
        <f t="shared" si="5"/>
        <v>1128.4739298243192</v>
      </c>
      <c r="I5" s="186">
        <f t="shared" si="13"/>
        <v>-648.73052017478926</v>
      </c>
      <c r="J5" t="str">
        <f t="shared" si="6"/>
        <v>index</v>
      </c>
      <c r="K5" s="342">
        <f t="shared" si="7"/>
        <v>-0.7142857142857143</v>
      </c>
      <c r="L5" s="342">
        <f t="shared" si="8"/>
        <v>0.23809523809523808</v>
      </c>
      <c r="M5" s="342">
        <f t="shared" si="8"/>
        <v>-0.14285714285714285</v>
      </c>
      <c r="N5" s="342">
        <f t="shared" si="8"/>
        <v>0.14285714285714285</v>
      </c>
      <c r="O5" s="342">
        <f t="shared" si="8"/>
        <v>4.7619047619047616E-2</v>
      </c>
      <c r="P5" s="342">
        <f t="shared" si="9"/>
        <v>0.14285714285714285</v>
      </c>
      <c r="Q5" s="342">
        <f t="shared" si="9"/>
        <v>-0.33333333333333331</v>
      </c>
      <c r="R5" s="342">
        <f t="shared" si="9"/>
        <v>0.42857142857142855</v>
      </c>
      <c r="S5" s="342">
        <f t="shared" si="9"/>
        <v>0.52380952380952384</v>
      </c>
      <c r="T5" s="342">
        <f t="shared" si="9"/>
        <v>0.42857142857142855</v>
      </c>
      <c r="U5" s="342">
        <f t="shared" si="9"/>
        <v>-0.33333333333333331</v>
      </c>
      <c r="V5" s="342">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4.2253521126760563E-2</v>
      </c>
      <c r="F6" s="294">
        <f t="shared" si="3"/>
        <v>0.33333333333333331</v>
      </c>
      <c r="G6" s="137">
        <f t="shared" si="4"/>
        <v>5581.6740903632835</v>
      </c>
      <c r="H6" s="143">
        <f t="shared" si="5"/>
        <v>1860.5580301210946</v>
      </c>
      <c r="I6" s="186">
        <f t="shared" si="13"/>
        <v>-1526.0678918827532</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7.0422535211267609E-2</v>
      </c>
      <c r="F7" s="294">
        <f t="shared" si="3"/>
        <v>0.8</v>
      </c>
      <c r="G7" s="137">
        <f t="shared" si="4"/>
        <v>6273.8138254725545</v>
      </c>
      <c r="H7" s="143">
        <f t="shared" si="5"/>
        <v>1254.762765094511</v>
      </c>
      <c r="I7" s="186">
        <f t="shared" si="13"/>
        <v>663.00641061793306</v>
      </c>
      <c r="J7" t="str">
        <f t="shared" si="6"/>
        <v>metal</v>
      </c>
      <c r="K7" s="342">
        <f t="shared" si="7"/>
        <v>0.2</v>
      </c>
      <c r="L7" s="342">
        <f t="shared" si="8"/>
        <v>0.6</v>
      </c>
      <c r="M7" s="342">
        <f t="shared" si="8"/>
        <v>-0.6</v>
      </c>
      <c r="N7" s="342">
        <f t="shared" si="8"/>
        <v>1</v>
      </c>
      <c r="O7" s="342">
        <f t="shared" si="8"/>
        <v>1</v>
      </c>
      <c r="P7" s="342">
        <f t="shared" si="9"/>
        <v>0.6</v>
      </c>
      <c r="Q7" s="342">
        <f t="shared" si="9"/>
        <v>0.2</v>
      </c>
      <c r="R7" s="342">
        <f t="shared" si="9"/>
        <v>-0.2</v>
      </c>
      <c r="S7" s="342">
        <f t="shared" si="9"/>
        <v>-0.6</v>
      </c>
      <c r="T7" s="342">
        <f t="shared" si="9"/>
        <v>-0.6</v>
      </c>
      <c r="U7" s="342">
        <f t="shared" si="9"/>
        <v>-0.6</v>
      </c>
      <c r="V7" s="342">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0.14084507042253522</v>
      </c>
      <c r="F8" s="294">
        <f t="shared" si="3"/>
        <v>0.4</v>
      </c>
      <c r="G8" s="137">
        <f t="shared" si="4"/>
        <v>7650.083755638404</v>
      </c>
      <c r="H8" s="143">
        <f t="shared" si="5"/>
        <v>765.00837556384045</v>
      </c>
      <c r="I8" s="186">
        <f t="shared" si="13"/>
        <v>108.14337309805551</v>
      </c>
      <c r="J8" t="str">
        <f t="shared" si="6"/>
        <v>rates</v>
      </c>
      <c r="K8" s="342">
        <f t="shared" si="7"/>
        <v>1</v>
      </c>
      <c r="L8" s="342">
        <f t="shared" si="8"/>
        <v>-0.2</v>
      </c>
      <c r="M8" s="342">
        <f t="shared" si="8"/>
        <v>-0.6</v>
      </c>
      <c r="N8" s="342">
        <f t="shared" si="8"/>
        <v>0.4</v>
      </c>
      <c r="O8" s="342">
        <f t="shared" si="8"/>
        <v>1</v>
      </c>
      <c r="P8" s="342">
        <f t="shared" si="9"/>
        <v>1</v>
      </c>
      <c r="Q8" s="342">
        <f t="shared" si="9"/>
        <v>0.4</v>
      </c>
      <c r="R8" s="342">
        <f t="shared" si="9"/>
        <v>-0.6</v>
      </c>
      <c r="S8" s="342">
        <f t="shared" si="9"/>
        <v>-1</v>
      </c>
      <c r="T8" s="342">
        <f t="shared" si="9"/>
        <v>-0.8</v>
      </c>
      <c r="U8" s="342">
        <f t="shared" si="9"/>
        <v>-0.4</v>
      </c>
      <c r="V8" s="342">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7</v>
      </c>
      <c r="C9" s="200">
        <f t="shared" si="12"/>
        <v>9.8591549295774641E-2</v>
      </c>
      <c r="D9" s="126"/>
      <c r="F9" s="294">
        <f t="shared" si="3"/>
        <v>0.2857142857142857</v>
      </c>
      <c r="G9" s="199">
        <f t="shared" si="4"/>
        <v>5552.7703936778416</v>
      </c>
      <c r="H9" s="143">
        <f t="shared" si="5"/>
        <v>793.25291338254885</v>
      </c>
      <c r="I9" s="186">
        <f t="shared" si="13"/>
        <v>-582.36071350162604</v>
      </c>
      <c r="J9" t="str">
        <f t="shared" si="6"/>
        <v>soft</v>
      </c>
      <c r="K9" s="342">
        <f t="shared" si="7"/>
        <v>0.42857142857142855</v>
      </c>
      <c r="L9" s="342">
        <f t="shared" si="8"/>
        <v>0.42857142857142855</v>
      </c>
      <c r="M9" s="342">
        <f t="shared" si="8"/>
        <v>-0.7142857142857143</v>
      </c>
      <c r="N9" s="342">
        <f t="shared" si="8"/>
        <v>0.42857142857142855</v>
      </c>
      <c r="O9" s="342">
        <f t="shared" si="8"/>
        <v>0.42857142857142855</v>
      </c>
      <c r="P9" s="342">
        <f t="shared" si="9"/>
        <v>-0.42857142857142855</v>
      </c>
      <c r="Q9" s="342">
        <f t="shared" si="9"/>
        <v>0.14285714285714285</v>
      </c>
      <c r="R9" s="342">
        <f t="shared" si="9"/>
        <v>-1</v>
      </c>
      <c r="S9" s="342">
        <f t="shared" si="9"/>
        <v>-0.14285714285714285</v>
      </c>
      <c r="T9" s="342">
        <f t="shared" si="9"/>
        <v>-0.7142857142857143</v>
      </c>
      <c r="U9" s="342">
        <f t="shared" si="9"/>
        <v>0.14285714285714285</v>
      </c>
      <c r="V9" s="342">
        <f t="shared" si="9"/>
        <v>-0.7142857142857143</v>
      </c>
      <c r="W9" s="286"/>
      <c r="X9" s="6"/>
      <c r="Y9" s="17" t="s">
        <v>304</v>
      </c>
      <c r="Z9" s="283">
        <f t="shared" si="10"/>
        <v>5552.7703936778416</v>
      </c>
      <c r="AA9" s="283">
        <f t="shared" si="10"/>
        <v>-4076.5249945113819</v>
      </c>
      <c r="AB9" s="283">
        <f t="shared" si="10"/>
        <v>4076.5249945113819</v>
      </c>
      <c r="AC9" s="283">
        <f t="shared" si="10"/>
        <v>638.34314498634603</v>
      </c>
      <c r="AD9" s="283">
        <f t="shared" si="10"/>
        <v>-638.34314498634603</v>
      </c>
      <c r="AE9" s="283">
        <f t="shared" si="10"/>
        <v>4346.8976367446885</v>
      </c>
      <c r="AF9" s="283">
        <f t="shared" si="10"/>
        <v>-5552.7703936778416</v>
      </c>
      <c r="AG9" s="283">
        <f t="shared" si="10"/>
        <v>-5552.7703936778416</v>
      </c>
      <c r="AH9" s="283">
        <f t="shared" si="10"/>
        <v>-1464.4787368924613</v>
      </c>
      <c r="AI9" s="283">
        <f t="shared" si="10"/>
        <v>1464.4787368924613</v>
      </c>
      <c r="AJ9" s="283">
        <f t="shared" si="10"/>
        <v>3295.3771477032906</v>
      </c>
      <c r="AK9" s="283">
        <f t="shared" si="10"/>
        <v>-567.5296119468062</v>
      </c>
      <c r="AL9" s="283">
        <f t="shared" si="10"/>
        <v>4076.5249945113819</v>
      </c>
      <c r="AM9" s="283">
        <f t="shared" si="10"/>
        <v>-3520.7620448385733</v>
      </c>
      <c r="AN9" s="283">
        <f t="shared" si="10"/>
        <v>1194.1060946591542</v>
      </c>
      <c r="AO9" s="283">
        <f t="shared" si="10"/>
        <v>2625.3637487275901</v>
      </c>
      <c r="AP9" s="283">
        <f t="shared" si="10"/>
        <v>4346.8976367446885</v>
      </c>
    </row>
    <row r="10" spans="1:42" outlineLevel="1" x14ac:dyDescent="0.25">
      <c r="B10">
        <f>SUM(B2:B9)</f>
        <v>71</v>
      </c>
      <c r="C10" s="193">
        <f t="shared" si="12"/>
        <v>1</v>
      </c>
      <c r="D10" s="126"/>
      <c r="F10" s="294">
        <f>SUMIFS(H$14:H$92,H$14:H$92,1,$C$14:$C$92,"&lt;&gt;offline")/$B10</f>
        <v>0.42253521126760563</v>
      </c>
      <c r="G10" s="167">
        <f>SUM(G2:G9)</f>
        <v>69781.073948660705</v>
      </c>
      <c r="H10" s="143">
        <f t="shared" si="5"/>
        <v>982.83202744592541</v>
      </c>
      <c r="I10">
        <f>SUM(F14:F92)/B10</f>
        <v>-204.63205175577343</v>
      </c>
      <c r="J10" s="137"/>
      <c r="K10" s="6"/>
      <c r="L10" s="292"/>
      <c r="M10" s="286"/>
      <c r="N10" s="292"/>
      <c r="O10" s="6"/>
      <c r="R10" s="6"/>
      <c r="S10" s="286"/>
      <c r="T10" s="286"/>
      <c r="U10" s="286"/>
      <c r="V10" s="6"/>
      <c r="W10" s="286"/>
      <c r="X10" s="6"/>
      <c r="Y10" s="6" t="s">
        <v>1245</v>
      </c>
      <c r="Z10" s="284">
        <f>SUM(Z2:Z9)</f>
        <v>69781.073948660705</v>
      </c>
      <c r="AA10" s="284">
        <f t="shared" ref="AA10:AP10" si="14">SUM(AA2:AA9)</f>
        <v>-22669.585990389511</v>
      </c>
      <c r="AB10" s="284">
        <f t="shared" si="14"/>
        <v>22669.585990389511</v>
      </c>
      <c r="AC10" s="284">
        <f t="shared" si="14"/>
        <v>10339.392068967816</v>
      </c>
      <c r="AD10" s="284">
        <f t="shared" si="14"/>
        <v>-10339.392068967816</v>
      </c>
      <c r="AE10" s="284">
        <f t="shared" si="14"/>
        <v>-3495.397055749002</v>
      </c>
      <c r="AF10" s="284">
        <f t="shared" si="14"/>
        <v>-4043.1231252705757</v>
      </c>
      <c r="AG10" s="284">
        <f t="shared" si="14"/>
        <v>2843.1979482641382</v>
      </c>
      <c r="AH10" s="284">
        <f t="shared" si="14"/>
        <v>24077.100330776746</v>
      </c>
      <c r="AI10" s="284">
        <f t="shared" ref="AI10" si="15">SUM(AI2:AI9)</f>
        <v>-24077.100330776746</v>
      </c>
      <c r="AJ10" s="284">
        <f t="shared" si="14"/>
        <v>19946.716790426592</v>
      </c>
      <c r="AK10" s="284">
        <f t="shared" si="14"/>
        <v>5285.8190294657998</v>
      </c>
      <c r="AL10" s="284">
        <f t="shared" si="14"/>
        <v>-1767.7692293609116</v>
      </c>
      <c r="AM10" s="284">
        <f t="shared" si="14"/>
        <v>-28589.410210342496</v>
      </c>
      <c r="AN10" s="284">
        <f t="shared" si="14"/>
        <v>-20833.002022960489</v>
      </c>
      <c r="AO10" s="284">
        <f t="shared" si="14"/>
        <v>-19953.870354880171</v>
      </c>
      <c r="AP10" s="284">
        <f t="shared" si="14"/>
        <v>-11837.495316507262</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69781</v>
      </c>
      <c r="AA12" s="308" t="str">
        <f t="shared" si="16"/>
        <v>RISK-ON ACC 42% PNL -22670</v>
      </c>
      <c r="AB12" s="308" t="str">
        <f t="shared" si="16"/>
        <v>RISK-OFF ACC 58% PNL 22670</v>
      </c>
      <c r="AC12" s="308" t="str">
        <f t="shared" si="16"/>
        <v>Previous ACC 48% PNL 10339</v>
      </c>
      <c r="AD12" s="337" t="str">
        <f t="shared" si="16"/>
        <v>Anti-Previous ACC 52% PNL -10339</v>
      </c>
      <c r="AE12" s="338" t="str">
        <f t="shared" si="16"/>
        <v>&gt;equity ACC 51% PNL -3495</v>
      </c>
      <c r="AF12" s="338" t="str">
        <f t="shared" si="16"/>
        <v>50/50 ACC 44% PNL -4043</v>
      </c>
      <c r="AG12" s="338" t="str">
        <f t="shared" si="16"/>
        <v>&lt;equity ACC 49% PNL 2843</v>
      </c>
      <c r="AH12" s="339" t="str">
        <f t="shared" si="16"/>
        <v>SEASONALITY ACC 62% PNL 24077</v>
      </c>
      <c r="AI12" s="339" t="str">
        <f t="shared" si="16"/>
        <v>ANTI-SEASONALITY ACC 38% PNL -24077</v>
      </c>
      <c r="AJ12" s="339" t="str">
        <f t="shared" si="16"/>
        <v>ADJ_SEASONALITY ACC 59% PNL 19947</v>
      </c>
      <c r="AK12" s="340" t="str">
        <f t="shared" si="16"/>
        <v>V1 ACC 48% PNL 5286</v>
      </c>
      <c r="AL12" s="340" t="str">
        <f t="shared" si="16"/>
        <v>V2 ACC 54% PNL -1768</v>
      </c>
      <c r="AM12" s="340" t="str">
        <f t="shared" si="16"/>
        <v>V3 ACC 38% PNL -28589</v>
      </c>
      <c r="AN12" s="340" t="str">
        <f t="shared" si="16"/>
        <v>V4 ACC 41% PNL -20833</v>
      </c>
      <c r="AO12" s="340" t="str">
        <f t="shared" si="16"/>
        <v>V5 ACC 37% PNL -19954</v>
      </c>
      <c r="AP12" s="340" t="str">
        <f t="shared" si="16"/>
        <v>V6 ACC 46% PNL -11837</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858300.99064841692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28" t="s">
        <v>287</v>
      </c>
      <c r="B14" s="329" t="s">
        <v>558</v>
      </c>
      <c r="C14" s="330" t="s">
        <v>1285</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7968</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H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21726.143999999997</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4685</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8889</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51225</v>
      </c>
      <c r="Y19" s="137">
        <v>13500</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123200</v>
      </c>
      <c r="Y20" s="137">
        <v>9000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10428</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28" t="s">
        <v>307</v>
      </c>
      <c r="B22" s="329" t="s">
        <v>484</v>
      </c>
      <c r="C22" s="330" t="s">
        <v>1285</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9180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4503</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21792</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14804</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12992.099999999999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13327.38</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28" t="s">
        <v>320</v>
      </c>
      <c r="B29" s="329" t="s">
        <v>564</v>
      </c>
      <c r="C29" s="330" t="s">
        <v>1285</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14250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15750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8436</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2449.7791999999999</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17434.559999999998</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28" t="s">
        <v>335</v>
      </c>
      <c r="B36" s="329" t="s">
        <v>568</v>
      </c>
      <c r="C36" s="330" t="s">
        <v>1285</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16638.4218</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15369.6543</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28" t="s">
        <v>341</v>
      </c>
      <c r="B39" s="329" t="s">
        <v>453</v>
      </c>
      <c r="C39" s="330" t="s">
        <v>1285</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7000</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11250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15115.9793814433</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107675</v>
      </c>
      <c r="Y43" s="137">
        <v>5750</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25265.463917525773</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11970</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7894</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15000</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82950</v>
      </c>
      <c r="Y48" s="137">
        <v>7000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330" t="s">
        <v>1285</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106128</v>
      </c>
      <c r="Y49" s="137">
        <v>7311</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6750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10000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8800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129000</v>
      </c>
      <c r="Y53" s="137">
        <v>6000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122430</v>
      </c>
      <c r="Y54" s="137">
        <v>15640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8312</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9572</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25145.999999999996</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18496</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17875</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9054</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6495</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12500</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15000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6750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4376</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10500</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6192</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12236</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6850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96004.309681391402</v>
      </c>
      <c r="Y70" s="137">
        <v>4299.8239032233369</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15250</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12000</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33606</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1296</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6756</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1066395.3949980149</v>
      </c>
      <c r="Y76" s="137">
        <v>1975.1135690302192</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75620</v>
      </c>
      <c r="Y77" s="137">
        <v>12000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26336.136177194425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11250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16205.199999999997</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13500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1535078.125</v>
      </c>
      <c r="Y83" s="137">
        <v>8244</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6248</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9124</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26148</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14000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19499.594399999998</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28" t="s">
        <v>1054</v>
      </c>
      <c r="B89" s="329" t="s">
        <v>463</v>
      </c>
      <c r="C89" s="330" t="s">
        <v>1285</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16248</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12518.999999999998</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0.42253521126760563</v>
      </c>
      <c r="AB94" s="193">
        <f t="shared" si="68"/>
        <v>0.57746478873239437</v>
      </c>
      <c r="AC94" s="193">
        <f t="shared" ref="AC94" si="69">COUNTIF(AC14:AC92,"&gt;0")/$B$10</f>
        <v>0.47887323943661969</v>
      </c>
      <c r="AD94" s="193">
        <f t="shared" si="68"/>
        <v>0.52112676056338025</v>
      </c>
      <c r="AE94" s="193">
        <f t="shared" si="68"/>
        <v>0.50704225352112675</v>
      </c>
      <c r="AF94" s="193">
        <f t="shared" si="68"/>
        <v>0.43661971830985913</v>
      </c>
      <c r="AG94" s="193">
        <f t="shared" si="68"/>
        <v>0.49295774647887325</v>
      </c>
      <c r="AH94" s="193">
        <f t="shared" si="68"/>
        <v>0.61971830985915488</v>
      </c>
      <c r="AI94" s="193">
        <f t="shared" ref="AI94" si="70">COUNTIF(AI14:AI92,"&gt;0")/$B$10</f>
        <v>0.38028169014084506</v>
      </c>
      <c r="AJ94" s="193">
        <f t="shared" si="68"/>
        <v>0.59154929577464788</v>
      </c>
      <c r="AK94" s="193">
        <f t="shared" si="68"/>
        <v>0.47887323943661969</v>
      </c>
      <c r="AL94" s="193">
        <f t="shared" si="68"/>
        <v>0.53521126760563376</v>
      </c>
      <c r="AM94" s="193">
        <f t="shared" si="68"/>
        <v>0.38028169014084506</v>
      </c>
      <c r="AN94" s="193">
        <f t="shared" si="68"/>
        <v>0.40845070422535212</v>
      </c>
      <c r="AO94" s="193">
        <f t="shared" si="68"/>
        <v>0.36619718309859156</v>
      </c>
      <c r="AP94" s="193">
        <f t="shared" si="68"/>
        <v>0.46478873239436619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1294</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1" t="str">
        <f t="shared" ref="Z1:AP1" si="1">Z12</f>
        <v>MAX ACC 100% PNL 122402</v>
      </c>
      <c r="AA1" s="332" t="str">
        <f t="shared" si="1"/>
        <v>RISK-ON ACC 17% PNL -96717</v>
      </c>
      <c r="AB1" s="332" t="str">
        <f t="shared" si="1"/>
        <v>RISK-OFF ACC 83% PNL 96717</v>
      </c>
      <c r="AC1" s="332" t="str">
        <f t="shared" ref="AC1" si="2">AC12</f>
        <v>Previous ACC 44% PNL -1784</v>
      </c>
      <c r="AD1" s="295" t="str">
        <f t="shared" si="1"/>
        <v>Anti-Previous ACC 56% PNL 1784</v>
      </c>
      <c r="AE1" s="333" t="str">
        <f t="shared" si="1"/>
        <v>&gt;equity ACC 63% PNL 40216</v>
      </c>
      <c r="AF1" s="333" t="str">
        <f t="shared" si="1"/>
        <v>50/50 ACC 46% PNL -14608</v>
      </c>
      <c r="AG1" s="333" t="str">
        <f t="shared" si="1"/>
        <v>&lt;equity ACC 37% PNL -35409</v>
      </c>
      <c r="AH1" s="334" t="str">
        <f t="shared" si="1"/>
        <v>SEASONALITY ACC 52% PNL 16922</v>
      </c>
      <c r="AI1" s="334" t="str">
        <f t="shared" si="1"/>
        <v>ANTI-SEASONALITY ACC 48% PNL -16922</v>
      </c>
      <c r="AJ1" s="334" t="str">
        <f t="shared" si="1"/>
        <v>ADJ_SEASONALITY ACC 56% PNL 5594</v>
      </c>
      <c r="AK1" s="335" t="str">
        <f t="shared" si="1"/>
        <v>V1 ACC 35% PNL -29581</v>
      </c>
      <c r="AL1" s="335" t="str">
        <f t="shared" si="1"/>
        <v>V2 ACC 62% PNL 29231</v>
      </c>
      <c r="AM1" s="335" t="str">
        <f t="shared" si="1"/>
        <v>V3 ACC 52% PNL -17611</v>
      </c>
      <c r="AN1" s="335" t="str">
        <f t="shared" si="1"/>
        <v>V4 ACC 56% PNL 9166</v>
      </c>
      <c r="AO1" s="335" t="str">
        <f t="shared" si="1"/>
        <v>V5 ACC 51% PNL 12406</v>
      </c>
      <c r="AP1" s="335" t="str">
        <f t="shared" si="1"/>
        <v>V6 ACC 52% PNL -8765</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2">
        <f t="shared" ref="K2:K9" si="7">SUMIF($C$14:$C$92,$A2,E$14:E$92)/$B2</f>
        <v>0.77777777777777779</v>
      </c>
      <c r="L2" s="342">
        <f t="shared" ref="L2:O9" si="8">SUMIF($C$14:$C$92,$A2,I$14:I$92)/$B2</f>
        <v>0.55555555555555558</v>
      </c>
      <c r="M2" s="342">
        <f t="shared" si="8"/>
        <v>0.1111111111111111</v>
      </c>
      <c r="N2" s="342">
        <f t="shared" si="8"/>
        <v>1</v>
      </c>
      <c r="O2" s="342">
        <f t="shared" si="8"/>
        <v>0.55555555555555558</v>
      </c>
      <c r="P2" s="342">
        <f t="shared" ref="P2:V9" si="9">SUMIF($C$14:$C$92,$A2,O$14:O$92)/$B2</f>
        <v>-0.1111111111111111</v>
      </c>
      <c r="Q2" s="342">
        <f t="shared" si="9"/>
        <v>0.77777777777777779</v>
      </c>
      <c r="R2" s="342">
        <f t="shared" si="9"/>
        <v>-0.1111111111111111</v>
      </c>
      <c r="S2" s="342">
        <f t="shared" si="9"/>
        <v>-0.33333333333333331</v>
      </c>
      <c r="T2" s="342">
        <f t="shared" si="9"/>
        <v>0.1111111111111111</v>
      </c>
      <c r="U2" s="342">
        <f t="shared" si="9"/>
        <v>0.1111111111111111</v>
      </c>
      <c r="V2" s="342">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8.4507042253521125E-2</v>
      </c>
      <c r="F3" s="294">
        <f t="shared" si="3"/>
        <v>0</v>
      </c>
      <c r="G3" s="137">
        <f t="shared" si="4"/>
        <v>24136.122003577049</v>
      </c>
      <c r="H3" s="143">
        <f t="shared" si="5"/>
        <v>4022.687000596175</v>
      </c>
      <c r="I3" s="186">
        <f t="shared" ref="I3:I9" si="13">SUMIF($C$14:$C$92,A3,F$14:F$92)/B3</f>
        <v>-4022.687000596175</v>
      </c>
      <c r="J3" t="str">
        <f t="shared" si="6"/>
        <v>energy</v>
      </c>
      <c r="K3" s="342">
        <f t="shared" si="7"/>
        <v>0.66666666666666663</v>
      </c>
      <c r="L3" s="342">
        <f t="shared" si="8"/>
        <v>0.66666666666666663</v>
      </c>
      <c r="M3" s="342">
        <f t="shared" si="8"/>
        <v>-0.33333333333333331</v>
      </c>
      <c r="N3" s="342">
        <f t="shared" si="8"/>
        <v>0.66666666666666663</v>
      </c>
      <c r="O3" s="342">
        <f t="shared" si="8"/>
        <v>0.33333333333333331</v>
      </c>
      <c r="P3" s="342">
        <f t="shared" si="9"/>
        <v>0</v>
      </c>
      <c r="Q3" s="342">
        <f t="shared" si="9"/>
        <v>0.66666666666666663</v>
      </c>
      <c r="R3" s="342">
        <f t="shared" si="9"/>
        <v>-1</v>
      </c>
      <c r="S3" s="342">
        <f t="shared" si="9"/>
        <v>-0.33333333333333331</v>
      </c>
      <c r="T3" s="342">
        <f t="shared" si="9"/>
        <v>-0.66666666666666663</v>
      </c>
      <c r="U3" s="342">
        <f t="shared" si="9"/>
        <v>0</v>
      </c>
      <c r="V3" s="342">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0.14084507042253522</v>
      </c>
      <c r="F4" s="294">
        <f t="shared" si="3"/>
        <v>0.3</v>
      </c>
      <c r="G4" s="137">
        <f t="shared" si="4"/>
        <v>18686.401261427342</v>
      </c>
      <c r="H4" s="143">
        <f t="shared" si="5"/>
        <v>1868.6401261427341</v>
      </c>
      <c r="I4" s="186">
        <f t="shared" si="13"/>
        <v>-1199.7830052679858</v>
      </c>
      <c r="J4" t="str">
        <f t="shared" si="6"/>
        <v>grain</v>
      </c>
      <c r="K4" s="342">
        <f t="shared" si="7"/>
        <v>-1</v>
      </c>
      <c r="L4" s="342">
        <f t="shared" si="8"/>
        <v>-0.4</v>
      </c>
      <c r="M4" s="342">
        <f t="shared" si="8"/>
        <v>0.2</v>
      </c>
      <c r="N4" s="342">
        <f t="shared" si="8"/>
        <v>-0.4</v>
      </c>
      <c r="O4" s="342">
        <f t="shared" si="8"/>
        <v>0.2</v>
      </c>
      <c r="P4" s="342">
        <f t="shared" si="9"/>
        <v>0.4</v>
      </c>
      <c r="Q4" s="342">
        <f t="shared" si="9"/>
        <v>-0.6</v>
      </c>
      <c r="R4" s="342">
        <f t="shared" si="9"/>
        <v>0.8</v>
      </c>
      <c r="S4" s="342">
        <f t="shared" si="9"/>
        <v>0.2</v>
      </c>
      <c r="T4" s="342">
        <f t="shared" si="9"/>
        <v>0.2</v>
      </c>
      <c r="U4" s="342">
        <f t="shared" si="9"/>
        <v>-0.4</v>
      </c>
      <c r="V4" s="342">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0.29577464788732394</v>
      </c>
      <c r="F5" s="294">
        <f t="shared" si="3"/>
        <v>0.14285714285714285</v>
      </c>
      <c r="G5" s="137">
        <f t="shared" si="4"/>
        <v>27007.048798750431</v>
      </c>
      <c r="H5" s="143">
        <f t="shared" si="5"/>
        <v>1286.0499427976397</v>
      </c>
      <c r="I5" s="186">
        <f t="shared" si="13"/>
        <v>-1241.6309230095644</v>
      </c>
      <c r="J5" t="str">
        <f t="shared" si="6"/>
        <v>index</v>
      </c>
      <c r="K5" s="342">
        <f t="shared" si="7"/>
        <v>0.23809523809523808</v>
      </c>
      <c r="L5" s="342">
        <f t="shared" si="8"/>
        <v>0.61904761904761907</v>
      </c>
      <c r="M5" s="342">
        <f t="shared" si="8"/>
        <v>-0.52380952380952384</v>
      </c>
      <c r="N5" s="342">
        <f t="shared" si="8"/>
        <v>0.80952380952380953</v>
      </c>
      <c r="O5" s="342">
        <f t="shared" si="8"/>
        <v>0.14285714285714285</v>
      </c>
      <c r="P5" s="342">
        <f t="shared" si="9"/>
        <v>0.23809523809523808</v>
      </c>
      <c r="Q5" s="342">
        <f t="shared" si="9"/>
        <v>0.52380952380952384</v>
      </c>
      <c r="R5" s="342">
        <f t="shared" si="9"/>
        <v>-0.33333333333333331</v>
      </c>
      <c r="S5" s="342">
        <f t="shared" si="9"/>
        <v>0.14285714285714285</v>
      </c>
      <c r="T5" s="342">
        <f t="shared" si="9"/>
        <v>0.14285714285714285</v>
      </c>
      <c r="U5" s="342">
        <f t="shared" si="9"/>
        <v>-0.52380952380952384</v>
      </c>
      <c r="V5" s="342">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4.2253521126760563E-2</v>
      </c>
      <c r="F6" s="294">
        <f t="shared" si="3"/>
        <v>0.66666666666666663</v>
      </c>
      <c r="G6" s="137">
        <f t="shared" si="4"/>
        <v>3569.0378801136721</v>
      </c>
      <c r="H6" s="143">
        <f t="shared" si="5"/>
        <v>1189.679293371224</v>
      </c>
      <c r="I6" s="186">
        <f t="shared" si="13"/>
        <v>449.23855483656803</v>
      </c>
      <c r="J6" t="str">
        <f t="shared" si="6"/>
        <v>meat</v>
      </c>
      <c r="K6" s="342">
        <f t="shared" si="7"/>
        <v>-0.33333333333333331</v>
      </c>
      <c r="L6" s="342">
        <f t="shared" si="8"/>
        <v>0.33333333333333331</v>
      </c>
      <c r="M6" s="342">
        <f t="shared" si="8"/>
        <v>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7.0422535211267609E-2</v>
      </c>
      <c r="F7" s="294">
        <f t="shared" si="3"/>
        <v>0.6</v>
      </c>
      <c r="G7" s="137">
        <f t="shared" si="4"/>
        <v>7883.7631629594389</v>
      </c>
      <c r="H7" s="143">
        <f t="shared" si="5"/>
        <v>1576.7526325918877</v>
      </c>
      <c r="I7" s="186">
        <f t="shared" si="13"/>
        <v>678.06547950469451</v>
      </c>
      <c r="J7" t="str">
        <f t="shared" si="6"/>
        <v>metal</v>
      </c>
      <c r="K7" s="342">
        <f t="shared" si="7"/>
        <v>1</v>
      </c>
      <c r="L7" s="342">
        <f t="shared" si="8"/>
        <v>0.2</v>
      </c>
      <c r="M7" s="342">
        <f t="shared" si="8"/>
        <v>-0.6</v>
      </c>
      <c r="N7" s="342">
        <f t="shared" si="8"/>
        <v>1</v>
      </c>
      <c r="O7" s="342">
        <f t="shared" si="8"/>
        <v>0.6</v>
      </c>
      <c r="P7" s="342">
        <f t="shared" si="9"/>
        <v>0.6</v>
      </c>
      <c r="Q7" s="342">
        <f t="shared" si="9"/>
        <v>1</v>
      </c>
      <c r="R7" s="342">
        <f t="shared" si="9"/>
        <v>-1</v>
      </c>
      <c r="S7" s="342">
        <f t="shared" si="9"/>
        <v>-0.6</v>
      </c>
      <c r="T7" s="342">
        <f t="shared" si="9"/>
        <v>-0.6</v>
      </c>
      <c r="U7" s="342">
        <f t="shared" si="9"/>
        <v>-0.6</v>
      </c>
      <c r="V7" s="342">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0.14084507042253522</v>
      </c>
      <c r="F8" s="294">
        <f t="shared" si="3"/>
        <v>1</v>
      </c>
      <c r="G8" s="137">
        <f t="shared" si="4"/>
        <v>18173.635797403036</v>
      </c>
      <c r="H8" s="143">
        <f t="shared" si="5"/>
        <v>1817.3635797403035</v>
      </c>
      <c r="I8" s="186">
        <f t="shared" si="13"/>
        <v>1817.3635797403035</v>
      </c>
      <c r="J8" t="str">
        <f t="shared" si="6"/>
        <v>rates</v>
      </c>
      <c r="K8" s="342">
        <f t="shared" si="7"/>
        <v>0</v>
      </c>
      <c r="L8" s="342">
        <f t="shared" si="8"/>
        <v>0.4</v>
      </c>
      <c r="M8" s="342">
        <f t="shared" si="8"/>
        <v>0.2</v>
      </c>
      <c r="N8" s="342">
        <f t="shared" si="8"/>
        <v>0.4</v>
      </c>
      <c r="O8" s="342">
        <f t="shared" si="8"/>
        <v>1</v>
      </c>
      <c r="P8" s="342">
        <f t="shared" si="9"/>
        <v>1</v>
      </c>
      <c r="Q8" s="342">
        <f t="shared" si="9"/>
        <v>-0.2</v>
      </c>
      <c r="R8" s="342">
        <f t="shared" si="9"/>
        <v>0.4</v>
      </c>
      <c r="S8" s="342">
        <f t="shared" si="9"/>
        <v>-0.2</v>
      </c>
      <c r="T8" s="342">
        <f t="shared" si="9"/>
        <v>0.2</v>
      </c>
      <c r="U8" s="342">
        <f t="shared" si="9"/>
        <v>-0.8</v>
      </c>
      <c r="V8" s="342">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7</v>
      </c>
      <c r="C9" s="200">
        <f t="shared" si="12"/>
        <v>9.8591549295774641E-2</v>
      </c>
      <c r="D9" s="126"/>
      <c r="F9" s="294">
        <f t="shared" si="3"/>
        <v>0.7142857142857143</v>
      </c>
      <c r="G9" s="199">
        <f t="shared" si="4"/>
        <v>7794.7089905289449</v>
      </c>
      <c r="H9" s="143">
        <f t="shared" si="5"/>
        <v>1113.5298557898493</v>
      </c>
      <c r="I9" s="186">
        <f t="shared" si="13"/>
        <v>778.94419885994103</v>
      </c>
      <c r="J9" t="str">
        <f t="shared" si="6"/>
        <v>soft</v>
      </c>
      <c r="K9" s="342">
        <f t="shared" si="7"/>
        <v>1</v>
      </c>
      <c r="L9" s="342">
        <f t="shared" si="8"/>
        <v>0.14285714285714285</v>
      </c>
      <c r="M9" s="342">
        <f t="shared" si="8"/>
        <v>-0.14285714285714285</v>
      </c>
      <c r="N9" s="342">
        <f t="shared" si="8"/>
        <v>0.42857142857142855</v>
      </c>
      <c r="O9" s="342">
        <f t="shared" si="8"/>
        <v>-0.14285714285714285</v>
      </c>
      <c r="P9" s="342">
        <f t="shared" si="9"/>
        <v>-0.14285714285714285</v>
      </c>
      <c r="Q9" s="342">
        <f t="shared" si="9"/>
        <v>1</v>
      </c>
      <c r="R9" s="342">
        <f t="shared" si="9"/>
        <v>-0.7142857142857143</v>
      </c>
      <c r="S9" s="342">
        <f t="shared" si="9"/>
        <v>-0.42857142857142855</v>
      </c>
      <c r="T9" s="342">
        <f t="shared" si="9"/>
        <v>-0.42857142857142855</v>
      </c>
      <c r="U9" s="342">
        <f t="shared" si="9"/>
        <v>0.42857142857142855</v>
      </c>
      <c r="V9" s="342">
        <f t="shared" si="9"/>
        <v>-0.14285714285714285</v>
      </c>
      <c r="W9" s="286"/>
      <c r="X9" s="6"/>
      <c r="Y9" s="17" t="s">
        <v>304</v>
      </c>
      <c r="Z9" s="283">
        <f t="shared" si="10"/>
        <v>7794.7089905289449</v>
      </c>
      <c r="AA9" s="283">
        <f t="shared" si="10"/>
        <v>5452.6093920195872</v>
      </c>
      <c r="AB9" s="283">
        <f t="shared" si="10"/>
        <v>-5452.6093920195872</v>
      </c>
      <c r="AC9" s="283">
        <f t="shared" si="10"/>
        <v>5452.6093920195872</v>
      </c>
      <c r="AD9" s="283">
        <f t="shared" si="10"/>
        <v>-5452.6093920195872</v>
      </c>
      <c r="AE9" s="283">
        <f t="shared" si="10"/>
        <v>-4577.6150532397078</v>
      </c>
      <c r="AF9" s="283">
        <f t="shared" si="10"/>
        <v>327.08773020561523</v>
      </c>
      <c r="AG9" s="283">
        <f t="shared" si="10"/>
        <v>-940.50960585957716</v>
      </c>
      <c r="AH9" s="283">
        <f t="shared" si="10"/>
        <v>-1153.2697547633325</v>
      </c>
      <c r="AI9" s="283">
        <f t="shared" si="10"/>
        <v>1153.2697547633325</v>
      </c>
      <c r="AJ9" s="283">
        <f t="shared" si="10"/>
        <v>-188.80740468916053</v>
      </c>
      <c r="AK9" s="283">
        <f t="shared" si="10"/>
        <v>5452.6093920195872</v>
      </c>
      <c r="AL9" s="283">
        <f t="shared" si="10"/>
        <v>-6527.1116544637525</v>
      </c>
      <c r="AM9" s="283">
        <f t="shared" si="10"/>
        <v>-5239.849243115832</v>
      </c>
      <c r="AN9" s="283">
        <f t="shared" si="10"/>
        <v>-5239.849243115832</v>
      </c>
      <c r="AO9" s="283">
        <f t="shared" si="10"/>
        <v>5919.6922126922009</v>
      </c>
      <c r="AP9" s="283">
        <f t="shared" si="10"/>
        <v>-4577.6150532397078</v>
      </c>
    </row>
    <row r="10" spans="1:42" outlineLevel="1" x14ac:dyDescent="0.25">
      <c r="B10">
        <f>SUM(B2:B9)</f>
        <v>71</v>
      </c>
      <c r="C10" s="193">
        <f t="shared" si="12"/>
        <v>1</v>
      </c>
      <c r="D10" s="126"/>
      <c r="F10" s="294">
        <f>SUMIFS(H$14:H$92,H$14:H$92,1,$C$14:$C$92,"&lt;&gt;offline")/$B10</f>
        <v>0.39436619718309857</v>
      </c>
      <c r="G10" s="167">
        <f>SUM(G2:G9)</f>
        <v>122401.79617814085</v>
      </c>
      <c r="H10" s="143">
        <f t="shared" si="5"/>
        <v>1723.968960255505</v>
      </c>
      <c r="I10">
        <f>SUM(F14:F92)/B10</f>
        <v>-540.84341181089201</v>
      </c>
      <c r="J10" s="137"/>
      <c r="K10" s="6"/>
      <c r="L10" s="292"/>
      <c r="M10" s="286"/>
      <c r="N10" s="292"/>
      <c r="O10" s="6"/>
      <c r="R10" s="6"/>
      <c r="S10" s="286"/>
      <c r="T10" s="286"/>
      <c r="U10" s="286"/>
      <c r="V10" s="6"/>
      <c r="W10" s="286"/>
      <c r="X10" s="6"/>
      <c r="Y10" s="6" t="s">
        <v>1245</v>
      </c>
      <c r="Z10" s="284">
        <f>SUM(Z2:Z9)</f>
        <v>122401.79617814085</v>
      </c>
      <c r="AA10" s="284">
        <f t="shared" ref="AA10:AP10" si="14">SUM(AA2:AA9)</f>
        <v>-96716.651689265185</v>
      </c>
      <c r="AB10" s="284">
        <f t="shared" si="14"/>
        <v>96716.651689265185</v>
      </c>
      <c r="AC10" s="284">
        <f t="shared" si="14"/>
        <v>-1784.2825086798721</v>
      </c>
      <c r="AD10" s="284">
        <f t="shared" si="14"/>
        <v>1784.2825086798721</v>
      </c>
      <c r="AE10" s="284">
        <f t="shared" si="14"/>
        <v>40216.033190686292</v>
      </c>
      <c r="AF10" s="284">
        <f t="shared" si="14"/>
        <v>-14607.541321603383</v>
      </c>
      <c r="AG10" s="284">
        <f t="shared" si="14"/>
        <v>-35409.007370584826</v>
      </c>
      <c r="AH10" s="284">
        <f t="shared" si="14"/>
        <v>16921.510420824554</v>
      </c>
      <c r="AI10" s="284">
        <f t="shared" ref="AI10" si="15">SUM(AI2:AI9)</f>
        <v>-16921.510420824554</v>
      </c>
      <c r="AJ10" s="284">
        <f t="shared" si="14"/>
        <v>5594.3435033680043</v>
      </c>
      <c r="AK10" s="284">
        <f t="shared" si="14"/>
        <v>-29580.644386198124</v>
      </c>
      <c r="AL10" s="284">
        <f t="shared" si="14"/>
        <v>29230.668643274603</v>
      </c>
      <c r="AM10" s="284">
        <f t="shared" si="14"/>
        <v>-17610.787193392272</v>
      </c>
      <c r="AN10" s="284">
        <f t="shared" si="14"/>
        <v>9166.3269205112283</v>
      </c>
      <c r="AO10" s="284">
        <f t="shared" si="14"/>
        <v>12406.067894202555</v>
      </c>
      <c r="AP10" s="284">
        <f t="shared" si="14"/>
        <v>-8764.8829357648556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122402</v>
      </c>
      <c r="AA12" s="308" t="str">
        <f t="shared" si="16"/>
        <v>RISK-ON ACC 17% PNL -96717</v>
      </c>
      <c r="AB12" s="308" t="str">
        <f t="shared" si="16"/>
        <v>RISK-OFF ACC 83% PNL 96717</v>
      </c>
      <c r="AC12" s="308" t="str">
        <f t="shared" si="16"/>
        <v>Previous ACC 44% PNL -1784</v>
      </c>
      <c r="AD12" s="337" t="str">
        <f t="shared" si="16"/>
        <v>Anti-Previous ACC 56% PNL 1784</v>
      </c>
      <c r="AE12" s="338" t="str">
        <f t="shared" si="16"/>
        <v>&gt;equity ACC 63% PNL 40216</v>
      </c>
      <c r="AF12" s="338" t="str">
        <f t="shared" si="16"/>
        <v>50/50 ACC 46% PNL -14608</v>
      </c>
      <c r="AG12" s="338" t="str">
        <f t="shared" si="16"/>
        <v>&lt;equity ACC 37% PNL -35409</v>
      </c>
      <c r="AH12" s="339" t="str">
        <f t="shared" si="16"/>
        <v>SEASONALITY ACC 52% PNL 16922</v>
      </c>
      <c r="AI12" s="339" t="str">
        <f t="shared" si="16"/>
        <v>ANTI-SEASONALITY ACC 48% PNL -16922</v>
      </c>
      <c r="AJ12" s="339" t="str">
        <f t="shared" si="16"/>
        <v>ADJ_SEASONALITY ACC 56% PNL 5594</v>
      </c>
      <c r="AK12" s="340" t="str">
        <f t="shared" si="16"/>
        <v>V1 ACC 35% PNL -29581</v>
      </c>
      <c r="AL12" s="340" t="str">
        <f t="shared" si="16"/>
        <v>V2 ACC 62% PNL 29231</v>
      </c>
      <c r="AM12" s="340" t="str">
        <f t="shared" si="16"/>
        <v>V3 ACC 52% PNL -17611</v>
      </c>
      <c r="AN12" s="340" t="str">
        <f t="shared" si="16"/>
        <v>V4 ACC 56% PNL 9166</v>
      </c>
      <c r="AO12" s="340" t="str">
        <f t="shared" si="16"/>
        <v>V5 ACC 51% PNL 12406</v>
      </c>
      <c r="AP12" s="340" t="str">
        <f t="shared" si="16"/>
        <v>V6 ACC 52% PNL -8765</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858300.99064841692</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28" t="s">
        <v>287</v>
      </c>
      <c r="B14" s="329" t="s">
        <v>558</v>
      </c>
      <c r="C14" s="330" t="s">
        <v>1285</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7968</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H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21726.143999999997</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8889</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52612.5</v>
      </c>
      <c r="Y19" s="137">
        <v>13500</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122600</v>
      </c>
      <c r="Y20" s="137">
        <v>9000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10428</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28" t="s">
        <v>307</v>
      </c>
      <c r="B22" s="329" t="s">
        <v>484</v>
      </c>
      <c r="C22" s="330" t="s">
        <v>1285</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9180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4503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21792</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14804</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12992.099999999999</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13327.38</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28" t="s">
        <v>320</v>
      </c>
      <c r="B29" s="329" t="s">
        <v>564</v>
      </c>
      <c r="C29" s="330" t="s">
        <v>1285</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14250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15750</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8436</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2449.7791999999999</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17434.559999999998</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28" t="s">
        <v>335</v>
      </c>
      <c r="B36" s="329" t="s">
        <v>568</v>
      </c>
      <c r="C36" s="330" t="s">
        <v>1285</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16638.4218</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15369.6543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28" t="s">
        <v>341</v>
      </c>
      <c r="B39" s="329" t="s">
        <v>453</v>
      </c>
      <c r="C39" s="330" t="s">
        <v>1285</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7000</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11250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15115.9793814433</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109175</v>
      </c>
      <c r="Y43" s="137">
        <v>5750</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25265.463917525773</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11970</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7894</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15000</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83300</v>
      </c>
      <c r="Y48" s="137">
        <v>7000</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330" t="s">
        <v>1285</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106524</v>
      </c>
      <c r="Y49" s="137">
        <v>7311</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6750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10000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133200</v>
      </c>
      <c r="Y53" s="137">
        <v>6000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105540</v>
      </c>
      <c r="Y54" s="137">
        <v>15640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8312</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25145.999999999996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18496</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17875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9054</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6495</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12500</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15000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6750</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4376</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10500</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6192</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12236</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6850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96724.164484829817</v>
      </c>
      <c r="Y70" s="137">
        <v>4299.8239032233369</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15250</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12000</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33606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1296</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6756</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1058447.7046852815</v>
      </c>
      <c r="Y76" s="137">
        <v>1975.1135690302192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75600</v>
      </c>
      <c r="Y77" s="137">
        <v>12000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26336.136177194425</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H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11250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16205.199999999997</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13500</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1755375</v>
      </c>
      <c r="Y83" s="137">
        <v>8244</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6248</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26148</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14000</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19499.594399999998</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28" t="s">
        <v>1054</v>
      </c>
      <c r="B89" s="329" t="s">
        <v>463</v>
      </c>
      <c r="C89" s="330" t="s">
        <v>1285</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16248</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12326.4</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12518.999999999998</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0.16901408450704225</v>
      </c>
      <c r="AB94" s="193">
        <f t="shared" si="68"/>
        <v>0.83098591549295775</v>
      </c>
      <c r="AC94" s="193">
        <f t="shared" ref="AC94" si="69">COUNTIF(AC14:AC92,"&gt;0")/$B$10</f>
        <v>0.43661971830985913</v>
      </c>
      <c r="AD94" s="193">
        <f t="shared" si="68"/>
        <v>0.56338028169014087</v>
      </c>
      <c r="AE94" s="193">
        <f t="shared" si="68"/>
        <v>0.63380281690140849</v>
      </c>
      <c r="AF94" s="193">
        <f t="shared" si="68"/>
        <v>0.46478873239436619</v>
      </c>
      <c r="AG94" s="193">
        <f t="shared" si="68"/>
        <v>0.36619718309859156</v>
      </c>
      <c r="AH94" s="193">
        <f t="shared" si="68"/>
        <v>0.52112676056338025</v>
      </c>
      <c r="AI94" s="193">
        <f t="shared" ref="AI94" si="70">COUNTIF(AI14:AI92,"&gt;0")/$B$10</f>
        <v>0.47887323943661969</v>
      </c>
      <c r="AJ94" s="193">
        <f t="shared" si="68"/>
        <v>0.56338028169014087</v>
      </c>
      <c r="AK94" s="193">
        <f t="shared" si="68"/>
        <v>0.352112676056338</v>
      </c>
      <c r="AL94" s="193">
        <f t="shared" si="68"/>
        <v>0.61971830985915488</v>
      </c>
      <c r="AM94" s="193">
        <f t="shared" si="68"/>
        <v>0.52112676056338025</v>
      </c>
      <c r="AN94" s="193">
        <f t="shared" si="68"/>
        <v>0.56338028169014087</v>
      </c>
      <c r="AO94" s="193">
        <f t="shared" si="68"/>
        <v>0.50704225352112675</v>
      </c>
      <c r="AP94" s="193">
        <f t="shared" si="68"/>
        <v>0.52112676056338025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1294</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1" t="str">
        <f t="shared" ref="Z1:AP1" si="1">Z12</f>
        <v>MAX ACC 32% PNL 17203</v>
      </c>
      <c r="AA1" s="332" t="str">
        <f t="shared" si="1"/>
        <v>RISK-ON ACC 17% PNL 3539</v>
      </c>
      <c r="AB1" s="332" t="str">
        <f t="shared" si="1"/>
        <v>RISK-OFF ACC 15% PNL -3539</v>
      </c>
      <c r="AC1" s="332" t="str">
        <f t="shared" ref="AC1" si="2">AC12</f>
        <v>Previous ACC 11% PNL -4886</v>
      </c>
      <c r="AD1" s="295" t="str">
        <f t="shared" si="1"/>
        <v>Anti-Previous ACC 21% PNL 4886</v>
      </c>
      <c r="AE1" s="333" t="str">
        <f t="shared" si="1"/>
        <v>&gt;equity ACC 18% PNL 5127</v>
      </c>
      <c r="AF1" s="333" t="str">
        <f t="shared" si="1"/>
        <v>50/50 ACC 13% PNL -5230</v>
      </c>
      <c r="AG1" s="333" t="str">
        <f t="shared" si="1"/>
        <v>&lt;equity ACC 15% PNL -1943</v>
      </c>
      <c r="AH1" s="334" t="str">
        <f t="shared" si="1"/>
        <v>SEASONALITY ACC 20% PNL 3124</v>
      </c>
      <c r="AI1" s="334" t="str">
        <f t="shared" si="1"/>
        <v>ANTI-SEASONALITY ACC 13% PNL -3124</v>
      </c>
      <c r="AJ1" s="334" t="str">
        <f t="shared" si="1"/>
        <v>ADJ_SEASONALITY ACC 18% PNL 2903</v>
      </c>
      <c r="AK1" s="335" t="str">
        <f t="shared" si="1"/>
        <v>V1 ACC 11% PNL -5225</v>
      </c>
      <c r="AL1" s="335" t="str">
        <f t="shared" si="1"/>
        <v>V2 ACC 18% PNL 4220</v>
      </c>
      <c r="AM1" s="335" t="str">
        <f t="shared" si="1"/>
        <v>V3 ACC 14% PNL -3129</v>
      </c>
      <c r="AN1" s="335" t="str">
        <f t="shared" si="1"/>
        <v>V4 ACC 13% PNL -2955</v>
      </c>
      <c r="AO1" s="335" t="str">
        <f t="shared" si="1"/>
        <v>V5 ACC 15% PNL -1727</v>
      </c>
      <c r="AP1" s="335" t="str">
        <f t="shared" si="1"/>
        <v>V6 ACC 18% PNL 3554</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2">
        <f t="shared" ref="K2:K9" si="7">SUMIF($C$14:$C$92,$A2,E$14:E$92)/$B2</f>
        <v>0.55555555555555558</v>
      </c>
      <c r="L2" s="342">
        <f t="shared" ref="L2:O9" si="8">SUMIF($C$14:$C$92,$A2,I$14:I$92)/$B2</f>
        <v>0.33333333333333331</v>
      </c>
      <c r="M2" s="342">
        <f t="shared" si="8"/>
        <v>0.1111111111111111</v>
      </c>
      <c r="N2" s="342">
        <f t="shared" si="8"/>
        <v>0.77777777777777779</v>
      </c>
      <c r="O2" s="342">
        <f t="shared" si="8"/>
        <v>0.55555555555555558</v>
      </c>
      <c r="P2" s="342">
        <f t="shared" ref="P2:V9" si="9">SUMIF($C$14:$C$92,$A2,O$14:O$92)/$B2</f>
        <v>-0.1111111111111111</v>
      </c>
      <c r="Q2" s="342">
        <f t="shared" si="9"/>
        <v>0.55555555555555558</v>
      </c>
      <c r="R2" s="342">
        <f t="shared" si="9"/>
        <v>-0.1111111111111111</v>
      </c>
      <c r="S2" s="342">
        <f t="shared" si="9"/>
        <v>-0.33333333333333331</v>
      </c>
      <c r="T2" s="342">
        <f t="shared" si="9"/>
        <v>0.1111111111111111</v>
      </c>
      <c r="U2" s="342">
        <f t="shared" si="9"/>
        <v>0.1111111111111111</v>
      </c>
      <c r="V2" s="342">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8.4507042253521125E-2</v>
      </c>
      <c r="F3" s="294">
        <f t="shared" si="3"/>
        <v>0.83333333333333337</v>
      </c>
      <c r="G3" s="137">
        <f t="shared" si="4"/>
        <v>921.14763094068701</v>
      </c>
      <c r="H3" s="143">
        <f t="shared" si="5"/>
        <v>153.52460515678118</v>
      </c>
      <c r="I3" s="186">
        <f t="shared" ref="I3:I9" si="13">SUMIF($C$14:$C$92,A3,F$14:F$92)/B3</f>
        <v>14.091188313357179</v>
      </c>
      <c r="J3" t="str">
        <f t="shared" si="6"/>
        <v>energy</v>
      </c>
      <c r="K3" s="342">
        <f t="shared" si="7"/>
        <v>0.66666666666666663</v>
      </c>
      <c r="L3" s="342">
        <f t="shared" si="8"/>
        <v>0.66666666666666663</v>
      </c>
      <c r="M3" s="342">
        <f t="shared" si="8"/>
        <v>0</v>
      </c>
      <c r="N3" s="342">
        <f t="shared" si="8"/>
        <v>0.66666666666666663</v>
      </c>
      <c r="O3" s="342">
        <f t="shared" si="8"/>
        <v>0.66666666666666663</v>
      </c>
      <c r="P3" s="342">
        <f t="shared" si="9"/>
        <v>0</v>
      </c>
      <c r="Q3" s="342">
        <f t="shared" si="9"/>
        <v>0.33333333333333331</v>
      </c>
      <c r="R3" s="342">
        <f t="shared" si="9"/>
        <v>-0.66666666666666663</v>
      </c>
      <c r="S3" s="342">
        <f t="shared" si="9"/>
        <v>-0.33333333333333331</v>
      </c>
      <c r="T3" s="342">
        <f t="shared" si="9"/>
        <v>-0.33333333333333331</v>
      </c>
      <c r="U3" s="342">
        <f t="shared" si="9"/>
        <v>0</v>
      </c>
      <c r="V3" s="342">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0.14084507042253522</v>
      </c>
      <c r="F4" s="294">
        <f t="shared" si="3"/>
        <v>0</v>
      </c>
      <c r="G4" s="137">
        <f t="shared" si="4"/>
        <v>420.16314454039133</v>
      </c>
      <c r="H4" s="143">
        <f t="shared" si="5"/>
        <v>42.016314454039133</v>
      </c>
      <c r="I4" s="186">
        <f t="shared" si="13"/>
        <v>-42.016314454039133</v>
      </c>
      <c r="J4" t="str">
        <f t="shared" si="6"/>
        <v>grain</v>
      </c>
      <c r="K4" s="342">
        <f t="shared" si="7"/>
        <v>-0.8</v>
      </c>
      <c r="L4" s="342">
        <f t="shared" si="8"/>
        <v>-0.2</v>
      </c>
      <c r="M4" s="342">
        <f t="shared" si="8"/>
        <v>0.4</v>
      </c>
      <c r="N4" s="342">
        <f t="shared" si="8"/>
        <v>-0.4</v>
      </c>
      <c r="O4" s="342">
        <f t="shared" si="8"/>
        <v>0.2</v>
      </c>
      <c r="P4" s="342">
        <f t="shared" si="9"/>
        <v>0.4</v>
      </c>
      <c r="Q4" s="342">
        <f t="shared" si="9"/>
        <v>-0.6</v>
      </c>
      <c r="R4" s="342">
        <f t="shared" si="9"/>
        <v>0.8</v>
      </c>
      <c r="S4" s="342">
        <f t="shared" si="9"/>
        <v>0.2</v>
      </c>
      <c r="T4" s="342">
        <f t="shared" si="9"/>
        <v>0.2</v>
      </c>
      <c r="U4" s="342">
        <f t="shared" si="9"/>
        <v>-0.4</v>
      </c>
      <c r="V4" s="342">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0.29577464788732394</v>
      </c>
      <c r="F5" s="294">
        <f t="shared" si="3"/>
        <v>0.61904761904761907</v>
      </c>
      <c r="G5" s="137">
        <f t="shared" si="4"/>
        <v>9222.9904536079666</v>
      </c>
      <c r="H5" s="143">
        <f t="shared" si="5"/>
        <v>439.19002160037934</v>
      </c>
      <c r="I5" s="186">
        <f t="shared" si="13"/>
        <v>66.597679898375489</v>
      </c>
      <c r="J5" t="str">
        <f t="shared" si="6"/>
        <v>index</v>
      </c>
      <c r="K5" s="342">
        <f t="shared" si="7"/>
        <v>0.7142857142857143</v>
      </c>
      <c r="L5" s="342">
        <f t="shared" si="8"/>
        <v>0.61904761904761907</v>
      </c>
      <c r="M5" s="342">
        <f t="shared" si="8"/>
        <v>-0.33333333333333331</v>
      </c>
      <c r="N5" s="342">
        <f t="shared" si="8"/>
        <v>0.7142857142857143</v>
      </c>
      <c r="O5" s="342">
        <f t="shared" si="8"/>
        <v>0.33333333333333331</v>
      </c>
      <c r="P5" s="342">
        <f t="shared" si="9"/>
        <v>4.7619047619047616E-2</v>
      </c>
      <c r="Q5" s="342">
        <f t="shared" si="9"/>
        <v>0.7142857142857143</v>
      </c>
      <c r="R5" s="342">
        <f t="shared" si="9"/>
        <v>-0.52380952380952384</v>
      </c>
      <c r="S5" s="342">
        <f t="shared" si="9"/>
        <v>-0.33333333333333331</v>
      </c>
      <c r="T5" s="342">
        <f t="shared" si="9"/>
        <v>-4.7619047619047616E-2</v>
      </c>
      <c r="U5" s="342">
        <f t="shared" si="9"/>
        <v>-4.7619047619047616E-2</v>
      </c>
      <c r="V5" s="342">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4.2253521126760563E-2</v>
      </c>
      <c r="F6" s="294">
        <f t="shared" si="3"/>
        <v>0.33333333333333331</v>
      </c>
      <c r="G6" s="137">
        <f t="shared" si="4"/>
        <v>0</v>
      </c>
      <c r="H6" s="143">
        <f t="shared" si="5"/>
        <v>0</v>
      </c>
      <c r="I6" s="186">
        <f t="shared" si="13"/>
        <v>0</v>
      </c>
      <c r="J6" t="str">
        <f t="shared" si="6"/>
        <v>meat</v>
      </c>
      <c r="K6" s="342">
        <f t="shared" si="7"/>
        <v>-0.33333333333333331</v>
      </c>
      <c r="L6" s="342">
        <f t="shared" si="8"/>
        <v>0.33333333333333331</v>
      </c>
      <c r="M6" s="342">
        <f t="shared" si="8"/>
        <v>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7.0422535211267609E-2</v>
      </c>
      <c r="F7" s="294">
        <f t="shared" si="3"/>
        <v>1</v>
      </c>
      <c r="G7" s="137">
        <f t="shared" si="4"/>
        <v>0</v>
      </c>
      <c r="H7" s="143">
        <f t="shared" si="5"/>
        <v>0</v>
      </c>
      <c r="I7" s="186">
        <f t="shared" si="13"/>
        <v>0</v>
      </c>
      <c r="J7" t="str">
        <f t="shared" si="6"/>
        <v>metal</v>
      </c>
      <c r="K7" s="342">
        <f t="shared" si="7"/>
        <v>1</v>
      </c>
      <c r="L7" s="342">
        <f t="shared" si="8"/>
        <v>0.2</v>
      </c>
      <c r="M7" s="342">
        <f t="shared" si="8"/>
        <v>-0.6</v>
      </c>
      <c r="N7" s="342">
        <f t="shared" si="8"/>
        <v>1</v>
      </c>
      <c r="O7" s="342">
        <f t="shared" si="8"/>
        <v>0.6</v>
      </c>
      <c r="P7" s="342">
        <f t="shared" si="9"/>
        <v>0.6</v>
      </c>
      <c r="Q7" s="342">
        <f t="shared" si="9"/>
        <v>1</v>
      </c>
      <c r="R7" s="342">
        <f t="shared" si="9"/>
        <v>-1</v>
      </c>
      <c r="S7" s="342">
        <f t="shared" si="9"/>
        <v>-0.6</v>
      </c>
      <c r="T7" s="342">
        <f t="shared" si="9"/>
        <v>-0.6</v>
      </c>
      <c r="U7" s="342">
        <f t="shared" si="9"/>
        <v>-0.6</v>
      </c>
      <c r="V7" s="342">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0.14084507042253522</v>
      </c>
      <c r="F8" s="294">
        <f t="shared" si="3"/>
        <v>0.5</v>
      </c>
      <c r="G8" s="137">
        <f t="shared" si="4"/>
        <v>5240.3759370212892</v>
      </c>
      <c r="H8" s="143">
        <f t="shared" si="5"/>
        <v>524.0375937021289</v>
      </c>
      <c r="I8" s="186">
        <f t="shared" si="13"/>
        <v>-107.81999797701822</v>
      </c>
      <c r="J8" t="str">
        <f t="shared" si="6"/>
        <v>rates</v>
      </c>
      <c r="K8" s="342">
        <f t="shared" si="7"/>
        <v>0.2</v>
      </c>
      <c r="L8" s="342">
        <f t="shared" si="8"/>
        <v>0.8</v>
      </c>
      <c r="M8" s="342">
        <f t="shared" si="8"/>
        <v>0.4</v>
      </c>
      <c r="N8" s="342">
        <f t="shared" si="8"/>
        <v>1</v>
      </c>
      <c r="O8" s="342">
        <f t="shared" si="8"/>
        <v>1</v>
      </c>
      <c r="P8" s="342">
        <f t="shared" si="9"/>
        <v>1</v>
      </c>
      <c r="Q8" s="342">
        <f t="shared" si="9"/>
        <v>0.2</v>
      </c>
      <c r="R8" s="342">
        <f t="shared" si="9"/>
        <v>0.6</v>
      </c>
      <c r="S8" s="342">
        <f t="shared" si="9"/>
        <v>-0.4</v>
      </c>
      <c r="T8" s="342">
        <f t="shared" si="9"/>
        <v>0.4</v>
      </c>
      <c r="U8" s="342">
        <f t="shared" si="9"/>
        <v>-1</v>
      </c>
      <c r="V8" s="342">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7</v>
      </c>
      <c r="C9" s="200">
        <f t="shared" si="12"/>
        <v>9.8591549295774641E-2</v>
      </c>
      <c r="D9" s="126"/>
      <c r="F9" s="294">
        <f t="shared" si="3"/>
        <v>1</v>
      </c>
      <c r="G9" s="199">
        <f t="shared" si="4"/>
        <v>1398.1891117465441</v>
      </c>
      <c r="H9" s="143">
        <f t="shared" si="5"/>
        <v>199.74130167807772</v>
      </c>
      <c r="I9" s="186">
        <f t="shared" si="13"/>
        <v>199.74130167807772</v>
      </c>
      <c r="J9" t="str">
        <f t="shared" si="6"/>
        <v>soft</v>
      </c>
      <c r="K9" s="342">
        <f t="shared" si="7"/>
        <v>1</v>
      </c>
      <c r="L9" s="342">
        <f t="shared" si="8"/>
        <v>-0.14285714285714285</v>
      </c>
      <c r="M9" s="342">
        <f t="shared" si="8"/>
        <v>-0.7142857142857143</v>
      </c>
      <c r="N9" s="342">
        <f t="shared" si="8"/>
        <v>0.42857142857142855</v>
      </c>
      <c r="O9" s="342">
        <f t="shared" si="8"/>
        <v>-0.14285714285714285</v>
      </c>
      <c r="P9" s="342">
        <f t="shared" si="9"/>
        <v>-0.14285714285714285</v>
      </c>
      <c r="Q9" s="342">
        <f t="shared" si="9"/>
        <v>1</v>
      </c>
      <c r="R9" s="342">
        <f t="shared" si="9"/>
        <v>-1</v>
      </c>
      <c r="S9" s="342">
        <f t="shared" si="9"/>
        <v>-0.7142857142857143</v>
      </c>
      <c r="T9" s="342">
        <f t="shared" si="9"/>
        <v>-0.7142857142857143</v>
      </c>
      <c r="U9" s="342">
        <f t="shared" si="9"/>
        <v>0.42857142857142855</v>
      </c>
      <c r="V9" s="342">
        <f t="shared" si="9"/>
        <v>-0.7142857142857143</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71</v>
      </c>
      <c r="C10" s="193">
        <f t="shared" si="12"/>
        <v>1</v>
      </c>
      <c r="D10" s="126"/>
      <c r="F10" s="294">
        <f>SUMIFS(H$14:H$92,H$14:H$92,1,$C$14:$C$92,"&lt;&gt;offline")/$B10</f>
        <v>0.61971830985915488</v>
      </c>
      <c r="G10" s="167">
        <f>SUM(G2:G9)</f>
        <v>17202.86627785688</v>
      </c>
      <c r="H10" s="143">
        <f t="shared" si="5"/>
        <v>242.29389123742084</v>
      </c>
      <c r="I10">
        <f>SUM(F14:F92)/B10</f>
        <v>19.477808382845055</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32% PNL 17203</v>
      </c>
      <c r="AA12" s="308" t="str">
        <f t="shared" si="16"/>
        <v>RISK-ON ACC 17% PNL 3539</v>
      </c>
      <c r="AB12" s="308" t="str">
        <f t="shared" si="16"/>
        <v>RISK-OFF ACC 15% PNL -3539</v>
      </c>
      <c r="AC12" s="308" t="str">
        <f t="shared" si="16"/>
        <v>Previous ACC 11% PNL -4886</v>
      </c>
      <c r="AD12" s="337" t="str">
        <f t="shared" si="16"/>
        <v>Anti-Previous ACC 21% PNL 4886</v>
      </c>
      <c r="AE12" s="338" t="str">
        <f t="shared" si="16"/>
        <v>&gt;equity ACC 18% PNL 5127</v>
      </c>
      <c r="AF12" s="338" t="str">
        <f t="shared" si="16"/>
        <v>50/50 ACC 13% PNL -5230</v>
      </c>
      <c r="AG12" s="338" t="str">
        <f t="shared" si="16"/>
        <v>&lt;equity ACC 15% PNL -1943</v>
      </c>
      <c r="AH12" s="339" t="str">
        <f t="shared" si="16"/>
        <v>SEASONALITY ACC 20% PNL 3124</v>
      </c>
      <c r="AI12" s="339" t="str">
        <f t="shared" si="16"/>
        <v>ANTI-SEASONALITY ACC 13% PNL -3124</v>
      </c>
      <c r="AJ12" s="339" t="str">
        <f t="shared" si="16"/>
        <v>ADJ_SEASONALITY ACC 18% PNL 2903</v>
      </c>
      <c r="AK12" s="340" t="str">
        <f t="shared" si="16"/>
        <v>V1 ACC 11% PNL -5225</v>
      </c>
      <c r="AL12" s="340" t="str">
        <f t="shared" si="16"/>
        <v>V2 ACC 18% PNL 4220</v>
      </c>
      <c r="AM12" s="340" t="str">
        <f t="shared" si="16"/>
        <v>V3 ACC 14% PNL -3129</v>
      </c>
      <c r="AN12" s="340" t="str">
        <f t="shared" si="16"/>
        <v>V4 ACC 13% PNL -2955</v>
      </c>
      <c r="AO12" s="340" t="str">
        <f t="shared" si="16"/>
        <v>V5 ACC 15% PNL -1727</v>
      </c>
      <c r="AP12" s="340"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858300.99064841692</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28" t="s">
        <v>287</v>
      </c>
      <c r="B14" s="329" t="s">
        <v>558</v>
      </c>
      <c r="C14" s="330" t="s">
        <v>1285</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7968</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21726.143999999997</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8889</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72000</v>
      </c>
      <c r="Y19" s="137">
        <v>13500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28" t="s">
        <v>307</v>
      </c>
      <c r="B22" s="329" t="s">
        <v>484</v>
      </c>
      <c r="C22" s="330" t="s">
        <v>1285</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9180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21792</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14804</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12992.099999999999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13327.38</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28" t="s">
        <v>320</v>
      </c>
      <c r="B29" s="329" t="s">
        <v>564</v>
      </c>
      <c r="C29" s="330" t="s">
        <v>1285</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15750</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2449.7791999999999</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17434.559999999998</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28" t="s">
        <v>335</v>
      </c>
      <c r="B36" s="329" t="s">
        <v>568</v>
      </c>
      <c r="C36" s="330" t="s">
        <v>1285</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16638.4218</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15369.6543</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28" t="s">
        <v>341</v>
      </c>
      <c r="B39" s="329" t="s">
        <v>453</v>
      </c>
      <c r="C39" s="330" t="s">
        <v>1285</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7000</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5750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7894</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15000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82300</v>
      </c>
      <c r="Y48" s="137">
        <v>7000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330" t="s">
        <v>1285</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103950</v>
      </c>
      <c r="Y49" s="137">
        <v>7311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6750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10000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8800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134320</v>
      </c>
      <c r="Y53" s="137">
        <v>6000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106080</v>
      </c>
      <c r="Y54" s="137">
        <v>15640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8312</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25145.999999999996</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18496</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9054</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15000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10500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99178.509880292739</v>
      </c>
      <c r="Y70" s="137">
        <v>4299.8239032233369</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15250</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6756</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1056230.7487920329</v>
      </c>
      <c r="Y76" s="137">
        <v>1975.1135690302192</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79600</v>
      </c>
      <c r="Y77" s="137">
        <v>12000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26336.136177194425</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6246.24</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H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16205.199999999997</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1754125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14000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19499.594399999998</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28" t="s">
        <v>1054</v>
      </c>
      <c r="B89" s="329" t="s">
        <v>463</v>
      </c>
      <c r="C89" s="330" t="s">
        <v>1285</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12326.4</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12518.999999999998</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0.323943661971831</v>
      </c>
      <c r="AA94" s="193">
        <f t="shared" ref="AA94:AP94" si="68">COUNTIF(AA14:AA92,"&gt;0")/$B$10</f>
        <v>0.16901408450704225</v>
      </c>
      <c r="AB94" s="193">
        <f t="shared" si="68"/>
        <v>0.15492957746478872</v>
      </c>
      <c r="AC94" s="193">
        <f t="shared" ref="AC94" si="69">COUNTIF(AC14:AC92,"&gt;0")/$B$10</f>
        <v>0.11267605633802817</v>
      </c>
      <c r="AD94" s="193">
        <f t="shared" si="68"/>
        <v>0.21126760563380281</v>
      </c>
      <c r="AE94" s="193">
        <f t="shared" si="68"/>
        <v>0.18309859154929578</v>
      </c>
      <c r="AF94" s="193">
        <f t="shared" si="68"/>
        <v>0.12676056338028169</v>
      </c>
      <c r="AG94" s="193">
        <f t="shared" si="68"/>
        <v>0.15492957746478872</v>
      </c>
      <c r="AH94" s="193">
        <f t="shared" si="68"/>
        <v>0.19718309859154928</v>
      </c>
      <c r="AI94" s="193">
        <f t="shared" ref="AI94" si="70">COUNTIF(AI14:AI92,"&gt;0")/$B$10</f>
        <v>0.12676056338028169</v>
      </c>
      <c r="AJ94" s="193">
        <f t="shared" si="68"/>
        <v>0.18309859154929578</v>
      </c>
      <c r="AK94" s="193">
        <f t="shared" si="68"/>
        <v>0.11267605633802817</v>
      </c>
      <c r="AL94" s="193">
        <f t="shared" si="68"/>
        <v>0.18309859154929578</v>
      </c>
      <c r="AM94" s="193">
        <f t="shared" si="68"/>
        <v>0.14084507042253522</v>
      </c>
      <c r="AN94" s="193">
        <f t="shared" si="68"/>
        <v>0.12676056338028169</v>
      </c>
      <c r="AO94" s="193">
        <f t="shared" si="68"/>
        <v>0.15492957746478872</v>
      </c>
      <c r="AP94" s="193">
        <f t="shared" si="68"/>
        <v>0.18309859154929578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1294</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1" t="str">
        <f t="shared" ref="Z1:AP1" si="1">Z12</f>
        <v>MAX ACC 97% PNL 70519</v>
      </c>
      <c r="AA1" s="332" t="str">
        <f t="shared" si="1"/>
        <v>RISK-ON ACC 62% PNL -3195</v>
      </c>
      <c r="AB1" s="332" t="str">
        <f t="shared" si="1"/>
        <v>RISK-OFF ACC 35% PNL 3195</v>
      </c>
      <c r="AC1" s="332" t="str">
        <f t="shared" ref="AC1" si="2">AC12</f>
        <v>Previous ACC 49% PNL -4434</v>
      </c>
      <c r="AD1" s="295" t="str">
        <f t="shared" si="1"/>
        <v>Anti-Previous ACC 48% PNL 4434</v>
      </c>
      <c r="AE1" s="333" t="str">
        <f t="shared" si="1"/>
        <v>&gt;equity ACC 39% PNL -15116</v>
      </c>
      <c r="AF1" s="333" t="str">
        <f t="shared" si="1"/>
        <v>50/50 ACC 48% PNL 1458</v>
      </c>
      <c r="AG1" s="333" t="str">
        <f t="shared" si="1"/>
        <v>&lt;equity ACC 48% PNL 2360</v>
      </c>
      <c r="AH1" s="334" t="str">
        <f t="shared" si="1"/>
        <v>SEASONALITY ACC 62% PNL 16122</v>
      </c>
      <c r="AI1" s="334" t="str">
        <f t="shared" si="1"/>
        <v>ANTI-SEASONALITY ACC 35% PNL -16122</v>
      </c>
      <c r="AJ1" s="334" t="str">
        <f t="shared" si="1"/>
        <v>ADJ_SEASONALITY ACC 41% PNL -16265</v>
      </c>
      <c r="AK1" s="335" t="str">
        <f t="shared" si="1"/>
        <v>V1 ACC 38% PNL -17545</v>
      </c>
      <c r="AL1" s="335" t="str">
        <f t="shared" si="1"/>
        <v>V2 ACC 37% PNL -13101</v>
      </c>
      <c r="AM1" s="335" t="str">
        <f t="shared" si="1"/>
        <v>V3 ACC 46% PNL 4347</v>
      </c>
      <c r="AN1" s="335" t="str">
        <f t="shared" si="1"/>
        <v>V4 ACC 41% PNL -6473</v>
      </c>
      <c r="AO1" s="335" t="str">
        <f t="shared" si="1"/>
        <v>V5 ACC 55% PNL 4169</v>
      </c>
      <c r="AP1" s="335" t="str">
        <f t="shared" si="1"/>
        <v>V6 ACC 38% PNL -13786</v>
      </c>
    </row>
    <row r="2" spans="1:42" outlineLevel="1" x14ac:dyDescent="0.25">
      <c r="A2" t="s">
        <v>1121</v>
      </c>
      <c r="B2" s="95">
        <f>COUNTIF($C$14:$C$92,A2)</f>
        <v>9</v>
      </c>
      <c r="C2" s="193">
        <f>B2/$B$10</f>
        <v>0.12676056338028169</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2">
        <f t="shared" ref="K2:K9" si="7">SUMIF($C$14:$C$92,$A2,E$14:E$92)/$B2</f>
        <v>0.33333333333333331</v>
      </c>
      <c r="L2" s="342">
        <f t="shared" ref="L2:O9" si="8">SUMIF($C$14:$C$92,$A2,I$14:I$92)/$B2</f>
        <v>0.1111111111111111</v>
      </c>
      <c r="M2" s="342">
        <f t="shared" si="8"/>
        <v>0.1111111111111111</v>
      </c>
      <c r="N2" s="342">
        <f t="shared" si="8"/>
        <v>0.1111111111111111</v>
      </c>
      <c r="O2" s="342">
        <f t="shared" si="8"/>
        <v>0.55555555555555558</v>
      </c>
      <c r="P2" s="342">
        <f t="shared" ref="P2:V9" si="9">SUMIF($C$14:$C$92,$A2,O$14:O$92)/$B2</f>
        <v>0.55555555555555558</v>
      </c>
      <c r="Q2" s="342">
        <f t="shared" si="9"/>
        <v>0.33333333333333331</v>
      </c>
      <c r="R2" s="342">
        <f t="shared" si="9"/>
        <v>0.1111111111111111</v>
      </c>
      <c r="S2" s="342">
        <f t="shared" si="9"/>
        <v>-0.55555555555555558</v>
      </c>
      <c r="T2" s="342">
        <f t="shared" si="9"/>
        <v>0.1111111111111111</v>
      </c>
      <c r="U2" s="342">
        <f t="shared" si="9"/>
        <v>-0.33333333333333331</v>
      </c>
      <c r="V2" s="342">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8.4507042253521125E-2</v>
      </c>
      <c r="F3" s="294">
        <f t="shared" si="3"/>
        <v>0.83333333333333337</v>
      </c>
      <c r="G3" s="137">
        <f t="shared" si="4"/>
        <v>5002.4077670164252</v>
      </c>
      <c r="H3" s="143">
        <f t="shared" si="5"/>
        <v>833.7346278360709</v>
      </c>
      <c r="I3" s="186">
        <f t="shared" ref="I3:I9" si="13">SUMIF($C$14:$C$92,A3,F$14:F$92)/B3</f>
        <v>594.6403234482342</v>
      </c>
      <c r="J3" t="str">
        <f t="shared" si="6"/>
        <v>energy</v>
      </c>
      <c r="K3" s="342">
        <f t="shared" si="7"/>
        <v>-0.66666666666666663</v>
      </c>
      <c r="L3" s="342">
        <f t="shared" si="8"/>
        <v>0.33333333333333331</v>
      </c>
      <c r="M3" s="342">
        <f t="shared" si="8"/>
        <v>-0.66666666666666663</v>
      </c>
      <c r="N3" s="342">
        <f t="shared" si="8"/>
        <v>0.33333333333333331</v>
      </c>
      <c r="O3" s="342">
        <f t="shared" si="8"/>
        <v>0.66666666666666663</v>
      </c>
      <c r="P3" s="342">
        <f t="shared" si="9"/>
        <v>0</v>
      </c>
      <c r="Q3" s="342">
        <f t="shared" si="9"/>
        <v>-0.66666666666666663</v>
      </c>
      <c r="R3" s="342">
        <f t="shared" si="9"/>
        <v>0</v>
      </c>
      <c r="S3" s="342">
        <f t="shared" si="9"/>
        <v>0.33333333333333331</v>
      </c>
      <c r="T3" s="342">
        <f t="shared" si="9"/>
        <v>-0.33333333333333331</v>
      </c>
      <c r="U3" s="342">
        <f t="shared" si="9"/>
        <v>-0.66666666666666663</v>
      </c>
      <c r="V3" s="342">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0.14084507042253522</v>
      </c>
      <c r="F4" s="294">
        <f t="shared" si="3"/>
        <v>0.1</v>
      </c>
      <c r="G4" s="137">
        <f t="shared" si="4"/>
        <v>13007.976826329788</v>
      </c>
      <c r="H4" s="143">
        <f t="shared" si="5"/>
        <v>1300.7976826329789</v>
      </c>
      <c r="I4" s="186">
        <f t="shared" si="13"/>
        <v>-1300.7976826329789</v>
      </c>
      <c r="J4" t="str">
        <f t="shared" si="6"/>
        <v>grain</v>
      </c>
      <c r="K4" s="342">
        <f t="shared" si="7"/>
        <v>0.6</v>
      </c>
      <c r="L4" s="342">
        <f t="shared" si="8"/>
        <v>0</v>
      </c>
      <c r="M4" s="342">
        <f t="shared" si="8"/>
        <v>0.6</v>
      </c>
      <c r="N4" s="342">
        <f t="shared" si="8"/>
        <v>0</v>
      </c>
      <c r="O4" s="342">
        <f t="shared" si="8"/>
        <v>-0.4</v>
      </c>
      <c r="P4" s="342">
        <f t="shared" si="9"/>
        <v>0.2</v>
      </c>
      <c r="Q4" s="342">
        <f t="shared" si="9"/>
        <v>0.4</v>
      </c>
      <c r="R4" s="342">
        <f t="shared" si="9"/>
        <v>0.2</v>
      </c>
      <c r="S4" s="342">
        <f t="shared" si="9"/>
        <v>0</v>
      </c>
      <c r="T4" s="342">
        <f t="shared" si="9"/>
        <v>0.4</v>
      </c>
      <c r="U4" s="342">
        <f t="shared" si="9"/>
        <v>0.2</v>
      </c>
      <c r="V4" s="342">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0.29577464788732394</v>
      </c>
      <c r="F5" s="294">
        <f t="shared" si="3"/>
        <v>0.8571428571428571</v>
      </c>
      <c r="G5" s="137">
        <f t="shared" si="4"/>
        <v>12522.266496263133</v>
      </c>
      <c r="H5" s="143">
        <f t="shared" si="5"/>
        <v>596.2984045839587</v>
      </c>
      <c r="I5" s="186">
        <f t="shared" si="13"/>
        <v>469.40543673443545</v>
      </c>
      <c r="J5" t="str">
        <f t="shared" si="6"/>
        <v>index</v>
      </c>
      <c r="K5" s="342">
        <f t="shared" si="7"/>
        <v>0.90476190476190477</v>
      </c>
      <c r="L5" s="342">
        <f t="shared" si="8"/>
        <v>-0.14285714285714285</v>
      </c>
      <c r="M5" s="342">
        <f t="shared" si="8"/>
        <v>-4.7619047619047616E-2</v>
      </c>
      <c r="N5" s="342">
        <f t="shared" si="8"/>
        <v>-0.14285714285714285</v>
      </c>
      <c r="O5" s="342">
        <f t="shared" si="8"/>
        <v>0.61904761904761907</v>
      </c>
      <c r="P5" s="342">
        <f t="shared" si="9"/>
        <v>0.14285714285714285</v>
      </c>
      <c r="Q5" s="342">
        <f t="shared" si="9"/>
        <v>4.7619047619047616E-2</v>
      </c>
      <c r="R5" s="342">
        <f t="shared" si="9"/>
        <v>-0.61904761904761907</v>
      </c>
      <c r="S5" s="342">
        <f t="shared" si="9"/>
        <v>-0.80952380952380953</v>
      </c>
      <c r="T5" s="342">
        <f t="shared" si="9"/>
        <v>-0.61904761904761907</v>
      </c>
      <c r="U5" s="342">
        <f t="shared" si="9"/>
        <v>0.61904761904761907</v>
      </c>
      <c r="V5" s="342">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4.2253521126760563E-2</v>
      </c>
      <c r="F6" s="294">
        <f t="shared" si="3"/>
        <v>0.33333333333333331</v>
      </c>
      <c r="G6" s="137">
        <f t="shared" si="4"/>
        <v>3185.8616400594274</v>
      </c>
      <c r="H6" s="143">
        <f t="shared" si="5"/>
        <v>1061.953880019809</v>
      </c>
      <c r="I6" s="186">
        <f t="shared" si="13"/>
        <v>-517.57681607506436</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7.0422535211267609E-2</v>
      </c>
      <c r="F7" s="294">
        <f t="shared" si="3"/>
        <v>1</v>
      </c>
      <c r="G7" s="137">
        <f t="shared" si="4"/>
        <v>12252.748514209892</v>
      </c>
      <c r="H7" s="143">
        <f t="shared" si="5"/>
        <v>2450.5497028419786</v>
      </c>
      <c r="I7" s="186">
        <f t="shared" si="13"/>
        <v>2450.5497028419786</v>
      </c>
      <c r="J7" t="str">
        <f t="shared" si="6"/>
        <v>metal</v>
      </c>
      <c r="K7" s="342">
        <f t="shared" si="7"/>
        <v>0.6</v>
      </c>
      <c r="L7" s="342">
        <f t="shared" si="8"/>
        <v>-0.2</v>
      </c>
      <c r="M7" s="342">
        <f t="shared" si="8"/>
        <v>-0.2</v>
      </c>
      <c r="N7" s="342">
        <f t="shared" si="8"/>
        <v>0.2</v>
      </c>
      <c r="O7" s="342">
        <f t="shared" si="8"/>
        <v>0.6</v>
      </c>
      <c r="P7" s="342">
        <f t="shared" si="9"/>
        <v>-0.2</v>
      </c>
      <c r="Q7" s="342">
        <f t="shared" si="9"/>
        <v>0.2</v>
      </c>
      <c r="R7" s="342">
        <f t="shared" si="9"/>
        <v>-0.2</v>
      </c>
      <c r="S7" s="342">
        <f t="shared" si="9"/>
        <v>-0.6</v>
      </c>
      <c r="T7" s="342">
        <f t="shared" si="9"/>
        <v>-0.2</v>
      </c>
      <c r="U7" s="342">
        <f t="shared" si="9"/>
        <v>0.2</v>
      </c>
      <c r="V7" s="342">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0.14084507042253522</v>
      </c>
      <c r="F8" s="294">
        <f t="shared" si="3"/>
        <v>0.6</v>
      </c>
      <c r="G8" s="137">
        <f t="shared" si="4"/>
        <v>9170.746807560181</v>
      </c>
      <c r="H8" s="143">
        <f t="shared" si="5"/>
        <v>917.0746807560181</v>
      </c>
      <c r="I8" s="186">
        <f t="shared" si="13"/>
        <v>676.85170538777447</v>
      </c>
      <c r="J8" t="str">
        <f t="shared" si="6"/>
        <v>rates</v>
      </c>
      <c r="K8" s="342">
        <f t="shared" si="7"/>
        <v>0.4</v>
      </c>
      <c r="L8" s="342">
        <f t="shared" si="8"/>
        <v>0.2</v>
      </c>
      <c r="M8" s="342">
        <f t="shared" si="8"/>
        <v>0.4</v>
      </c>
      <c r="N8" s="342">
        <f t="shared" si="8"/>
        <v>0.2</v>
      </c>
      <c r="O8" s="342">
        <f t="shared" si="8"/>
        <v>0.8</v>
      </c>
      <c r="P8" s="342">
        <f t="shared" si="9"/>
        <v>0.8</v>
      </c>
      <c r="Q8" s="342">
        <f t="shared" si="9"/>
        <v>-0.2</v>
      </c>
      <c r="R8" s="342">
        <f t="shared" si="9"/>
        <v>0.4</v>
      </c>
      <c r="S8" s="342">
        <f t="shared" si="9"/>
        <v>-0.4</v>
      </c>
      <c r="T8" s="342">
        <f t="shared" si="9"/>
        <v>-0.2</v>
      </c>
      <c r="U8" s="342">
        <f t="shared" si="9"/>
        <v>-0.2</v>
      </c>
      <c r="V8" s="342">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7</v>
      </c>
      <c r="C9" s="200">
        <f t="shared" si="12"/>
        <v>9.8591549295774641E-2</v>
      </c>
      <c r="D9" s="126"/>
      <c r="F9" s="294">
        <f t="shared" si="3"/>
        <v>1</v>
      </c>
      <c r="G9" s="199">
        <f t="shared" si="4"/>
        <v>8333.8132530559251</v>
      </c>
      <c r="H9" s="143">
        <f t="shared" si="5"/>
        <v>1190.5447504365607</v>
      </c>
      <c r="I9" s="186">
        <f t="shared" si="13"/>
        <v>1190.5447504365607</v>
      </c>
      <c r="J9" t="str">
        <f t="shared" si="6"/>
        <v>soft</v>
      </c>
      <c r="K9" s="342">
        <f t="shared" si="7"/>
        <v>-0.42857142857142855</v>
      </c>
      <c r="L9" s="342">
        <f t="shared" si="8"/>
        <v>0.42857142857142855</v>
      </c>
      <c r="M9" s="342">
        <f t="shared" si="8"/>
        <v>-0.7142857142857143</v>
      </c>
      <c r="N9" s="342">
        <f t="shared" si="8"/>
        <v>0.42857142857142855</v>
      </c>
      <c r="O9" s="342">
        <f t="shared" si="8"/>
        <v>0.14285714285714285</v>
      </c>
      <c r="P9" s="342">
        <f t="shared" si="9"/>
        <v>-0.42857142857142855</v>
      </c>
      <c r="Q9" s="342">
        <f t="shared" si="9"/>
        <v>-0.14285714285714285</v>
      </c>
      <c r="R9" s="342">
        <f t="shared" si="9"/>
        <v>-0.42857142857142855</v>
      </c>
      <c r="S9" s="342">
        <f t="shared" si="9"/>
        <v>0.42857142857142855</v>
      </c>
      <c r="T9" s="342">
        <f t="shared" si="9"/>
        <v>0.14285714285714285</v>
      </c>
      <c r="U9" s="342">
        <f t="shared" si="9"/>
        <v>-0.42857142857142855</v>
      </c>
      <c r="V9" s="342">
        <f t="shared" si="9"/>
        <v>-0.14285714285714285</v>
      </c>
      <c r="W9" s="286"/>
      <c r="X9" s="6"/>
      <c r="Y9" s="17" t="s">
        <v>304</v>
      </c>
      <c r="Z9" s="283">
        <f t="shared" si="10"/>
        <v>8333.8132530559251</v>
      </c>
      <c r="AA9" s="283">
        <f t="shared" si="10"/>
        <v>8333.8132530559251</v>
      </c>
      <c r="AB9" s="283">
        <f t="shared" si="10"/>
        <v>-8333.8132530559251</v>
      </c>
      <c r="AC9" s="283">
        <f t="shared" si="10"/>
        <v>-6817.8171496345412</v>
      </c>
      <c r="AD9" s="283">
        <f t="shared" si="10"/>
        <v>6817.8171496345412</v>
      </c>
      <c r="AE9" s="283">
        <f t="shared" si="10"/>
        <v>-4874.0112728476379</v>
      </c>
      <c r="AF9" s="283">
        <f t="shared" si="10"/>
        <v>3923.4116678810483</v>
      </c>
      <c r="AG9" s="283">
        <f t="shared" si="10"/>
        <v>3923.4116678810483</v>
      </c>
      <c r="AH9" s="283">
        <f t="shared" si="10"/>
        <v>-1139.2339320227197</v>
      </c>
      <c r="AI9" s="283">
        <f t="shared" si="10"/>
        <v>1139.2339320227197</v>
      </c>
      <c r="AJ9" s="283">
        <f t="shared" si="10"/>
        <v>-1783.0757096431366</v>
      </c>
      <c r="AK9" s="283">
        <f t="shared" si="10"/>
        <v>-1755.1715497307721</v>
      </c>
      <c r="AL9" s="283">
        <f t="shared" si="10"/>
        <v>-1783.0757096431366</v>
      </c>
      <c r="AM9" s="283">
        <f t="shared" si="10"/>
        <v>6817.8171496345412</v>
      </c>
      <c r="AN9" s="283">
        <f t="shared" si="10"/>
        <v>4230.169495227221</v>
      </c>
      <c r="AO9" s="283">
        <f t="shared" si="10"/>
        <v>-6817.8171496345412</v>
      </c>
      <c r="AP9" s="283">
        <f t="shared" si="10"/>
        <v>1139.2339320227197</v>
      </c>
    </row>
    <row r="10" spans="1:42" outlineLevel="1" x14ac:dyDescent="0.25">
      <c r="B10">
        <f>SUM(B2:B9)</f>
        <v>71</v>
      </c>
      <c r="C10" s="193">
        <f t="shared" si="12"/>
        <v>1</v>
      </c>
      <c r="D10" s="126"/>
      <c r="F10" s="294">
        <f>SUMIFS(H$14:H$92,H$14:H$92,1,$C$14:$C$92,"&lt;&gt;offline")/$B10</f>
        <v>0.70422535211267601</v>
      </c>
      <c r="G10" s="167">
        <f>SUM(G2:G9)</f>
        <v>70518.698472396456</v>
      </c>
      <c r="H10" s="143">
        <f t="shared" si="5"/>
        <v>993.22110524502045</v>
      </c>
      <c r="I10">
        <f>SUM(F14:F92)/B10</f>
        <v>451.89045787390074</v>
      </c>
      <c r="J10" s="137"/>
      <c r="K10" s="6"/>
      <c r="L10" s="292"/>
      <c r="M10" s="286"/>
      <c r="N10" s="292"/>
      <c r="O10" s="6"/>
      <c r="R10" s="6"/>
      <c r="S10" s="286"/>
      <c r="T10" s="286"/>
      <c r="U10" s="286"/>
      <c r="V10" s="6"/>
      <c r="W10" s="286"/>
      <c r="X10" s="6"/>
      <c r="Y10" s="6" t="s">
        <v>1245</v>
      </c>
      <c r="Z10" s="284">
        <f>SUM(Z2:Z9)</f>
        <v>70518.698472396456</v>
      </c>
      <c r="AA10" s="284">
        <f t="shared" ref="AA10:AP10" si="14">SUM(AA2:AA9)</f>
        <v>-3194.9284533956288</v>
      </c>
      <c r="AB10" s="284">
        <f t="shared" si="14"/>
        <v>3194.9284533956288</v>
      </c>
      <c r="AC10" s="284">
        <f t="shared" si="14"/>
        <v>-4433.5610503280868</v>
      </c>
      <c r="AD10" s="284">
        <f t="shared" si="14"/>
        <v>4433.5610503280868</v>
      </c>
      <c r="AE10" s="284">
        <f t="shared" si="14"/>
        <v>-15116.013890821294</v>
      </c>
      <c r="AF10" s="284">
        <f t="shared" si="14"/>
        <v>1458.3574777929075</v>
      </c>
      <c r="AG10" s="284">
        <f t="shared" si="14"/>
        <v>2359.7427804993745</v>
      </c>
      <c r="AH10" s="284">
        <f t="shared" si="14"/>
        <v>16121.91375205582</v>
      </c>
      <c r="AI10" s="284">
        <f t="shared" ref="AI10" si="15">SUM(AI2:AI9)</f>
        <v>-16121.91375205582</v>
      </c>
      <c r="AJ10" s="284">
        <f t="shared" si="14"/>
        <v>-16265.413172831466</v>
      </c>
      <c r="AK10" s="284">
        <f t="shared" si="14"/>
        <v>-17545.084276595051</v>
      </c>
      <c r="AL10" s="284">
        <f t="shared" si="14"/>
        <v>-13101.072462912191</v>
      </c>
      <c r="AM10" s="284">
        <f t="shared" si="14"/>
        <v>4347.3239707986804</v>
      </c>
      <c r="AN10" s="284">
        <f t="shared" si="14"/>
        <v>-6473.0749236512165</v>
      </c>
      <c r="AO10" s="284">
        <f t="shared" si="14"/>
        <v>4168.6052133028506</v>
      </c>
      <c r="AP10" s="284">
        <f t="shared" si="14"/>
        <v>-13785.533681038334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97% PNL 70519</v>
      </c>
      <c r="AA12" s="308" t="str">
        <f t="shared" si="16"/>
        <v>RISK-ON ACC 62% PNL -3195</v>
      </c>
      <c r="AB12" s="308" t="str">
        <f t="shared" si="16"/>
        <v>RISK-OFF ACC 35% PNL 3195</v>
      </c>
      <c r="AC12" s="308" t="str">
        <f t="shared" si="16"/>
        <v>Previous ACC 49% PNL -4434</v>
      </c>
      <c r="AD12" s="337" t="str">
        <f t="shared" si="16"/>
        <v>Anti-Previous ACC 48% PNL 4434</v>
      </c>
      <c r="AE12" s="338" t="str">
        <f t="shared" si="16"/>
        <v>&gt;equity ACC 39% PNL -15116</v>
      </c>
      <c r="AF12" s="338" t="str">
        <f t="shared" si="16"/>
        <v>50/50 ACC 48% PNL 1458</v>
      </c>
      <c r="AG12" s="338" t="str">
        <f t="shared" si="16"/>
        <v>&lt;equity ACC 48% PNL 2360</v>
      </c>
      <c r="AH12" s="339" t="str">
        <f t="shared" si="16"/>
        <v>SEASONALITY ACC 62% PNL 16122</v>
      </c>
      <c r="AI12" s="339" t="str">
        <f t="shared" si="16"/>
        <v>ANTI-SEASONALITY ACC 35% PNL -16122</v>
      </c>
      <c r="AJ12" s="339" t="str">
        <f t="shared" si="16"/>
        <v>ADJ_SEASONALITY ACC 41% PNL -16265</v>
      </c>
      <c r="AK12" s="340" t="str">
        <f t="shared" si="16"/>
        <v>V1 ACC 38% PNL -17545</v>
      </c>
      <c r="AL12" s="340" t="str">
        <f t="shared" si="16"/>
        <v>V2 ACC 37% PNL -13101</v>
      </c>
      <c r="AM12" s="340" t="str">
        <f t="shared" si="16"/>
        <v>V3 ACC 46% PNL 4347</v>
      </c>
      <c r="AN12" s="340" t="str">
        <f t="shared" si="16"/>
        <v>V4 ACC 41% PNL -6473</v>
      </c>
      <c r="AO12" s="340" t="str">
        <f t="shared" si="16"/>
        <v>V5 ACC 55% PNL 4169</v>
      </c>
      <c r="AP12" s="340" t="str">
        <f t="shared" si="16"/>
        <v>V6 ACC 38% PNL -13786</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858300.99064841692</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28" t="s">
        <v>287</v>
      </c>
      <c r="B14" s="329" t="s">
        <v>558</v>
      </c>
      <c r="C14" s="330" t="s">
        <v>1285</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7968</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H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21726.143999999997</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8889</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54000</v>
      </c>
      <c r="Y19" s="137">
        <v>13500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28" t="s">
        <v>307</v>
      </c>
      <c r="B22" s="329" t="s">
        <v>484</v>
      </c>
      <c r="C22" s="330" t="s">
        <v>1285</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9180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21792</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14804</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12992.099999999999</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13327.38</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28" t="s">
        <v>320</v>
      </c>
      <c r="B29" s="329" t="s">
        <v>564</v>
      </c>
      <c r="C29" s="330" t="s">
        <v>1285</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15750</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8436</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2449.7791999999999</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17434.559999999998</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28" t="s">
        <v>335</v>
      </c>
      <c r="B36" s="329" t="s">
        <v>568</v>
      </c>
      <c r="C36" s="330" t="s">
        <v>1285</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16638.4218</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15369.6543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28" t="s">
        <v>341</v>
      </c>
      <c r="B39" s="329" t="s">
        <v>453</v>
      </c>
      <c r="C39" s="330" t="s">
        <v>1285</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7000</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5750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7894</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15000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61725</v>
      </c>
      <c r="Y48" s="137">
        <v>7000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330" t="s">
        <v>1285</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69300</v>
      </c>
      <c r="Y49" s="137">
        <v>7311</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6750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10000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8800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100740</v>
      </c>
      <c r="Y53" s="137">
        <v>6000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106080</v>
      </c>
      <c r="Y54" s="137">
        <v>15640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8312</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9572</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25145.999999999996</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18496</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9054</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6495</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12500</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15000</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10500</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99839.741096295373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15250</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6756</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1047152.1395539426</v>
      </c>
      <c r="Y76" s="137">
        <v>1975.1135690302192</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79600</v>
      </c>
      <c r="Y77" s="137">
        <v>12000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26336.136177194425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6246.24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H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16205.199999999997</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1534859.375</v>
      </c>
      <c r="Y83" s="137">
        <v>8244</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9124</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14000</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19499.594399999998</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28" t="s">
        <v>1054</v>
      </c>
      <c r="B89" s="329" t="s">
        <v>463</v>
      </c>
      <c r="C89" s="330" t="s">
        <v>1285</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12326.4</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12518.999999999998</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8">COUNTIF(AA14:AA92,"&gt;0")/$B$10</f>
        <v>0.61971830985915488</v>
      </c>
      <c r="AB94" s="193">
        <f t="shared" si="68"/>
        <v>0.352112676056338</v>
      </c>
      <c r="AC94" s="193">
        <f t="shared" ref="AC94" si="69">COUNTIF(AC14:AC92,"&gt;0")/$B$10</f>
        <v>0.49295774647887325</v>
      </c>
      <c r="AD94" s="193">
        <f t="shared" si="68"/>
        <v>0.47887323943661969</v>
      </c>
      <c r="AE94" s="193">
        <f t="shared" si="68"/>
        <v>0.39436619718309857</v>
      </c>
      <c r="AF94" s="193">
        <f t="shared" si="68"/>
        <v>0.47887323943661969</v>
      </c>
      <c r="AG94" s="193">
        <f t="shared" si="68"/>
        <v>0.47887323943661969</v>
      </c>
      <c r="AH94" s="193">
        <f t="shared" si="68"/>
        <v>0.61971830985915488</v>
      </c>
      <c r="AI94" s="193">
        <f t="shared" ref="AI94" si="70">COUNTIF(AI14:AI92,"&gt;0")/$B$10</f>
        <v>0.352112676056338</v>
      </c>
      <c r="AJ94" s="193">
        <f t="shared" si="68"/>
        <v>0.40845070422535212</v>
      </c>
      <c r="AK94" s="193">
        <f t="shared" si="68"/>
        <v>0.38028169014084506</v>
      </c>
      <c r="AL94" s="193">
        <f t="shared" si="68"/>
        <v>0.36619718309859156</v>
      </c>
      <c r="AM94" s="193">
        <f t="shared" si="68"/>
        <v>0.46478873239436619</v>
      </c>
      <c r="AN94" s="193">
        <f t="shared" si="68"/>
        <v>0.40845070422535212</v>
      </c>
      <c r="AO94" s="193">
        <f t="shared" si="68"/>
        <v>0.54929577464788737</v>
      </c>
      <c r="AP94" s="193">
        <f t="shared" si="68"/>
        <v>0.38028169014084506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3664.6727701390591</v>
      </c>
      <c r="AX2" s="137">
        <f t="shared" ref="AX2:AX9" si="5">SUMIF($C$14:$C$92,AO2,BV$14:BV$92)</f>
        <v>16661.371394960137</v>
      </c>
      <c r="AY2" s="143">
        <f>AX2/$C2</f>
        <v>1851.263488328904</v>
      </c>
      <c r="AZ2" s="137">
        <f t="shared" ref="AZ2:AZ9" si="6">SUMIF($C$14:$C$92,AO2,AY$14:AY$92)</f>
        <v>4</v>
      </c>
      <c r="BA2" s="193">
        <f t="shared" ref="BA2:BA10" si="7">AZ2/$C2</f>
        <v>0.44444444444444442</v>
      </c>
      <c r="BB2" s="137">
        <f t="shared" ref="BB2:BB9" si="8">SUMIF($C$14:$C$92,AO2,BN$14:BN$92)</f>
        <v>-173.49059821654714</v>
      </c>
      <c r="BC2" t="str">
        <f>IF(AND(BA2&lt;0.5,BB2&lt;0),"inverted","normal")</f>
        <v>inverted</v>
      </c>
      <c r="BE2" s="6"/>
      <c r="BF2" s="286"/>
      <c r="BG2" s="6"/>
      <c r="BH2" s="286"/>
      <c r="BI2" s="6"/>
      <c r="BJ2" t="s">
        <v>1121</v>
      </c>
      <c r="BK2" s="282">
        <f>SUMIF($C$14:$C$92,$AA2,BK$14:BK$92)</f>
        <v>-173.49059821654714</v>
      </c>
      <c r="BL2" s="282">
        <f t="shared" ref="BL2:BV2" si="9">SUMIF($C$14:$C$92,$AA2,BL$14:BL$92)</f>
        <v>-173.49059821654714</v>
      </c>
      <c r="BM2" s="282">
        <f t="shared" si="9"/>
        <v>-11593.16493555938</v>
      </c>
      <c r="BN2" s="282">
        <f t="shared" si="9"/>
        <v>-173.49059821654714</v>
      </c>
      <c r="BO2" s="282">
        <f t="shared" si="9"/>
        <v>13909.938273940294</v>
      </c>
      <c r="BP2" s="282">
        <f t="shared" si="9"/>
        <v>11149.0833424507</v>
      </c>
      <c r="BQ2" s="282">
        <f t="shared" si="9"/>
        <v>3664.6727701390591</v>
      </c>
      <c r="BR2" s="282">
        <f t="shared" si="9"/>
        <v>2921.9435224015751</v>
      </c>
      <c r="BS2" s="282">
        <f t="shared" si="9"/>
        <v>11593.16493555938</v>
      </c>
      <c r="BT2" s="282">
        <f t="shared" si="9"/>
        <v>7194.7666733961087</v>
      </c>
      <c r="BU2" s="282">
        <f t="shared" si="9"/>
        <v>13909.938273940294</v>
      </c>
      <c r="BV2" s="282">
        <f t="shared" si="9"/>
        <v>16661.371394960137</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-1809.9422343831666</v>
      </c>
      <c r="AX3" s="137">
        <f t="shared" si="5"/>
        <v>3970.6351250425864</v>
      </c>
      <c r="AY3" s="143">
        <f t="shared" ref="AY3:AY10" si="22">AX3/$C3</f>
        <v>661.77252084043107</v>
      </c>
      <c r="AZ3" s="137">
        <f t="shared" si="6"/>
        <v>6</v>
      </c>
      <c r="BA3" s="193">
        <f t="shared" si="7"/>
        <v>1</v>
      </c>
      <c r="BB3" s="137">
        <f t="shared" si="8"/>
        <v>2557.2494239070734</v>
      </c>
      <c r="BC3" t="str">
        <f>IF(AND(BA3&lt;0.5,BB3&lt;0),"inverted","normal")</f>
        <v>normal</v>
      </c>
      <c r="BE3" s="6"/>
      <c r="BF3" s="286"/>
      <c r="BG3" s="6"/>
      <c r="BH3" s="286"/>
      <c r="BI3" s="6"/>
      <c r="BJ3" s="1" t="s">
        <v>288</v>
      </c>
      <c r="BK3" s="282">
        <f t="shared" ref="BK3:BV9" si="23">SUMIF($C$14:$C$92,$AA3,BK$14:BK$92)</f>
        <v>189.61696730452752</v>
      </c>
      <c r="BL3" s="282">
        <f t="shared" si="23"/>
        <v>396.55653324765319</v>
      </c>
      <c r="BM3" s="282">
        <f t="shared" si="23"/>
        <v>2350.3098579639477</v>
      </c>
      <c r="BN3" s="282">
        <f t="shared" si="23"/>
        <v>2557.2494239070734</v>
      </c>
      <c r="BO3" s="282">
        <f t="shared" si="23"/>
        <v>-2557.2494239070734</v>
      </c>
      <c r="BP3" s="282">
        <f t="shared" si="23"/>
        <v>1603.0026684400409</v>
      </c>
      <c r="BQ3" s="282">
        <f t="shared" si="23"/>
        <v>-1809.9422343831666</v>
      </c>
      <c r="BR3" s="282">
        <f t="shared" si="23"/>
        <v>189.61696730452752</v>
      </c>
      <c r="BS3" s="282">
        <f t="shared" si="23"/>
        <v>-2350.3098579639477</v>
      </c>
      <c r="BT3" s="282">
        <f t="shared" si="23"/>
        <v>-2350.3098579639477</v>
      </c>
      <c r="BU3" s="282">
        <f t="shared" si="23"/>
        <v>-2350.3098579639477</v>
      </c>
      <c r="BV3" s="282">
        <f t="shared" si="23"/>
        <v>3970.6351250425864</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-4901.8734589035448</v>
      </c>
      <c r="AX4" s="137">
        <f t="shared" si="5"/>
        <v>11169.739317660569</v>
      </c>
      <c r="AY4" s="143">
        <f t="shared" si="22"/>
        <v>1116.9739317660569</v>
      </c>
      <c r="AZ4" s="137">
        <f t="shared" si="6"/>
        <v>4</v>
      </c>
      <c r="BA4" s="193">
        <f t="shared" si="7"/>
        <v>0.4</v>
      </c>
      <c r="BB4" s="137">
        <f t="shared" si="8"/>
        <v>1440.096971550583</v>
      </c>
      <c r="BC4" t="str">
        <f t="shared" ref="BC4:BC9" si="33">IF(AND(BA4&lt;0.5,BB4&lt;0),"inverted","normal")</f>
        <v>normal</v>
      </c>
      <c r="BE4" s="6"/>
      <c r="BF4" s="286"/>
      <c r="BG4" s="6"/>
      <c r="BH4" s="286"/>
      <c r="BI4" s="6"/>
      <c r="BJ4" s="1" t="s">
        <v>297</v>
      </c>
      <c r="BK4" s="282">
        <f t="shared" si="23"/>
        <v>-7508.9195462725384</v>
      </c>
      <c r="BL4" s="282">
        <f t="shared" si="23"/>
        <v>-8777.1734942201201</v>
      </c>
      <c r="BM4" s="282">
        <f t="shared" si="23"/>
        <v>4767.4642199973641</v>
      </c>
      <c r="BN4" s="282">
        <f t="shared" si="23"/>
        <v>1440.096971550583</v>
      </c>
      <c r="BO4" s="282">
        <f t="shared" si="23"/>
        <v>-6637.6768910399333</v>
      </c>
      <c r="BP4" s="282">
        <f t="shared" si="23"/>
        <v>-1522.8157421261199</v>
      </c>
      <c r="BQ4" s="282">
        <f t="shared" si="23"/>
        <v>-4901.8734589035448</v>
      </c>
      <c r="BR4" s="282">
        <f t="shared" si="23"/>
        <v>2187.0329880391691</v>
      </c>
      <c r="BS4" s="282">
        <f t="shared" si="23"/>
        <v>-3922.836420175558</v>
      </c>
      <c r="BT4" s="282">
        <f t="shared" si="23"/>
        <v>-8180.7117413031556</v>
      </c>
      <c r="BU4" s="282">
        <f t="shared" si="23"/>
        <v>-7756.4917963547778</v>
      </c>
      <c r="BV4" s="282">
        <f t="shared" si="23"/>
        <v>11169.739317660569</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21345.423482264297</v>
      </c>
      <c r="AX5" s="137">
        <f t="shared" si="5"/>
        <v>51302.866003429554</v>
      </c>
      <c r="AY5" s="143">
        <f t="shared" si="22"/>
        <v>2442.9936192109312</v>
      </c>
      <c r="AZ5" s="137">
        <f t="shared" si="6"/>
        <v>15</v>
      </c>
      <c r="BA5" s="193">
        <f t="shared" si="7"/>
        <v>0.7142857142857143</v>
      </c>
      <c r="BB5" s="137">
        <f t="shared" si="8"/>
        <v>29176.376894095698</v>
      </c>
      <c r="BC5" t="str">
        <f t="shared" si="33"/>
        <v>normal</v>
      </c>
      <c r="BE5" s="6"/>
      <c r="BF5" s="286"/>
      <c r="BG5" s="6"/>
      <c r="BH5" s="286"/>
      <c r="BI5" s="6"/>
      <c r="BJ5" s="1" t="s">
        <v>294</v>
      </c>
      <c r="BK5" s="282">
        <f t="shared" si="23"/>
        <v>-24850.075249528407</v>
      </c>
      <c r="BL5" s="282">
        <f t="shared" si="23"/>
        <v>-280.99102758702315</v>
      </c>
      <c r="BM5" s="282">
        <f t="shared" si="23"/>
        <v>968.49015274961266</v>
      </c>
      <c r="BN5" s="282">
        <f t="shared" si="23"/>
        <v>29176.376894095698</v>
      </c>
      <c r="BO5" s="282">
        <f t="shared" si="23"/>
        <v>-5645.9043307033853</v>
      </c>
      <c r="BP5" s="282">
        <f t="shared" si="23"/>
        <v>-32152.664786534508</v>
      </c>
      <c r="BQ5" s="282">
        <f t="shared" si="23"/>
        <v>21345.423482264297</v>
      </c>
      <c r="BR5" s="282">
        <f t="shared" si="23"/>
        <v>-21502.412844624905</v>
      </c>
      <c r="BS5" s="282">
        <f t="shared" si="23"/>
        <v>-12260.9947425469</v>
      </c>
      <c r="BT5" s="282">
        <f t="shared" si="23"/>
        <v>-51302.866003429554</v>
      </c>
      <c r="BU5" s="282">
        <f t="shared" si="23"/>
        <v>-5645.9043307033853</v>
      </c>
      <c r="BV5" s="282">
        <f t="shared" si="23"/>
        <v>51302.866003429554</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-1614.5560238462062</v>
      </c>
      <c r="AX6" s="137">
        <f t="shared" si="5"/>
        <v>1614.5560238462062</v>
      </c>
      <c r="AY6" s="143">
        <f t="shared" si="22"/>
        <v>538.18534128206875</v>
      </c>
      <c r="AZ6" s="137">
        <f t="shared" si="6"/>
        <v>1</v>
      </c>
      <c r="BA6" s="193">
        <f t="shared" si="7"/>
        <v>0.33333333333333331</v>
      </c>
      <c r="BB6" s="137">
        <f t="shared" si="8"/>
        <v>-1436.3382020634863</v>
      </c>
      <c r="BC6" t="str">
        <f t="shared" si="33"/>
        <v>inverted</v>
      </c>
      <c r="BE6" s="6"/>
      <c r="BF6" s="286"/>
      <c r="BG6" s="6"/>
      <c r="BH6" s="286"/>
      <c r="BI6" s="6"/>
      <c r="BJ6" s="1" t="s">
        <v>313</v>
      </c>
      <c r="BK6" s="282">
        <f t="shared" si="23"/>
        <v>-409.8222960350688</v>
      </c>
      <c r="BL6" s="282">
        <f t="shared" si="23"/>
        <v>-1436.3382020634863</v>
      </c>
      <c r="BM6" s="282">
        <f t="shared" si="23"/>
        <v>1436.3382020634863</v>
      </c>
      <c r="BN6" s="282">
        <f t="shared" si="23"/>
        <v>-1436.3382020634863</v>
      </c>
      <c r="BO6" s="282">
        <f t="shared" si="23"/>
        <v>-1614.5560238462062</v>
      </c>
      <c r="BP6" s="282">
        <f t="shared" si="23"/>
        <v>-1614.5560238462062</v>
      </c>
      <c r="BQ6" s="282">
        <f t="shared" si="23"/>
        <v>-1614.5560238462062</v>
      </c>
      <c r="BR6" s="282">
        <f t="shared" si="23"/>
        <v>1436.3382020634863</v>
      </c>
      <c r="BS6" s="282">
        <f t="shared" si="23"/>
        <v>-1436.3382020634863</v>
      </c>
      <c r="BT6" s="282">
        <f t="shared" si="23"/>
        <v>1436.3382020634863</v>
      </c>
      <c r="BU6" s="282">
        <f t="shared" si="23"/>
        <v>-1436.3382020634863</v>
      </c>
      <c r="BV6" s="282">
        <f t="shared" si="23"/>
        <v>1614.5560238462062</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-5133.1751056918529</v>
      </c>
      <c r="AX7" s="137">
        <f t="shared" si="5"/>
        <v>5133.1751056918529</v>
      </c>
      <c r="AY7" s="143">
        <f t="shared" si="22"/>
        <v>1026.6350211383706</v>
      </c>
      <c r="AZ7" s="137">
        <f t="shared" si="6"/>
        <v>1</v>
      </c>
      <c r="BA7" s="193">
        <f t="shared" si="7"/>
        <v>0.2</v>
      </c>
      <c r="BB7" s="137">
        <f t="shared" si="8"/>
        <v>4.1005636237210865</v>
      </c>
      <c r="BC7" t="str">
        <f t="shared" si="33"/>
        <v>normal</v>
      </c>
      <c r="BE7" s="6"/>
      <c r="BF7" s="286"/>
      <c r="BG7" s="6"/>
      <c r="BH7" s="286"/>
      <c r="BI7" s="6"/>
      <c r="BJ7" s="1" t="s">
        <v>347</v>
      </c>
      <c r="BK7" s="282">
        <f t="shared" si="23"/>
        <v>4203.9070902333169</v>
      </c>
      <c r="BL7" s="282">
        <f t="shared" si="23"/>
        <v>4.1005636237210865</v>
      </c>
      <c r="BM7" s="282">
        <f t="shared" si="23"/>
        <v>4203.9070902333169</v>
      </c>
      <c r="BN7" s="282">
        <f t="shared" si="23"/>
        <v>4.1005636237210865</v>
      </c>
      <c r="BO7" s="282">
        <f t="shared" si="23"/>
        <v>-4203.9070902333169</v>
      </c>
      <c r="BP7" s="282">
        <f t="shared" si="23"/>
        <v>-2272.0519682821937</v>
      </c>
      <c r="BQ7" s="282">
        <f t="shared" si="23"/>
        <v>-5133.1751056918529</v>
      </c>
      <c r="BR7" s="282">
        <f t="shared" si="23"/>
        <v>4203.9070902333169</v>
      </c>
      <c r="BS7" s="282">
        <f t="shared" si="23"/>
        <v>-4203.9070902333169</v>
      </c>
      <c r="BT7" s="282">
        <f t="shared" si="23"/>
        <v>-3644.5158162376711</v>
      </c>
      <c r="BU7" s="282">
        <f t="shared" si="23"/>
        <v>-4203.9070902333169</v>
      </c>
      <c r="BV7" s="282">
        <f t="shared" si="23"/>
        <v>5133.1751056918529</v>
      </c>
      <c r="BX7" s="1" t="s">
        <v>347</v>
      </c>
      <c r="BY7" s="244" t="str">
        <f t="shared" si="24"/>
        <v>normal</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4861.7972501965905</v>
      </c>
      <c r="AX8" s="137">
        <f>SUMIF($C$14:$C$92,AO8,BV$14:BV$92)</f>
        <v>17898.562544807046</v>
      </c>
      <c r="AY8" s="143">
        <f t="shared" si="22"/>
        <v>1789.8562544807046</v>
      </c>
      <c r="AZ8" s="137">
        <f t="shared" si="6"/>
        <v>4</v>
      </c>
      <c r="BA8" s="193">
        <f t="shared" si="7"/>
        <v>0.4</v>
      </c>
      <c r="BB8" s="137">
        <f t="shared" si="8"/>
        <v>-13284.769016001352</v>
      </c>
      <c r="BC8" t="str">
        <f t="shared" si="33"/>
        <v>inverted</v>
      </c>
      <c r="BE8" s="6"/>
      <c r="BF8" s="286"/>
      <c r="BG8" s="6"/>
      <c r="BH8" s="286"/>
      <c r="BI8" s="6"/>
      <c r="BJ8" s="1" t="s">
        <v>1122</v>
      </c>
      <c r="BK8" s="282">
        <f t="shared" si="23"/>
        <v>2865.7977208402608</v>
      </c>
      <c r="BL8" s="282">
        <f t="shared" si="23"/>
        <v>-14813.755719345649</v>
      </c>
      <c r="BM8" s="282">
        <f t="shared" si="23"/>
        <v>17554.959750573853</v>
      </c>
      <c r="BN8" s="282">
        <f t="shared" si="23"/>
        <v>-13284.769016001352</v>
      </c>
      <c r="BO8" s="282">
        <f t="shared" si="23"/>
        <v>-8422.6681321305332</v>
      </c>
      <c r="BP8" s="282">
        <f t="shared" si="23"/>
        <v>-2467.7726792172784</v>
      </c>
      <c r="BQ8" s="282">
        <f t="shared" si="23"/>
        <v>4861.7972501965905</v>
      </c>
      <c r="BR8" s="282">
        <f t="shared" si="23"/>
        <v>-3086.8835884980704</v>
      </c>
      <c r="BS8" s="282">
        <f t="shared" si="23"/>
        <v>-11163.872163358741</v>
      </c>
      <c r="BT8" s="282">
        <f t="shared" si="23"/>
        <v>13284.769016001352</v>
      </c>
      <c r="BU8" s="282">
        <f t="shared" si="23"/>
        <v>-8422.6681321305332</v>
      </c>
      <c r="BV8" s="282">
        <f t="shared" si="23"/>
        <v>17898.562544807046</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3622.943635028083</v>
      </c>
      <c r="AX9" s="199">
        <f t="shared" si="5"/>
        <v>9908.1450489899253</v>
      </c>
      <c r="AY9" s="143">
        <f t="shared" si="22"/>
        <v>1238.5181311237407</v>
      </c>
      <c r="AZ9" s="199">
        <f t="shared" si="6"/>
        <v>5</v>
      </c>
      <c r="BA9" s="200">
        <f t="shared" si="7"/>
        <v>0.625</v>
      </c>
      <c r="BB9" s="199">
        <f t="shared" si="8"/>
        <v>1266.9066123345947</v>
      </c>
      <c r="BC9" t="str">
        <f t="shared" si="33"/>
        <v>normal</v>
      </c>
      <c r="BE9" s="6"/>
      <c r="BF9" s="286"/>
      <c r="BG9" s="6"/>
      <c r="BH9" s="286"/>
      <c r="BI9" s="6"/>
      <c r="BJ9" s="17" t="s">
        <v>304</v>
      </c>
      <c r="BK9" s="283">
        <f t="shared" si="23"/>
        <v>1266.9066123345947</v>
      </c>
      <c r="BL9" s="283">
        <f t="shared" si="23"/>
        <v>1266.9066123345947</v>
      </c>
      <c r="BM9" s="283">
        <f t="shared" si="23"/>
        <v>-6679.4590956874654</v>
      </c>
      <c r="BN9" s="283">
        <f t="shared" si="23"/>
        <v>1266.9066123345947</v>
      </c>
      <c r="BO9" s="283">
        <f t="shared" si="23"/>
        <v>3622.943635028083</v>
      </c>
      <c r="BP9" s="283">
        <f t="shared" si="23"/>
        <v>-6679.4590956874654</v>
      </c>
      <c r="BQ9" s="283">
        <f t="shared" si="23"/>
        <v>3622.943635028083</v>
      </c>
      <c r="BR9" s="283">
        <f t="shared" si="23"/>
        <v>-4736.41105424125</v>
      </c>
      <c r="BS9" s="283">
        <f t="shared" si="23"/>
        <v>4736.41105424125</v>
      </c>
      <c r="BT9" s="283">
        <f t="shared" si="23"/>
        <v>-2908.7938857706545</v>
      </c>
      <c r="BU9" s="283">
        <f t="shared" si="23"/>
        <v>3622.943635028083</v>
      </c>
      <c r="BV9" s="283">
        <f t="shared" si="23"/>
        <v>9908.1450489899253</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20035.290314803264</v>
      </c>
      <c r="AX10" s="167">
        <f>SUM(AX2:AX9)</f>
        <v>117659.05056442789</v>
      </c>
      <c r="AY10" s="143">
        <f t="shared" si="22"/>
        <v>1634.1534800614984</v>
      </c>
      <c r="AZ10" s="167">
        <f>SUM(AZ2:AZ9)</f>
        <v>40</v>
      </c>
      <c r="BA10" s="193">
        <f t="shared" si="7"/>
        <v>0.55555555555555558</v>
      </c>
      <c r="BB10" s="167">
        <f>SUM(BB2:BB9)</f>
        <v>19550.132649230287</v>
      </c>
      <c r="BE10" s="6"/>
      <c r="BF10" s="286"/>
      <c r="BG10" s="6"/>
      <c r="BH10" s="286"/>
      <c r="BI10" s="6"/>
      <c r="BJ10" s="6" t="s">
        <v>1245</v>
      </c>
      <c r="BK10" s="284">
        <f>SUM(BK2:BK9)</f>
        <v>-24416.079299339861</v>
      </c>
      <c r="BL10" s="284">
        <f t="shared" ref="BL10" si="38">SUM(BL2:BL9)</f>
        <v>-23814.185332226858</v>
      </c>
      <c r="BM10" s="284">
        <f t="shared" ref="BM10" si="39">SUM(BM2:BM9)</f>
        <v>13008.845242334735</v>
      </c>
      <c r="BN10" s="284">
        <f t="shared" ref="BN10" si="40">SUM(BN2:BN9)</f>
        <v>19550.132649230287</v>
      </c>
      <c r="BO10" s="284">
        <f t="shared" ref="BO10" si="41">SUM(BO2:BO9)</f>
        <v>-11549.079982892072</v>
      </c>
      <c r="BP10" s="284">
        <f t="shared" ref="BP10" si="42">SUM(BP2:BP9)</f>
        <v>-33957.234284803031</v>
      </c>
      <c r="BQ10" s="284">
        <f t="shared" ref="BQ10" si="43">SUM(BQ2:BQ9)</f>
        <v>20035.290314803264</v>
      </c>
      <c r="BR10" s="284">
        <f t="shared" ref="BR10" si="44">SUM(BR2:BR9)</f>
        <v>-18386.868717322151</v>
      </c>
      <c r="BS10" s="284">
        <f t="shared" ref="BS10" si="45">SUM(BS2:BS9)</f>
        <v>-19008.682486541318</v>
      </c>
      <c r="BT10" s="284">
        <f t="shared" ref="BT10" si="46">SUM(BT2:BT9)</f>
        <v>-46471.323413244034</v>
      </c>
      <c r="BU10" s="284">
        <f t="shared" ref="BU10" si="47">SUM(BU2:BU9)</f>
        <v>-12282.737500481071</v>
      </c>
      <c r="BV10" s="284">
        <f t="shared" ref="BV10" si="48">SUM(BV2:BV9)</f>
        <v>117659.05056442789</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24543947.96774786</v>
      </c>
      <c r="BJ13" s="182">
        <f t="shared" si="62"/>
        <v>27438909.845502369</v>
      </c>
      <c r="BK13" s="187">
        <f t="shared" si="62"/>
        <v>-24416.079299339861</v>
      </c>
      <c r="BL13" s="187">
        <f>SUM(BL14:BL92)</f>
        <v>-23814.185332226854</v>
      </c>
      <c r="BM13" s="187">
        <f t="shared" ref="BM13:BV13" si="63">SUM(BM14:BM92)</f>
        <v>13008.845242334743</v>
      </c>
      <c r="BN13" s="187">
        <f t="shared" si="63"/>
        <v>19550.13264923028</v>
      </c>
      <c r="BO13" s="187">
        <f t="shared" si="63"/>
        <v>-11549.079982892066</v>
      </c>
      <c r="BP13" s="187">
        <f t="shared" si="63"/>
        <v>-33957.234284803031</v>
      </c>
      <c r="BQ13" s="187">
        <f t="shared" si="63"/>
        <v>20035.290314803253</v>
      </c>
      <c r="BR13" s="187">
        <f t="shared" si="63"/>
        <v>-18386.868717322159</v>
      </c>
      <c r="BS13" s="187">
        <f t="shared" si="63"/>
        <v>-19008.682486541318</v>
      </c>
      <c r="BT13" s="187">
        <f t="shared" si="63"/>
        <v>-46471.323413244027</v>
      </c>
      <c r="BU13" s="187">
        <f t="shared" si="63"/>
        <v>-12282.737500481069</v>
      </c>
      <c r="BV13" s="187">
        <f t="shared" si="63"/>
        <v>117659.05056442789</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24543947.96774786</v>
      </c>
      <c r="CS13" s="182">
        <f t="shared" si="64"/>
        <v>26169364.025110133</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229230</v>
      </c>
      <c r="BJ15" s="137">
        <f>VLOOKUP($A15,'FuturesInfo (3)'!$A$2:$O$80,15)*BH15</f>
        <v>152820</v>
      </c>
      <c r="BK15" s="188">
        <f t="shared" ref="BK15:BK38" si="98">IF(IF(AP15=AW15,1,0)=1,ABS(BI15*BB15),-ABS(BI15*BB15))</f>
        <v>-1305.0297894866471</v>
      </c>
      <c r="BL15" s="188">
        <f t="shared" si="69"/>
        <v>-1305.0297894866471</v>
      </c>
      <c r="BM15" s="188">
        <f t="shared" ref="BM15:BM78" si="99">IF(IF(AO15=AW15,1,0)=1,ABS(BI15*BB15),-ABS(BI15*BB15))</f>
        <v>-1305.0297894866471</v>
      </c>
      <c r="BN15" s="188">
        <f t="shared" ref="BN15:BN78" si="100">IF(AY15=1,ABS(BI15*BB15),-ABS(BI15*BB15))</f>
        <v>-1305.0297894866471</v>
      </c>
      <c r="BO15" s="188">
        <f t="shared" ref="BO15:BO78" si="101">IF(IF(AW15=AU15,1,0)=1,ABS(BI15*BB15),-ABS(BI15*BB15))</f>
        <v>1305.0297894866471</v>
      </c>
      <c r="BP15" s="188">
        <f t="shared" ref="BP15:BP20" si="102">IF(BA15=1,ABS(BI15*BB15),-ABS(BI15*BB15))</f>
        <v>1305.0297894866471</v>
      </c>
      <c r="BQ15" s="188">
        <f t="shared" ref="BQ15:BQ78" si="103">IF(IF(AQ15=AW15,1,0)=1,ABS(BI15*BB15),-ABS(BI15*BB15))</f>
        <v>-1305.0297894866471</v>
      </c>
      <c r="BR15" s="188">
        <f>IF(IF(AR15=AW15,1,0)=1,ABS(BI15*BB15),-ABS(BI15*BB15))</f>
        <v>1305.0297894866471</v>
      </c>
      <c r="BS15" s="188">
        <f t="shared" ref="BS15:BS78" si="104">IF(IF(BD15=AW15,1,0)=1,ABS(BI15*BB15),-ABS(BI15*BB15))</f>
        <v>1305.0297894866471</v>
      </c>
      <c r="BT15" s="188">
        <f>IF(IF(sym!$Q4=AW15,1,0)=1,ABS(BI15*BB15),-ABS(BI15*BB15))</f>
        <v>1305.0297894866471</v>
      </c>
      <c r="BU15" s="188">
        <f t="shared" ref="BU15:BU78" si="105">IF(IF(BE15=AW15,1,0)=1,ABS(BI15*BB15),-ABS(BI15*BB15))</f>
        <v>1305.0297894866471</v>
      </c>
      <c r="BV15" s="188">
        <f t="shared" ref="BV15:BV78" si="106">ABS(BI15*BB15)</f>
        <v>1305.0297894866471</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229230</v>
      </c>
      <c r="CS15" s="137">
        <f>VLOOKUP($A15,'FuturesInfo (3)'!$A$2:$O$80,15)*CQ15</f>
        <v>305640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202626.6</v>
      </c>
      <c r="BJ16" s="137">
        <f>VLOOKUP($A16,'FuturesInfo (3)'!$A$2:$O$80,15)*BH16</f>
        <v>202626.6</v>
      </c>
      <c r="BK16" s="188">
        <f t="shared" si="98"/>
        <v>2936.6173913066973</v>
      </c>
      <c r="BL16" s="188">
        <f t="shared" si="69"/>
        <v>2936.6173913066973</v>
      </c>
      <c r="BM16" s="188">
        <f t="shared" si="99"/>
        <v>2936.6173913066973</v>
      </c>
      <c r="BN16" s="188">
        <f t="shared" si="100"/>
        <v>2936.6173913066973</v>
      </c>
      <c r="BO16" s="188">
        <f t="shared" si="101"/>
        <v>-2936.6173913066973</v>
      </c>
      <c r="BP16" s="188">
        <f t="shared" si="102"/>
        <v>-2936.6173913066973</v>
      </c>
      <c r="BQ16" s="188">
        <f t="shared" si="103"/>
        <v>2936.6173913066973</v>
      </c>
      <c r="BR16" s="188">
        <f t="shared" ref="BR16:BR79" si="127">IF(IF(AR16=AW16,1,0)=1,ABS(BI16*BB16),-ABS(BI16*BB16))</f>
        <v>2936.6173913066973</v>
      </c>
      <c r="BS16" s="188">
        <f t="shared" si="104"/>
        <v>-2936.6173913066973</v>
      </c>
      <c r="BT16" s="188">
        <f>IF(IF(sym!$Q5=AW16,1,0)=1,ABS(BI16*BB16),-ABS(BI16*BB16))</f>
        <v>-2936.6173913066973</v>
      </c>
      <c r="BU16" s="188">
        <f t="shared" si="105"/>
        <v>-2936.6173913066973</v>
      </c>
      <c r="BV16" s="188">
        <f t="shared" si="106"/>
        <v>2936.6173913066973</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202626.6</v>
      </c>
      <c r="CS16" s="137">
        <f>VLOOKUP($A16,'FuturesInfo (3)'!$A$2:$O$80,15)*CQ16</f>
        <v>202626.6</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97350</v>
      </c>
      <c r="BJ17" s="137">
        <f>VLOOKUP($A17,'FuturesInfo (3)'!$A$2:$O$80,15)*BH17</f>
        <v>77880</v>
      </c>
      <c r="BK17" s="188">
        <f t="shared" si="98"/>
        <v>-1030.8405029800351</v>
      </c>
      <c r="BL17" s="188">
        <f t="shared" si="69"/>
        <v>-1030.8405029800351</v>
      </c>
      <c r="BM17" s="188">
        <f t="shared" si="99"/>
        <v>-1030.8405029800351</v>
      </c>
      <c r="BN17" s="188">
        <f t="shared" si="100"/>
        <v>-1030.8405029800351</v>
      </c>
      <c r="BO17" s="188">
        <f t="shared" si="101"/>
        <v>-1030.8405029800351</v>
      </c>
      <c r="BP17" s="188">
        <f t="shared" si="102"/>
        <v>-1030.8405029800351</v>
      </c>
      <c r="BQ17" s="188">
        <f t="shared" si="103"/>
        <v>-1030.8405029800351</v>
      </c>
      <c r="BR17" s="188">
        <f t="shared" si="127"/>
        <v>1030.8405029800351</v>
      </c>
      <c r="BS17" s="188">
        <f t="shared" si="104"/>
        <v>-1030.8405029800351</v>
      </c>
      <c r="BT17" s="188">
        <f>IF(IF(sym!$Q6=AW17,1,0)=1,ABS(BI17*BB17),-ABS(BI17*BB17))</f>
        <v>1030.8405029800351</v>
      </c>
      <c r="BU17" s="188">
        <f t="shared" si="105"/>
        <v>-1030.8405029800351</v>
      </c>
      <c r="BV17" s="188">
        <f t="shared" si="106"/>
        <v>1030.8405029800351</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97350</v>
      </c>
      <c r="CS17" s="137">
        <f>VLOOKUP($A17,'FuturesInfo (3)'!$A$2:$O$80,15)*CQ17</f>
        <v>77880</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242325</v>
      </c>
      <c r="BJ18" s="137">
        <f>VLOOKUP($A18,'FuturesInfo (3)'!$A$2:$O$80,15)*BH18</f>
        <v>161550</v>
      </c>
      <c r="BK18" s="188">
        <f t="shared" si="98"/>
        <v>-2882.1988636268175</v>
      </c>
      <c r="BL18" s="188">
        <f t="shared" si="69"/>
        <v>-2882.1988636268175</v>
      </c>
      <c r="BM18" s="188">
        <f t="shared" si="99"/>
        <v>-2882.1988636268175</v>
      </c>
      <c r="BN18" s="188">
        <f t="shared" si="100"/>
        <v>-2882.1988636268175</v>
      </c>
      <c r="BO18" s="188">
        <f t="shared" si="101"/>
        <v>2882.1988636268175</v>
      </c>
      <c r="BP18" s="188">
        <f t="shared" si="102"/>
        <v>2882.1988636268175</v>
      </c>
      <c r="BQ18" s="188">
        <f t="shared" si="103"/>
        <v>2882.1988636268175</v>
      </c>
      <c r="BR18" s="188">
        <f t="shared" si="127"/>
        <v>-2882.1988636268175</v>
      </c>
      <c r="BS18" s="188">
        <f t="shared" si="104"/>
        <v>2882.1988636268175</v>
      </c>
      <c r="BT18" s="188">
        <f>IF(IF(sym!$Q7=AW18,1,0)=1,ABS(BI18*BB18),-ABS(BI18*BB18))</f>
        <v>2882.1988636268175</v>
      </c>
      <c r="BU18" s="188">
        <f t="shared" si="105"/>
        <v>2882.1988636268175</v>
      </c>
      <c r="BV18" s="188">
        <f t="shared" si="106"/>
        <v>2882.1988636268175</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242325</v>
      </c>
      <c r="CS18" s="137">
        <f>VLOOKUP($A18,'FuturesInfo (3)'!$A$2:$O$80,15)*CQ18</f>
        <v>323100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6</v>
      </c>
      <c r="X19">
        <f t="shared" si="78"/>
        <v>1</v>
      </c>
      <c r="Y19">
        <f t="shared" si="79"/>
        <v>6</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6</v>
      </c>
      <c r="BG19">
        <f t="shared" si="96"/>
        <v>1</v>
      </c>
      <c r="BH19">
        <f t="shared" si="97"/>
        <v>8</v>
      </c>
      <c r="BI19" s="137">
        <f>VLOOKUP($A19,'FuturesInfo (3)'!$A$2:$O$80,15)*BF19</f>
        <v>99900</v>
      </c>
      <c r="BJ19" s="137">
        <f>VLOOKUP($A19,'FuturesInfo (3)'!$A$2:$O$80,15)*BH19</f>
        <v>133200</v>
      </c>
      <c r="BK19" s="188">
        <f t="shared" si="98"/>
        <v>74.719521316368002</v>
      </c>
      <c r="BL19" s="188">
        <f t="shared" si="69"/>
        <v>-74.719521316368002</v>
      </c>
      <c r="BM19" s="188">
        <f t="shared" si="99"/>
        <v>74.719521316368002</v>
      </c>
      <c r="BN19" s="188">
        <f t="shared" si="100"/>
        <v>-74.719521316368002</v>
      </c>
      <c r="BO19" s="188">
        <f t="shared" si="101"/>
        <v>-74.719521316368002</v>
      </c>
      <c r="BP19" s="188">
        <f t="shared" si="102"/>
        <v>74.719521316368002</v>
      </c>
      <c r="BQ19" s="188">
        <f t="shared" si="103"/>
        <v>-74.719521316368002</v>
      </c>
      <c r="BR19" s="188">
        <f t="shared" si="127"/>
        <v>74.719521316368002</v>
      </c>
      <c r="BS19" s="188">
        <f t="shared" si="104"/>
        <v>-74.719521316368002</v>
      </c>
      <c r="BT19" s="188">
        <f>IF(IF(sym!$Q8=AW19,1,0)=1,ABS(BI19*BB19),-ABS(BI19*BB19))</f>
        <v>-74.719521316368002</v>
      </c>
      <c r="BU19" s="188">
        <f t="shared" si="105"/>
        <v>-74.719521316368002</v>
      </c>
      <c r="BV19" s="188">
        <f t="shared" si="106"/>
        <v>74.719521316368002</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6</v>
      </c>
      <c r="CP19">
        <f t="shared" si="113"/>
        <v>-1</v>
      </c>
      <c r="CQ19">
        <f t="shared" si="114"/>
        <v>5</v>
      </c>
      <c r="CR19" s="137">
        <f>VLOOKUP($A19,'FuturesInfo (3)'!$A$2:$O$80,15)*CO19</f>
        <v>99900</v>
      </c>
      <c r="CS19" s="137">
        <f>VLOOKUP($A19,'FuturesInfo (3)'!$A$2:$O$80,15)*CQ19</f>
        <v>83250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119240</v>
      </c>
      <c r="BJ20" s="137">
        <f>VLOOKUP($A20,'FuturesInfo (3)'!$A$2:$O$80,15)*BH20</f>
        <v>89430</v>
      </c>
      <c r="BK20" s="188">
        <f t="shared" si="98"/>
        <v>1222.5563909718278</v>
      </c>
      <c r="BL20" s="188">
        <f t="shared" si="69"/>
        <v>1222.5563909718278</v>
      </c>
      <c r="BM20" s="188">
        <f t="shared" si="99"/>
        <v>-1222.5563909718278</v>
      </c>
      <c r="BN20" s="188">
        <f t="shared" si="100"/>
        <v>1222.5563909718278</v>
      </c>
      <c r="BO20" s="188">
        <f t="shared" si="101"/>
        <v>-1222.5563909718278</v>
      </c>
      <c r="BP20" s="188">
        <f t="shared" si="102"/>
        <v>-1222.5563909718278</v>
      </c>
      <c r="BQ20" s="188">
        <f t="shared" si="103"/>
        <v>-1222.5563909718278</v>
      </c>
      <c r="BR20" s="188">
        <f t="shared" si="127"/>
        <v>1222.5563909718278</v>
      </c>
      <c r="BS20" s="188">
        <f t="shared" si="104"/>
        <v>-1222.5563909718278</v>
      </c>
      <c r="BT20" s="188">
        <f>IF(IF(sym!$Q9=AW20,1,0)=1,ABS(BI20*BB20),-ABS(BI20*BB20))</f>
        <v>-1222.5563909718278</v>
      </c>
      <c r="BU20" s="188">
        <f t="shared" si="105"/>
        <v>-1222.5563909718278</v>
      </c>
      <c r="BV20" s="188">
        <f t="shared" si="106"/>
        <v>1222.5563909718278</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119240</v>
      </c>
      <c r="CS20" s="137">
        <f>VLOOKUP($A20,'FuturesInfo (3)'!$A$2:$O$80,15)*CQ20</f>
        <v>89430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308860</v>
      </c>
      <c r="BJ21" s="137">
        <f>VLOOKUP($A21,'FuturesInfo (3)'!$A$2:$O$80,15)*BH21</f>
        <v>231645</v>
      </c>
      <c r="BK21" s="188">
        <f t="shared" si="98"/>
        <v>-242.68727082241332</v>
      </c>
      <c r="BL21" s="188">
        <f t="shared" si="69"/>
        <v>-242.68727082241332</v>
      </c>
      <c r="BM21" s="188">
        <f t="shared" si="99"/>
        <v>-242.68727082241332</v>
      </c>
      <c r="BN21" s="188">
        <f t="shared" si="100"/>
        <v>-242.68727082241332</v>
      </c>
      <c r="BO21" s="188">
        <f t="shared" si="101"/>
        <v>242.68727082241332</v>
      </c>
      <c r="BP21" s="188">
        <f>IF(BA21=1,ABS(BI21*BB21),-ABS(BI21*BB21))</f>
        <v>242.68727082241332</v>
      </c>
      <c r="BQ21" s="188">
        <f t="shared" si="103"/>
        <v>-242.68727082241332</v>
      </c>
      <c r="BR21" s="188">
        <f t="shared" si="127"/>
        <v>242.68727082241332</v>
      </c>
      <c r="BS21" s="188">
        <f t="shared" si="104"/>
        <v>242.68727082241332</v>
      </c>
      <c r="BT21" s="188">
        <f>IF(IF(sym!$Q10=AW21,1,0)=1,ABS(BI21*BB21),-ABS(BI21*BB21))</f>
        <v>242.68727082241332</v>
      </c>
      <c r="BU21" s="188">
        <f t="shared" si="105"/>
        <v>242.68727082241332</v>
      </c>
      <c r="BV21" s="188">
        <f t="shared" si="106"/>
        <v>242.68727082241332</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308860</v>
      </c>
      <c r="CS21" s="137">
        <f>VLOOKUP($A21,'FuturesInfo (3)'!$A$2:$O$80,15)*CQ21</f>
        <v>386075</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90360</v>
      </c>
      <c r="BJ23" s="137">
        <f>VLOOKUP($A23,'FuturesInfo (3)'!$A$2:$O$80,15)*BH23</f>
        <v>90360</v>
      </c>
      <c r="BK23" s="188">
        <f t="shared" si="98"/>
        <v>1240.589116328832</v>
      </c>
      <c r="BL23" s="188">
        <f t="shared" si="69"/>
        <v>1240.589116328832</v>
      </c>
      <c r="BM23" s="188">
        <f t="shared" si="99"/>
        <v>1240.589116328832</v>
      </c>
      <c r="BN23" s="188">
        <f t="shared" si="100"/>
        <v>1240.589116328832</v>
      </c>
      <c r="BO23" s="188">
        <f t="shared" si="101"/>
        <v>-1240.589116328832</v>
      </c>
      <c r="BP23" s="188">
        <f t="shared" si="131"/>
        <v>1240.589116328832</v>
      </c>
      <c r="BQ23" s="188">
        <f t="shared" si="103"/>
        <v>-1240.589116328832</v>
      </c>
      <c r="BR23" s="188">
        <f t="shared" si="127"/>
        <v>1240.589116328832</v>
      </c>
      <c r="BS23" s="188">
        <f t="shared" si="104"/>
        <v>-1240.589116328832</v>
      </c>
      <c r="BT23" s="188">
        <f>IF(IF(sym!$Q12=AW23,1,0)=1,ABS(BI23*BB23),-ABS(BI23*BB23))</f>
        <v>-1240.589116328832</v>
      </c>
      <c r="BU23" s="188">
        <f t="shared" si="105"/>
        <v>-1240.589116328832</v>
      </c>
      <c r="BV23" s="188">
        <f t="shared" si="106"/>
        <v>1240.589116328832</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90360</v>
      </c>
      <c r="CS23" s="137">
        <f>VLOOKUP($A23,'FuturesInfo (3)'!$A$2:$O$80,15)*CQ23</f>
        <v>90360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105975</v>
      </c>
      <c r="BJ24" s="137">
        <f>VLOOKUP($A24,'FuturesInfo (3)'!$A$2:$O$80,15)*BH24</f>
        <v>70650</v>
      </c>
      <c r="BK24" s="188">
        <f t="shared" si="98"/>
        <v>569.91126646930945</v>
      </c>
      <c r="BL24" s="188">
        <f t="shared" si="69"/>
        <v>569.91126646930945</v>
      </c>
      <c r="BM24" s="188">
        <f t="shared" si="99"/>
        <v>-569.91126646930945</v>
      </c>
      <c r="BN24" s="188">
        <f t="shared" si="100"/>
        <v>569.91126646930945</v>
      </c>
      <c r="BO24" s="188">
        <f t="shared" si="101"/>
        <v>569.91126646930945</v>
      </c>
      <c r="BP24" s="188">
        <f t="shared" si="131"/>
        <v>-569.91126646930945</v>
      </c>
      <c r="BQ24" s="188">
        <f t="shared" si="103"/>
        <v>569.91126646930945</v>
      </c>
      <c r="BR24" s="188">
        <f t="shared" si="127"/>
        <v>569.91126646930945</v>
      </c>
      <c r="BS24" s="188">
        <f t="shared" si="104"/>
        <v>-569.91126646930945</v>
      </c>
      <c r="BT24" s="188">
        <f>IF(IF(sym!$Q13=AW24,1,0)=1,ABS(BI24*BB24),-ABS(BI24*BB24))</f>
        <v>-569.91126646930945</v>
      </c>
      <c r="BU24" s="188">
        <f t="shared" si="105"/>
        <v>569.91126646930945</v>
      </c>
      <c r="BV24" s="188">
        <f t="shared" si="106"/>
        <v>569.91126646930945</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105975</v>
      </c>
      <c r="CS24" s="137">
        <f>VLOOKUP($A24,'FuturesInfo (3)'!$A$2:$O$80,15)*CQ24</f>
        <v>70650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419156.25</v>
      </c>
      <c r="BJ25" s="137">
        <f>VLOOKUP($A25,'FuturesInfo (3)'!$A$2:$O$80,15)*BH25</f>
        <v>558875</v>
      </c>
      <c r="BK25" s="188">
        <f t="shared" si="98"/>
        <v>2134.9214770798603</v>
      </c>
      <c r="BL25" s="188">
        <f t="shared" si="69"/>
        <v>2134.9214770798603</v>
      </c>
      <c r="BM25" s="188">
        <f t="shared" si="99"/>
        <v>-2134.9214770798603</v>
      </c>
      <c r="BN25" s="188">
        <f t="shared" si="100"/>
        <v>2134.9214770798603</v>
      </c>
      <c r="BO25" s="188">
        <f t="shared" si="101"/>
        <v>2134.9214770798603</v>
      </c>
      <c r="BP25" s="188">
        <f t="shared" si="131"/>
        <v>2134.9214770798603</v>
      </c>
      <c r="BQ25" s="188">
        <f t="shared" si="103"/>
        <v>2134.9214770798603</v>
      </c>
      <c r="BR25" s="188">
        <f t="shared" si="127"/>
        <v>2134.9214770798603</v>
      </c>
      <c r="BS25" s="188">
        <f t="shared" si="104"/>
        <v>2134.9214770798603</v>
      </c>
      <c r="BT25" s="188">
        <f>IF(IF(sym!$Q14=AW25,1,0)=1,ABS(BI25*BB25),-ABS(BI25*BB25))</f>
        <v>2134.9214770798603</v>
      </c>
      <c r="BU25" s="188">
        <f t="shared" si="105"/>
        <v>2134.9214770798603</v>
      </c>
      <c r="BV25" s="188">
        <f t="shared" si="106"/>
        <v>2134.9214770798603</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419156.25</v>
      </c>
      <c r="CS25" s="137">
        <f>VLOOKUP($A25,'FuturesInfo (3)'!$A$2:$O$80,15)*CQ25</f>
        <v>279437.5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382728</v>
      </c>
      <c r="BJ26" s="137">
        <f>VLOOKUP($A26,'FuturesInfo (3)'!$A$2:$O$80,15)*BH26</f>
        <v>478410</v>
      </c>
      <c r="BK26" s="188">
        <f t="shared" si="98"/>
        <v>-2756.1440262547185</v>
      </c>
      <c r="BL26" s="188">
        <f t="shared" si="69"/>
        <v>-2756.1440262547185</v>
      </c>
      <c r="BM26" s="188">
        <f t="shared" si="99"/>
        <v>-2756.1440262547185</v>
      </c>
      <c r="BN26" s="188">
        <f t="shared" si="100"/>
        <v>-2756.1440262547185</v>
      </c>
      <c r="BO26" s="188">
        <f t="shared" si="101"/>
        <v>2756.1440262547185</v>
      </c>
      <c r="BP26" s="188">
        <f t="shared" si="131"/>
        <v>-2756.1440262547185</v>
      </c>
      <c r="BQ26" s="188">
        <f t="shared" si="103"/>
        <v>2756.1440262547185</v>
      </c>
      <c r="BR26" s="188">
        <f t="shared" si="127"/>
        <v>-2756.1440262547185</v>
      </c>
      <c r="BS26" s="188">
        <f t="shared" si="104"/>
        <v>2756.1440262547185</v>
      </c>
      <c r="BT26" s="188">
        <f>IF(IF(sym!$Q15=AW26,1,0)=1,ABS(BI26*BB26),-ABS(BI26*BB26))</f>
        <v>2756.1440262547185</v>
      </c>
      <c r="BU26" s="188">
        <f t="shared" si="105"/>
        <v>2756.1440262547185</v>
      </c>
      <c r="BV26" s="188">
        <f t="shared" si="106"/>
        <v>2756.1440262547185</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382728</v>
      </c>
      <c r="CS26" s="137">
        <f>VLOOKUP($A26,'FuturesInfo (3)'!$A$2:$O$80,15)*CQ26</f>
        <v>287046</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561928.77600000007</v>
      </c>
      <c r="BJ27" s="137">
        <f>VLOOKUP($A27,'FuturesInfo (3)'!$A$2:$O$80,15)*BH27</f>
        <v>749238.36800000002</v>
      </c>
      <c r="BK27" s="188">
        <f t="shared" si="98"/>
        <v>-2885.9883389671613</v>
      </c>
      <c r="BL27" s="188">
        <f t="shared" si="69"/>
        <v>-2885.9883389671613</v>
      </c>
      <c r="BM27" s="188">
        <f t="shared" si="99"/>
        <v>2885.9883389671613</v>
      </c>
      <c r="BN27" s="188">
        <f t="shared" si="100"/>
        <v>-2885.9883389671613</v>
      </c>
      <c r="BO27" s="188">
        <f t="shared" si="101"/>
        <v>-2885.9883389671613</v>
      </c>
      <c r="BP27" s="188">
        <f t="shared" si="131"/>
        <v>-2885.9883389671613</v>
      </c>
      <c r="BQ27" s="188">
        <f t="shared" si="103"/>
        <v>-2885.9883389671613</v>
      </c>
      <c r="BR27" s="188">
        <f t="shared" si="127"/>
        <v>2885.9883389671613</v>
      </c>
      <c r="BS27" s="188">
        <f t="shared" si="104"/>
        <v>-2885.9883389671613</v>
      </c>
      <c r="BT27" s="188">
        <f>IF(IF(sym!$Q16=AW27,1,0)=1,ABS(BI27*BB27),-ABS(BI27*BB27))</f>
        <v>2885.9883389671613</v>
      </c>
      <c r="BU27" s="188">
        <f t="shared" si="105"/>
        <v>-2885.9883389671613</v>
      </c>
      <c r="BV27" s="188">
        <f t="shared" si="106"/>
        <v>2885.9883389671613</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561928.77600000007</v>
      </c>
      <c r="CS27" s="137">
        <f>VLOOKUP($A27,'FuturesInfo (3)'!$A$2:$O$80,15)*CQ27</f>
        <v>374619.18400000001</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1343565.0719999999</v>
      </c>
      <c r="BJ28" s="137">
        <f>VLOOKUP($A28,'FuturesInfo (3)'!$A$2:$O$80,15)*BH28</f>
        <v>1642135.088</v>
      </c>
      <c r="BK28" s="188">
        <f t="shared" si="98"/>
        <v>-2212.9543747844791</v>
      </c>
      <c r="BL28" s="188">
        <f t="shared" si="69"/>
        <v>-2212.9543747844791</v>
      </c>
      <c r="BM28" s="188">
        <f t="shared" si="99"/>
        <v>2212.9543747844791</v>
      </c>
      <c r="BN28" s="188">
        <f t="shared" si="100"/>
        <v>-2212.9543747844791</v>
      </c>
      <c r="BO28" s="188">
        <f t="shared" si="101"/>
        <v>-2212.9543747844791</v>
      </c>
      <c r="BP28" s="188">
        <f t="shared" si="131"/>
        <v>2212.9543747844791</v>
      </c>
      <c r="BQ28" s="188">
        <f t="shared" si="103"/>
        <v>-2212.9543747844791</v>
      </c>
      <c r="BR28" s="188">
        <f t="shared" si="127"/>
        <v>2212.9543747844791</v>
      </c>
      <c r="BS28" s="188">
        <f t="shared" si="104"/>
        <v>-2212.9543747844791</v>
      </c>
      <c r="BT28" s="188">
        <f>IF(IF(sym!$Q17=AW28,1,0)=1,ABS(BI28*BB28),-ABS(BI28*BB28))</f>
        <v>2212.9543747844791</v>
      </c>
      <c r="BU28" s="188">
        <f t="shared" si="105"/>
        <v>-2212.9543747844791</v>
      </c>
      <c r="BV28" s="188">
        <f t="shared" si="106"/>
        <v>2212.9543747844791</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1343565.0719999999</v>
      </c>
      <c r="CS28" s="137">
        <f>VLOOKUP($A28,'FuturesInfo (3)'!$A$2:$O$80,15)*CQ28</f>
        <v>1642135.088</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311120</v>
      </c>
      <c r="BJ31" s="137">
        <f>VLOOKUP($A31,'FuturesInfo (3)'!$A$2:$O$80,15)*BH31</f>
        <v>466680</v>
      </c>
      <c r="BK31" s="188">
        <f t="shared" si="98"/>
        <v>-3687.1106530933039</v>
      </c>
      <c r="BL31" s="188">
        <f t="shared" si="69"/>
        <v>-3687.1106530933039</v>
      </c>
      <c r="BM31" s="188">
        <f t="shared" si="99"/>
        <v>3687.1106530933039</v>
      </c>
      <c r="BN31" s="188">
        <f t="shared" si="100"/>
        <v>3687.1106530933039</v>
      </c>
      <c r="BO31" s="188">
        <f t="shared" si="101"/>
        <v>-3687.1106530933039</v>
      </c>
      <c r="BP31" s="188">
        <f t="shared" si="131"/>
        <v>-3687.1106530933039</v>
      </c>
      <c r="BQ31" s="188">
        <f t="shared" si="103"/>
        <v>3687.1106530933039</v>
      </c>
      <c r="BR31" s="188">
        <f t="shared" si="127"/>
        <v>-3687.1106530933039</v>
      </c>
      <c r="BS31" s="188">
        <f t="shared" si="104"/>
        <v>-3687.1106530933039</v>
      </c>
      <c r="BT31" s="188">
        <f>IF(IF(sym!$Q20=AW31,1,0)=1,ABS(BI31*BB31),-ABS(BI31*BB31))</f>
        <v>-3687.1106530933039</v>
      </c>
      <c r="BU31" s="188">
        <f t="shared" si="105"/>
        <v>-3687.1106530933039</v>
      </c>
      <c r="BV31" s="188">
        <f t="shared" si="106"/>
        <v>3687.1106530933039</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311120</v>
      </c>
      <c r="CS31" s="137">
        <f>VLOOKUP($A31,'FuturesInfo (3)'!$A$2:$O$80,15)*CQ31</f>
        <v>466680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327037.5</v>
      </c>
      <c r="BJ32" s="137">
        <f>VLOOKUP($A32,'FuturesInfo (3)'!$A$2:$O$80,15)*BH32</f>
        <v>436050</v>
      </c>
      <c r="BK32" s="188">
        <f t="shared" si="98"/>
        <v>-1775.3248440763391</v>
      </c>
      <c r="BL32" s="188">
        <f t="shared" si="69"/>
        <v>-1775.3248440763391</v>
      </c>
      <c r="BM32" s="188">
        <f t="shared" si="99"/>
        <v>1775.3248440763391</v>
      </c>
      <c r="BN32" s="188">
        <f t="shared" si="100"/>
        <v>1775.3248440763391</v>
      </c>
      <c r="BO32" s="188">
        <f t="shared" si="101"/>
        <v>-1775.3248440763391</v>
      </c>
      <c r="BP32" s="188">
        <f t="shared" si="131"/>
        <v>-1775.3248440763391</v>
      </c>
      <c r="BQ32" s="188">
        <f t="shared" si="103"/>
        <v>1775.3248440763391</v>
      </c>
      <c r="BR32" s="188">
        <f t="shared" si="127"/>
        <v>-1775.3248440763391</v>
      </c>
      <c r="BS32" s="188">
        <f t="shared" si="104"/>
        <v>-1775.3248440763391</v>
      </c>
      <c r="BT32" s="188">
        <f>IF(IF(sym!$Q21=AW32,1,0)=1,ABS(BI32*BB32),-ABS(BI32*BB32))</f>
        <v>-1775.3248440763391</v>
      </c>
      <c r="BU32" s="188">
        <f t="shared" si="105"/>
        <v>-1775.3248440763391</v>
      </c>
      <c r="BV32" s="188">
        <f t="shared" si="106"/>
        <v>1775.3248440763391</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327037.5</v>
      </c>
      <c r="CS32" s="137">
        <f>VLOOKUP($A32,'FuturesInfo (3)'!$A$2:$O$80,15)*CQ32</f>
        <v>218025</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144250</v>
      </c>
      <c r="BJ33" s="137">
        <f>VLOOKUP($A33,'FuturesInfo (3)'!$A$2:$O$80,15)*BH33</f>
        <v>144250</v>
      </c>
      <c r="BK33" s="188">
        <f t="shared" si="98"/>
        <v>-923.08024904927754</v>
      </c>
      <c r="BL33" s="188">
        <f t="shared" si="69"/>
        <v>-923.08024904927754</v>
      </c>
      <c r="BM33" s="188">
        <f t="shared" si="99"/>
        <v>923.08024904927754</v>
      </c>
      <c r="BN33" s="188">
        <f t="shared" si="100"/>
        <v>-923.08024904927754</v>
      </c>
      <c r="BO33" s="188">
        <f t="shared" si="101"/>
        <v>-923.08024904927754</v>
      </c>
      <c r="BP33" s="188">
        <f t="shared" si="131"/>
        <v>-923.08024904927754</v>
      </c>
      <c r="BQ33" s="188">
        <f t="shared" si="103"/>
        <v>-923.08024904927754</v>
      </c>
      <c r="BR33" s="188">
        <f t="shared" si="127"/>
        <v>923.08024904927754</v>
      </c>
      <c r="BS33" s="188">
        <f t="shared" si="104"/>
        <v>-923.08024904927754</v>
      </c>
      <c r="BT33" s="188">
        <f>IF(IF(sym!$Q22=AW33,1,0)=1,ABS(BI33*BB33),-ABS(BI33*BB33))</f>
        <v>923.08024904927754</v>
      </c>
      <c r="BU33" s="188">
        <f t="shared" si="105"/>
        <v>-923.08024904927754</v>
      </c>
      <c r="BV33" s="188">
        <f t="shared" si="106"/>
        <v>923.08024904927754</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144250</v>
      </c>
      <c r="CS33" s="137">
        <f>VLOOKUP($A33,'FuturesInfo (3)'!$A$2:$O$80,15)*CQ33</f>
        <v>144250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200974.32800000001</v>
      </c>
      <c r="BJ34" s="137">
        <f>VLOOKUP($A34,'FuturesInfo (3)'!$A$2:$O$80,15)*BH34</f>
        <v>251217.91</v>
      </c>
      <c r="BK34" s="188">
        <f t="shared" si="98"/>
        <v>-3692.6212017730431</v>
      </c>
      <c r="BL34" s="188">
        <f t="shared" si="69"/>
        <v>-3692.6212017730431</v>
      </c>
      <c r="BM34" s="188">
        <f t="shared" si="99"/>
        <v>3692.6212017730431</v>
      </c>
      <c r="BN34" s="188">
        <f t="shared" si="100"/>
        <v>3692.6212017730431</v>
      </c>
      <c r="BO34" s="188">
        <f t="shared" si="101"/>
        <v>-3692.6212017730431</v>
      </c>
      <c r="BP34" s="188">
        <f t="shared" si="131"/>
        <v>-3692.6212017730431</v>
      </c>
      <c r="BQ34" s="188">
        <f t="shared" si="103"/>
        <v>3692.6212017730431</v>
      </c>
      <c r="BR34" s="188">
        <f t="shared" si="127"/>
        <v>-3692.6212017730431</v>
      </c>
      <c r="BS34" s="188">
        <f t="shared" si="104"/>
        <v>-3692.6212017730431</v>
      </c>
      <c r="BT34" s="188">
        <f>IF(IF(sym!$Q23=AW34,1,0)=1,ABS(BI34*BB34),-ABS(BI34*BB34))</f>
        <v>-3692.6212017730431</v>
      </c>
      <c r="BU34" s="188">
        <f t="shared" si="105"/>
        <v>-3692.6212017730431</v>
      </c>
      <c r="BV34" s="188">
        <f t="shared" si="106"/>
        <v>3692.6212017730431</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200974.32800000001</v>
      </c>
      <c r="CS34" s="137">
        <f>VLOOKUP($A34,'FuturesInfo (3)'!$A$2:$O$80,15)*CQ34</f>
        <v>150730.74600000001</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179466.88200000001</v>
      </c>
      <c r="BJ35" s="137">
        <f>VLOOKUP($A35,'FuturesInfo (3)'!$A$2:$O$80,15)*BH35</f>
        <v>119644.588</v>
      </c>
      <c r="BK35" s="188">
        <f t="shared" si="98"/>
        <v>3307.545205921756</v>
      </c>
      <c r="BL35" s="188">
        <f t="shared" si="69"/>
        <v>3307.545205921756</v>
      </c>
      <c r="BM35" s="188">
        <f t="shared" si="99"/>
        <v>-3307.545205921756</v>
      </c>
      <c r="BN35" s="188">
        <f t="shared" si="100"/>
        <v>3307.545205921756</v>
      </c>
      <c r="BO35" s="188">
        <f t="shared" si="101"/>
        <v>3307.545205921756</v>
      </c>
      <c r="BP35" s="188">
        <f t="shared" si="131"/>
        <v>-3307.545205921756</v>
      </c>
      <c r="BQ35" s="188">
        <f t="shared" si="103"/>
        <v>3307.545205921756</v>
      </c>
      <c r="BR35" s="188">
        <f t="shared" si="127"/>
        <v>3307.545205921756</v>
      </c>
      <c r="BS35" s="188">
        <f t="shared" si="104"/>
        <v>-3307.545205921756</v>
      </c>
      <c r="BT35" s="188">
        <f>IF(IF(sym!$Q24=AW35,1,0)=1,ABS(BI35*BB35),-ABS(BI35*BB35))</f>
        <v>-3307.545205921756</v>
      </c>
      <c r="BU35" s="188">
        <f t="shared" si="105"/>
        <v>3307.545205921756</v>
      </c>
      <c r="BV35" s="188">
        <f t="shared" si="106"/>
        <v>3307.545205921756</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179466.88200000001</v>
      </c>
      <c r="CS35" s="137">
        <f>VLOOKUP($A35,'FuturesInfo (3)'!$A$2:$O$80,15)*CQ35</f>
        <v>119644.588</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267557.98800000001</v>
      </c>
      <c r="BJ37" s="137">
        <f>VLOOKUP($A37,'FuturesInfo (3)'!$A$2:$O$80,15)*BH37</f>
        <v>356743.984</v>
      </c>
      <c r="BK37" s="188">
        <f t="shared" si="98"/>
        <v>-2153.0198327445419</v>
      </c>
      <c r="BL37" s="188">
        <f t="shared" si="69"/>
        <v>-2153.0198327445419</v>
      </c>
      <c r="BM37" s="188">
        <f t="shared" si="99"/>
        <v>2153.0198327445419</v>
      </c>
      <c r="BN37" s="188">
        <f t="shared" si="100"/>
        <v>-2153.0198327445419</v>
      </c>
      <c r="BO37" s="188">
        <f t="shared" si="101"/>
        <v>-2153.0198327445419</v>
      </c>
      <c r="BP37" s="188">
        <f t="shared" si="131"/>
        <v>-2153.0198327445419</v>
      </c>
      <c r="BQ37" s="188">
        <f t="shared" si="103"/>
        <v>-2153.0198327445419</v>
      </c>
      <c r="BR37" s="188">
        <f t="shared" si="127"/>
        <v>-2153.0198327445419</v>
      </c>
      <c r="BS37" s="188">
        <f t="shared" si="104"/>
        <v>-2153.0198327445419</v>
      </c>
      <c r="BT37" s="188">
        <f>IF(IF(sym!$Q26=AW37,1,0)=1,ABS(BI37*BB37),-ABS(BI37*BB37))</f>
        <v>-2153.0198327445419</v>
      </c>
      <c r="BU37" s="188">
        <f t="shared" si="105"/>
        <v>-2153.0198327445419</v>
      </c>
      <c r="BV37" s="188">
        <f t="shared" si="106"/>
        <v>2153.0198327445419</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267557.98800000001</v>
      </c>
      <c r="CS37" s="137">
        <f>VLOOKUP($A37,'FuturesInfo (3)'!$A$2:$O$80,15)*CQ37</f>
        <v>178371.992</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514095.35999999999</v>
      </c>
      <c r="BJ38" s="137">
        <f>VLOOKUP($A38,'FuturesInfo (3)'!$A$2:$O$80,15)*BH38</f>
        <v>685460.47999999998</v>
      </c>
      <c r="BK38" s="188">
        <f t="shared" si="98"/>
        <v>3153.2338265744374</v>
      </c>
      <c r="BL38" s="188">
        <f t="shared" si="69"/>
        <v>-3153.2338265744374</v>
      </c>
      <c r="BM38" s="188">
        <f t="shared" si="99"/>
        <v>3153.2338265744374</v>
      </c>
      <c r="BN38" s="188">
        <f t="shared" si="100"/>
        <v>-3153.2338265744374</v>
      </c>
      <c r="BO38" s="188">
        <f t="shared" si="101"/>
        <v>-3153.2338265744374</v>
      </c>
      <c r="BP38" s="188">
        <f t="shared" si="131"/>
        <v>-3153.2338265744374</v>
      </c>
      <c r="BQ38" s="188">
        <f t="shared" si="103"/>
        <v>3153.2338265744374</v>
      </c>
      <c r="BR38" s="188">
        <f t="shared" si="127"/>
        <v>-3153.2338265744374</v>
      </c>
      <c r="BS38" s="188">
        <f t="shared" si="104"/>
        <v>-3153.2338265744374</v>
      </c>
      <c r="BT38" s="188">
        <f>IF(IF(sym!$Q27=AW38,1,0)=1,ABS(BI38*BB38),-ABS(BI38*BB38))</f>
        <v>3153.2338265744374</v>
      </c>
      <c r="BU38" s="188">
        <f t="shared" si="105"/>
        <v>-3153.2338265744374</v>
      </c>
      <c r="BV38" s="188">
        <f t="shared" si="106"/>
        <v>3153.2338265744374</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514095.35999999999</v>
      </c>
      <c r="CS38" s="137">
        <f>VLOOKUP($A38,'FuturesInfo (3)'!$A$2:$O$80,15)*CQ38</f>
        <v>342730.23999999999</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851867.1875</v>
      </c>
      <c r="BJ40" s="137">
        <f>VLOOKUP($A40,'FuturesInfo (3)'!$A$2:$O$80,15)*BH40</f>
        <v>1095257.8125</v>
      </c>
      <c r="BK40" s="188">
        <f t="shared" ref="BK40:BK92" si="134">IF(IF(AP40=AW40,1,0)=1,ABS(BI40*BB40),-ABS(BI40*BB40))</f>
        <v>-654.94658188143853</v>
      </c>
      <c r="BL40" s="188">
        <f t="shared" si="69"/>
        <v>-654.94658188143853</v>
      </c>
      <c r="BM40" s="188">
        <f t="shared" si="99"/>
        <v>654.94658188143853</v>
      </c>
      <c r="BN40" s="188">
        <f t="shared" si="100"/>
        <v>-654.94658188143853</v>
      </c>
      <c r="BO40" s="188">
        <f t="shared" si="101"/>
        <v>-654.94658188143853</v>
      </c>
      <c r="BP40" s="188">
        <f t="shared" si="131"/>
        <v>-654.94658188143853</v>
      </c>
      <c r="BQ40" s="188">
        <f t="shared" si="103"/>
        <v>-654.94658188143853</v>
      </c>
      <c r="BR40" s="188">
        <f t="shared" si="127"/>
        <v>-654.94658188143853</v>
      </c>
      <c r="BS40" s="188">
        <f t="shared" si="104"/>
        <v>-654.94658188143853</v>
      </c>
      <c r="BT40" s="188">
        <f>IF(IF(sym!$Q29=AW40,1,0)=1,ABS(BI40*BB40),-ABS(BI40*BB40))</f>
        <v>654.94658188143853</v>
      </c>
      <c r="BU40" s="188">
        <f t="shared" si="105"/>
        <v>-654.94658188143853</v>
      </c>
      <c r="BV40" s="188">
        <f t="shared" si="106"/>
        <v>654.94658188143853</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851867.1875</v>
      </c>
      <c r="CS40" s="137">
        <f>VLOOKUP($A40,'FuturesInfo (3)'!$A$2:$O$80,15)*CQ40</f>
        <v>1095257.8125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268640</v>
      </c>
      <c r="BJ41" s="137">
        <f>VLOOKUP($A41,'FuturesInfo (3)'!$A$2:$O$80,15)*BH41</f>
        <v>402960</v>
      </c>
      <c r="BK41" s="188">
        <f t="shared" si="134"/>
        <v>2568.6378346577872</v>
      </c>
      <c r="BL41" s="188">
        <f t="shared" si="69"/>
        <v>2568.6378346577872</v>
      </c>
      <c r="BM41" s="188">
        <f t="shared" si="99"/>
        <v>2568.6378346577872</v>
      </c>
      <c r="BN41" s="188">
        <f t="shared" si="100"/>
        <v>2568.6378346577872</v>
      </c>
      <c r="BO41" s="188">
        <f t="shared" si="101"/>
        <v>-2568.6378346577872</v>
      </c>
      <c r="BP41" s="188">
        <f t="shared" si="131"/>
        <v>-2568.6378346577872</v>
      </c>
      <c r="BQ41" s="188">
        <f t="shared" si="103"/>
        <v>-2568.6378346577872</v>
      </c>
      <c r="BR41" s="188">
        <f t="shared" si="127"/>
        <v>2568.6378346577872</v>
      </c>
      <c r="BS41" s="188">
        <f t="shared" si="104"/>
        <v>-2568.6378346577872</v>
      </c>
      <c r="BT41" s="188">
        <f>IF(IF(sym!$Q30=AW41,1,0)=1,ABS(BI41*BB41),-ABS(BI41*BB41))</f>
        <v>-2568.6378346577872</v>
      </c>
      <c r="BU41" s="188">
        <f t="shared" si="105"/>
        <v>-2568.6378346577872</v>
      </c>
      <c r="BV41" s="188">
        <f t="shared" si="106"/>
        <v>2568.6378346577872</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268640</v>
      </c>
      <c r="CS41" s="137">
        <f>VLOOKUP($A41,'FuturesInfo (3)'!$A$2:$O$80,15)*CQ41</f>
        <v>402960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184523.19587628866</v>
      </c>
      <c r="BJ42" s="137">
        <f>VLOOKUP($A42,'FuturesInfo (3)'!$A$2:$O$80,15)*BH42</f>
        <v>123015.46391752578</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184523.19587628866</v>
      </c>
      <c r="CS42" s="137">
        <f>VLOOKUP($A42,'FuturesInfo (3)'!$A$2:$O$80,15)*CQ42</f>
        <v>246030.92783505155</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2</v>
      </c>
      <c r="X43">
        <f t="shared" si="78"/>
        <v>-1</v>
      </c>
      <c r="Y43">
        <f t="shared" si="79"/>
        <v>2</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2</v>
      </c>
      <c r="BG43">
        <f t="shared" si="96"/>
        <v>-1</v>
      </c>
      <c r="BH43">
        <f t="shared" si="97"/>
        <v>2</v>
      </c>
      <c r="BI43" s="137">
        <f>VLOOKUP($A43,'FuturesInfo (3)'!$A$2:$O$80,15)*BF43</f>
        <v>107575</v>
      </c>
      <c r="BJ43" s="137">
        <f>VLOOKUP($A43,'FuturesInfo (3)'!$A$2:$O$80,15)*BH43</f>
        <v>107575</v>
      </c>
      <c r="BK43" s="188">
        <f t="shared" si="134"/>
        <v>-464.63400772926798</v>
      </c>
      <c r="BL43" s="188">
        <f t="shared" si="69"/>
        <v>-464.63400772926798</v>
      </c>
      <c r="BM43" s="188">
        <f t="shared" si="99"/>
        <v>-464.63400772926798</v>
      </c>
      <c r="BN43" s="188">
        <f t="shared" si="100"/>
        <v>-464.63400772926798</v>
      </c>
      <c r="BO43" s="188">
        <f t="shared" si="101"/>
        <v>464.63400772926798</v>
      </c>
      <c r="BP43" s="188">
        <f t="shared" si="131"/>
        <v>464.63400772926798</v>
      </c>
      <c r="BQ43" s="188">
        <f t="shared" si="103"/>
        <v>-464.63400772926798</v>
      </c>
      <c r="BR43" s="188">
        <f t="shared" si="127"/>
        <v>-464.63400772926798</v>
      </c>
      <c r="BS43" s="188">
        <f t="shared" si="104"/>
        <v>464.63400772926798</v>
      </c>
      <c r="BT43" s="188">
        <f>IF(IF(sym!$Q32=AW43,1,0)=1,ABS(BI43*BB43),-ABS(BI43*BB43))</f>
        <v>464.63400772926798</v>
      </c>
      <c r="BU43" s="188">
        <f t="shared" si="105"/>
        <v>464.63400772926798</v>
      </c>
      <c r="BV43" s="188">
        <f t="shared" si="106"/>
        <v>464.63400772926798</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2</v>
      </c>
      <c r="CP43">
        <f t="shared" si="113"/>
        <v>-1</v>
      </c>
      <c r="CQ43">
        <f t="shared" si="114"/>
        <v>2</v>
      </c>
      <c r="CR43" s="137">
        <f>VLOOKUP($A43,'FuturesInfo (3)'!$A$2:$O$80,15)*CO43</f>
        <v>107575</v>
      </c>
      <c r="CS43" s="137">
        <f>VLOOKUP($A43,'FuturesInfo (3)'!$A$2:$O$80,15)*CQ43</f>
        <v>107575</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293260.3092783505</v>
      </c>
      <c r="BJ44" s="137">
        <f>VLOOKUP($A44,'FuturesInfo (3)'!$A$2:$O$80,15)*BH44</f>
        <v>293260.3092783505</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293260.3092783505</v>
      </c>
      <c r="CS44" s="137">
        <f>VLOOKUP($A44,'FuturesInfo (3)'!$A$2:$O$80,15)*CQ44</f>
        <v>439890.46391752572</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118322.40000000001</v>
      </c>
      <c r="BJ45" s="137">
        <f>VLOOKUP($A45,'FuturesInfo (3)'!$A$2:$O$80,15)*BH45</f>
        <v>177483.6</v>
      </c>
      <c r="BK45" s="188">
        <f t="shared" si="134"/>
        <v>-103.46978297156272</v>
      </c>
      <c r="BL45" s="188">
        <f t="shared" si="69"/>
        <v>103.46978297156272</v>
      </c>
      <c r="BM45" s="188">
        <f t="shared" si="99"/>
        <v>-103.46978297156272</v>
      </c>
      <c r="BN45" s="188">
        <f t="shared" si="100"/>
        <v>103.46978297156272</v>
      </c>
      <c r="BO45" s="188">
        <f t="shared" si="101"/>
        <v>-103.46978297156272</v>
      </c>
      <c r="BP45" s="188">
        <f t="shared" si="131"/>
        <v>-103.46978297156272</v>
      </c>
      <c r="BQ45" s="188">
        <f t="shared" si="103"/>
        <v>-103.46978297156272</v>
      </c>
      <c r="BR45" s="188">
        <f t="shared" si="127"/>
        <v>-103.46978297156272</v>
      </c>
      <c r="BS45" s="188">
        <f t="shared" si="104"/>
        <v>103.46978297156272</v>
      </c>
      <c r="BT45" s="188">
        <f>IF(IF(sym!$Q34=AW45,1,0)=1,ABS(BI45*BB45),-ABS(BI45*BB45))</f>
        <v>103.46978297156272</v>
      </c>
      <c r="BU45" s="188">
        <f t="shared" si="105"/>
        <v>103.46978297156272</v>
      </c>
      <c r="BV45" s="188">
        <f t="shared" si="106"/>
        <v>103.46978297156272</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118322.40000000001</v>
      </c>
      <c r="CS45" s="137">
        <f>VLOOKUP($A45,'FuturesInfo (3)'!$A$2:$O$80,15)*CQ45</f>
        <v>118322.40000000001</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247225</v>
      </c>
      <c r="BJ46" s="137">
        <f>VLOOKUP($A46,'FuturesInfo (3)'!$A$2:$O$80,15)*BH46</f>
        <v>370837.5</v>
      </c>
      <c r="BK46" s="188">
        <f t="shared" si="134"/>
        <v>3574.9156915915573</v>
      </c>
      <c r="BL46" s="188">
        <f t="shared" si="69"/>
        <v>3574.9156915915573</v>
      </c>
      <c r="BM46" s="188">
        <f t="shared" si="99"/>
        <v>-3574.9156915915573</v>
      </c>
      <c r="BN46" s="188">
        <f t="shared" si="100"/>
        <v>3574.9156915915573</v>
      </c>
      <c r="BO46" s="188">
        <f t="shared" si="101"/>
        <v>3574.9156915915573</v>
      </c>
      <c r="BP46" s="188">
        <f t="shared" si="131"/>
        <v>3574.9156915915573</v>
      </c>
      <c r="BQ46" s="188">
        <f t="shared" si="103"/>
        <v>-3574.9156915915573</v>
      </c>
      <c r="BR46" s="188">
        <f t="shared" si="127"/>
        <v>3574.9156915915573</v>
      </c>
      <c r="BS46" s="188">
        <f t="shared" si="104"/>
        <v>3574.9156915915573</v>
      </c>
      <c r="BT46" s="188">
        <f>IF(IF(sym!$Q35=AW46,1,0)=1,ABS(BI46*BB46),-ABS(BI46*BB46))</f>
        <v>-3574.9156915915573</v>
      </c>
      <c r="BU46" s="188">
        <f t="shared" si="105"/>
        <v>3574.9156915915573</v>
      </c>
      <c r="BV46" s="188">
        <f t="shared" si="106"/>
        <v>3574.9156915915573</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247225</v>
      </c>
      <c r="CS46" s="137">
        <f>VLOOKUP($A46,'FuturesInfo (3)'!$A$2:$O$80,15)*CQ46</f>
        <v>370837.5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105262.5</v>
      </c>
      <c r="BJ47" s="137">
        <f>VLOOKUP($A47,'FuturesInfo (3)'!$A$2:$O$80,15)*BH47</f>
        <v>157893.75</v>
      </c>
      <c r="BK47" s="188">
        <f t="shared" si="134"/>
        <v>-1614.3429766512299</v>
      </c>
      <c r="BL47" s="188">
        <f t="shared" si="69"/>
        <v>-1614.3429766512299</v>
      </c>
      <c r="BM47" s="188">
        <f t="shared" si="99"/>
        <v>1614.3429766512299</v>
      </c>
      <c r="BN47" s="188">
        <f t="shared" si="100"/>
        <v>-1614.3429766512299</v>
      </c>
      <c r="BO47" s="188">
        <f t="shared" si="101"/>
        <v>1614.3429766512299</v>
      </c>
      <c r="BP47" s="188">
        <f t="shared" si="131"/>
        <v>1614.3429766512299</v>
      </c>
      <c r="BQ47" s="188">
        <f t="shared" si="103"/>
        <v>1614.3429766512299</v>
      </c>
      <c r="BR47" s="188">
        <f t="shared" si="127"/>
        <v>-1614.3429766512299</v>
      </c>
      <c r="BS47" s="188">
        <f t="shared" si="104"/>
        <v>1614.3429766512299</v>
      </c>
      <c r="BT47" s="188">
        <f>IF(IF(sym!$Q36=AW47,1,0)=1,ABS(BI47*BB47),-ABS(BI47*BB47))</f>
        <v>-1614.3429766512299</v>
      </c>
      <c r="BU47" s="188">
        <f t="shared" si="105"/>
        <v>1614.3429766512299</v>
      </c>
      <c r="BV47" s="188">
        <f t="shared" si="106"/>
        <v>1614.3429766512299</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105262.5</v>
      </c>
      <c r="CS47" s="137">
        <f>VLOOKUP($A47,'FuturesInfo (3)'!$A$2:$O$80,15)*CQ47</f>
        <v>105262.5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83250</v>
      </c>
      <c r="BJ48" s="137">
        <f>VLOOKUP($A48,'FuturesInfo (3)'!$A$2:$O$80,15)*BH48</f>
        <v>104062.5</v>
      </c>
      <c r="BK48" s="188">
        <f t="shared" si="134"/>
        <v>559.40745265742248</v>
      </c>
      <c r="BL48" s="188">
        <f t="shared" si="69"/>
        <v>-559.40745265742248</v>
      </c>
      <c r="BM48" s="188">
        <f t="shared" si="99"/>
        <v>559.40745265742248</v>
      </c>
      <c r="BN48" s="188">
        <f t="shared" si="100"/>
        <v>-559.40745265742248</v>
      </c>
      <c r="BO48" s="188">
        <f t="shared" si="101"/>
        <v>559.40745265742248</v>
      </c>
      <c r="BP48" s="188">
        <f t="shared" si="131"/>
        <v>559.40745265742248</v>
      </c>
      <c r="BQ48" s="188">
        <f t="shared" si="103"/>
        <v>559.40745265742248</v>
      </c>
      <c r="BR48" s="188">
        <f t="shared" si="127"/>
        <v>559.40745265742248</v>
      </c>
      <c r="BS48" s="188">
        <f t="shared" si="104"/>
        <v>-559.40745265742248</v>
      </c>
      <c r="BT48" s="188">
        <f>IF(IF(sym!$Q37=AW48,1,0)=1,ABS(BI48*BB48),-ABS(BI48*BB48))</f>
        <v>-559.40745265742248</v>
      </c>
      <c r="BU48" s="188">
        <f t="shared" si="105"/>
        <v>-559.40745265742248</v>
      </c>
      <c r="BV48" s="188">
        <f t="shared" si="106"/>
        <v>559.40745265742248</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83250</v>
      </c>
      <c r="CS48" s="137">
        <f>VLOOKUP($A48,'FuturesInfo (3)'!$A$2:$O$80,15)*CQ48</f>
        <v>104062.5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0</v>
      </c>
      <c r="X49">
        <f t="shared" si="78"/>
        <v>1</v>
      </c>
      <c r="Y49">
        <f t="shared" si="79"/>
        <v>0</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0</v>
      </c>
      <c r="BG49">
        <f t="shared" si="96"/>
        <v>1</v>
      </c>
      <c r="BH49">
        <f t="shared" si="97"/>
        <v>0</v>
      </c>
      <c r="BI49" s="137">
        <f>VLOOKUP($A49,'FuturesInfo (3)'!$A$2:$O$80,15)*BF49</f>
        <v>0</v>
      </c>
      <c r="BJ49" s="137">
        <f>VLOOKUP($A49,'FuturesInfo (3)'!$A$2:$O$80,15)*BH49</f>
        <v>0</v>
      </c>
      <c r="BK49" s="188">
        <f t="shared" si="134"/>
        <v>0</v>
      </c>
      <c r="BL49" s="188">
        <f t="shared" si="69"/>
        <v>0</v>
      </c>
      <c r="BM49" s="188">
        <f t="shared" si="99"/>
        <v>0</v>
      </c>
      <c r="BN49" s="188">
        <f t="shared" si="100"/>
        <v>0</v>
      </c>
      <c r="BO49" s="188">
        <f t="shared" si="101"/>
        <v>0</v>
      </c>
      <c r="BP49" s="188">
        <f t="shared" si="131"/>
        <v>0</v>
      </c>
      <c r="BQ49" s="188">
        <f t="shared" si="103"/>
        <v>0</v>
      </c>
      <c r="BR49" s="188">
        <f t="shared" si="127"/>
        <v>0</v>
      </c>
      <c r="BS49" s="188">
        <f t="shared" si="104"/>
        <v>0</v>
      </c>
      <c r="BT49" s="188">
        <f>IF(IF(sym!$Q38=AW49,1,0)=1,ABS(BI49*BB49),-ABS(BI49*BB49))</f>
        <v>0</v>
      </c>
      <c r="BU49" s="188">
        <f t="shared" si="105"/>
        <v>0</v>
      </c>
      <c r="BV49" s="188">
        <f t="shared" si="106"/>
        <v>0</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0</v>
      </c>
      <c r="CP49">
        <f t="shared" si="113"/>
        <v>-1</v>
      </c>
      <c r="CQ49">
        <f t="shared" si="114"/>
        <v>0</v>
      </c>
      <c r="CR49" s="137">
        <f>VLOOKUP($A49,'FuturesInfo (3)'!$A$2:$O$80,15)*CO49</f>
        <v>0</v>
      </c>
      <c r="CS49" s="137">
        <f>VLOOKUP($A49,'FuturesInfo (3)'!$A$2:$O$80,15)*CQ49</f>
        <v>0</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137430</v>
      </c>
      <c r="BJ50" s="137">
        <f>VLOOKUP($A50,'FuturesInfo (3)'!$A$2:$O$80,15)*BH50</f>
        <v>91620</v>
      </c>
      <c r="BK50" s="188">
        <f t="shared" si="134"/>
        <v>602.36686390556872</v>
      </c>
      <c r="BL50" s="188">
        <f t="shared" si="69"/>
        <v>-602.36686390556872</v>
      </c>
      <c r="BM50" s="188">
        <f t="shared" si="99"/>
        <v>602.36686390556872</v>
      </c>
      <c r="BN50" s="188">
        <f t="shared" si="100"/>
        <v>-602.36686390556872</v>
      </c>
      <c r="BO50" s="188">
        <f t="shared" si="101"/>
        <v>-602.36686390556872</v>
      </c>
      <c r="BP50" s="188">
        <f t="shared" si="131"/>
        <v>-602.36686390556872</v>
      </c>
      <c r="BQ50" s="188">
        <f t="shared" si="103"/>
        <v>-602.36686390556872</v>
      </c>
      <c r="BR50" s="188">
        <f t="shared" si="127"/>
        <v>602.36686390556872</v>
      </c>
      <c r="BS50" s="188">
        <f t="shared" si="104"/>
        <v>-602.36686390556872</v>
      </c>
      <c r="BT50" s="188">
        <f>IF(IF(sym!$Q39=AW50,1,0)=1,ABS(BI50*BB50),-ABS(BI50*BB50))</f>
        <v>602.36686390556872</v>
      </c>
      <c r="BU50" s="188">
        <f t="shared" si="105"/>
        <v>-602.36686390556872</v>
      </c>
      <c r="BV50" s="188">
        <f t="shared" si="106"/>
        <v>602.36686390556872</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137430</v>
      </c>
      <c r="CS50" s="137">
        <f>VLOOKUP($A50,'FuturesInfo (3)'!$A$2:$O$80,15)*CQ50</f>
        <v>183240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95420</v>
      </c>
      <c r="BJ51" s="137">
        <f>VLOOKUP($A51,'FuturesInfo (3)'!$A$2:$O$80,15)*BH51</f>
        <v>95420</v>
      </c>
      <c r="BK51" s="188">
        <f t="shared" si="134"/>
        <v>839.5369298447248</v>
      </c>
      <c r="BL51" s="188">
        <f t="shared" si="69"/>
        <v>839.5369298447248</v>
      </c>
      <c r="BM51" s="188">
        <f t="shared" si="99"/>
        <v>839.5369298447248</v>
      </c>
      <c r="BN51" s="188">
        <f t="shared" si="100"/>
        <v>839.5369298447248</v>
      </c>
      <c r="BO51" s="188">
        <f t="shared" si="101"/>
        <v>-839.5369298447248</v>
      </c>
      <c r="BP51" s="188">
        <f t="shared" si="131"/>
        <v>839.5369298447248</v>
      </c>
      <c r="BQ51" s="188">
        <f t="shared" si="103"/>
        <v>-839.5369298447248</v>
      </c>
      <c r="BR51" s="188">
        <f t="shared" si="127"/>
        <v>839.5369298447248</v>
      </c>
      <c r="BS51" s="188">
        <f t="shared" si="104"/>
        <v>-839.5369298447248</v>
      </c>
      <c r="BT51" s="188">
        <f>IF(IF(sym!$Q40=AW51,1,0)=1,ABS(BI51*BB51),-ABS(BI51*BB51))</f>
        <v>-839.5369298447248</v>
      </c>
      <c r="BU51" s="188">
        <f t="shared" si="105"/>
        <v>-839.5369298447248</v>
      </c>
      <c r="BV51" s="188">
        <f t="shared" si="106"/>
        <v>839.5369298447248</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95420</v>
      </c>
      <c r="CS51" s="137">
        <f>VLOOKUP($A51,'FuturesInfo (3)'!$A$2:$O$80,15)*CQ51</f>
        <v>143130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81900</v>
      </c>
      <c r="BJ52" s="137">
        <f>VLOOKUP($A52,'FuturesInfo (3)'!$A$2:$O$80,15)*BH52</f>
        <v>122850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81900</v>
      </c>
      <c r="CS52" s="137">
        <f>VLOOKUP($A52,'FuturesInfo (3)'!$A$2:$O$80,15)*CQ52</f>
        <v>81900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3</v>
      </c>
      <c r="X53">
        <f t="shared" si="78"/>
        <v>1</v>
      </c>
      <c r="Y53">
        <f t="shared" si="79"/>
        <v>3</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3</v>
      </c>
      <c r="BG53">
        <f t="shared" si="96"/>
        <v>-1</v>
      </c>
      <c r="BH53">
        <f t="shared" si="97"/>
        <v>2</v>
      </c>
      <c r="BI53" s="137">
        <f>VLOOKUP($A53,'FuturesInfo (3)'!$A$2:$O$80,15)*BF53</f>
        <v>72000</v>
      </c>
      <c r="BJ53" s="137">
        <f>VLOOKUP($A53,'FuturesInfo (3)'!$A$2:$O$80,15)*BH53</f>
        <v>48000</v>
      </c>
      <c r="BK53" s="188">
        <f t="shared" si="134"/>
        <v>-89.108910891359997</v>
      </c>
      <c r="BL53" s="188">
        <f t="shared" si="69"/>
        <v>89.108910891359997</v>
      </c>
      <c r="BM53" s="188">
        <f t="shared" si="99"/>
        <v>-89.108910891359997</v>
      </c>
      <c r="BN53" s="188">
        <f t="shared" si="100"/>
        <v>89.108910891359997</v>
      </c>
      <c r="BO53" s="188">
        <f t="shared" si="101"/>
        <v>-89.108910891359997</v>
      </c>
      <c r="BP53" s="188">
        <f t="shared" si="131"/>
        <v>-89.108910891359997</v>
      </c>
      <c r="BQ53" s="188">
        <f t="shared" si="103"/>
        <v>-89.108910891359997</v>
      </c>
      <c r="BR53" s="188">
        <f t="shared" si="127"/>
        <v>-89.108910891359997</v>
      </c>
      <c r="BS53" s="188">
        <f t="shared" si="104"/>
        <v>89.108910891359997</v>
      </c>
      <c r="BT53" s="188">
        <f>IF(IF(sym!$Q42=AW53,1,0)=1,ABS(BI53*BB53),-ABS(BI53*BB53))</f>
        <v>-89.108910891359997</v>
      </c>
      <c r="BU53" s="188">
        <f t="shared" si="105"/>
        <v>89.108910891359997</v>
      </c>
      <c r="BV53" s="188">
        <f t="shared" si="106"/>
        <v>89.108910891359997</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3</v>
      </c>
      <c r="CP53">
        <f t="shared" si="113"/>
        <v>1</v>
      </c>
      <c r="CQ53">
        <f t="shared" si="114"/>
        <v>4</v>
      </c>
      <c r="CR53" s="137">
        <f>VLOOKUP($A53,'FuturesInfo (3)'!$A$2:$O$80,15)*CO53</f>
        <v>72000</v>
      </c>
      <c r="CS53" s="137">
        <f>VLOOKUP($A53,'FuturesInfo (3)'!$A$2:$O$80,15)*CQ53</f>
        <v>96000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10</v>
      </c>
      <c r="X54">
        <f t="shared" si="78"/>
        <v>1</v>
      </c>
      <c r="Y54">
        <f t="shared" si="79"/>
        <v>10</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10</v>
      </c>
      <c r="BG54">
        <f t="shared" si="96"/>
        <v>1</v>
      </c>
      <c r="BH54">
        <f t="shared" si="97"/>
        <v>13</v>
      </c>
      <c r="BI54" s="137">
        <f>VLOOKUP($A54,'FuturesInfo (3)'!$A$2:$O$80,15)*BF54</f>
        <v>180300</v>
      </c>
      <c r="BJ54" s="137">
        <f>VLOOKUP($A54,'FuturesInfo (3)'!$A$2:$O$80,15)*BH54</f>
        <v>234390</v>
      </c>
      <c r="BK54" s="188">
        <f t="shared" si="134"/>
        <v>793.39933993320005</v>
      </c>
      <c r="BL54" s="188">
        <f t="shared" si="69"/>
        <v>793.39933993320005</v>
      </c>
      <c r="BM54" s="188">
        <f t="shared" si="99"/>
        <v>-793.39933993320005</v>
      </c>
      <c r="BN54" s="188">
        <f t="shared" si="100"/>
        <v>793.39933993320005</v>
      </c>
      <c r="BO54" s="188">
        <f t="shared" si="101"/>
        <v>-793.39933993320005</v>
      </c>
      <c r="BP54" s="188">
        <f t="shared" si="131"/>
        <v>-793.39933993320005</v>
      </c>
      <c r="BQ54" s="188">
        <f t="shared" si="103"/>
        <v>-793.39933993320005</v>
      </c>
      <c r="BR54" s="188">
        <f t="shared" si="127"/>
        <v>793.39933993320005</v>
      </c>
      <c r="BS54" s="188">
        <f t="shared" si="104"/>
        <v>-793.39933993320005</v>
      </c>
      <c r="BT54" s="188">
        <f>IF(IF(sym!$Q43=AW54,1,0)=1,ABS(BI54*BB54),-ABS(BI54*BB54))</f>
        <v>793.39933993320005</v>
      </c>
      <c r="BU54" s="188">
        <f t="shared" si="105"/>
        <v>-793.39933993320005</v>
      </c>
      <c r="BV54" s="188">
        <f t="shared" si="106"/>
        <v>793.39933993320005</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10</v>
      </c>
      <c r="CP54">
        <f t="shared" si="113"/>
        <v>1</v>
      </c>
      <c r="CQ54">
        <f t="shared" si="114"/>
        <v>13</v>
      </c>
      <c r="CR54" s="137">
        <f>VLOOKUP($A54,'FuturesInfo (3)'!$A$2:$O$80,15)*CO54</f>
        <v>180300</v>
      </c>
      <c r="CS54" s="137">
        <f>VLOOKUP($A54,'FuturesInfo (3)'!$A$2:$O$80,15)*CQ54</f>
        <v>234390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106820</v>
      </c>
      <c r="BJ55" s="137">
        <f>VLOOKUP($A55,'FuturesInfo (3)'!$A$2:$O$80,15)*BH55</f>
        <v>80115</v>
      </c>
      <c r="BK55" s="188">
        <f t="shared" si="134"/>
        <v>-1579.6312656005421</v>
      </c>
      <c r="BL55" s="188">
        <f t="shared" si="69"/>
        <v>-1579.6312656005421</v>
      </c>
      <c r="BM55" s="188">
        <f t="shared" si="99"/>
        <v>-1579.6312656005421</v>
      </c>
      <c r="BN55" s="188">
        <f t="shared" si="100"/>
        <v>-1579.6312656005421</v>
      </c>
      <c r="BO55" s="188">
        <f t="shared" si="101"/>
        <v>1579.6312656005421</v>
      </c>
      <c r="BP55" s="188">
        <f t="shared" si="131"/>
        <v>-1579.6312656005421</v>
      </c>
      <c r="BQ55" s="188">
        <f t="shared" si="103"/>
        <v>1579.6312656005421</v>
      </c>
      <c r="BR55" s="188">
        <f t="shared" si="127"/>
        <v>-1579.6312656005421</v>
      </c>
      <c r="BS55" s="188">
        <f t="shared" si="104"/>
        <v>1579.6312656005421</v>
      </c>
      <c r="BT55" s="188">
        <f>IF(IF(sym!$Q44=AW55,1,0)=1,ABS(BI55*BB55),-ABS(BI55*BB55))</f>
        <v>1579.6312656005421</v>
      </c>
      <c r="BU55" s="188">
        <f t="shared" si="105"/>
        <v>1579.6312656005421</v>
      </c>
      <c r="BV55" s="188">
        <f t="shared" si="106"/>
        <v>1579.6312656005421</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106820</v>
      </c>
      <c r="CS55" s="137">
        <f>VLOOKUP($A55,'FuturesInfo (3)'!$A$2:$O$80,15)*CQ55</f>
        <v>133525</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182420</v>
      </c>
      <c r="BJ56" s="137">
        <f>VLOOKUP($A56,'FuturesInfo (3)'!$A$2:$O$80,15)*BH56</f>
        <v>228025</v>
      </c>
      <c r="BK56" s="188">
        <f t="shared" si="134"/>
        <v>1244.9044585991776</v>
      </c>
      <c r="BL56" s="188">
        <f t="shared" si="69"/>
        <v>-1244.9044585991776</v>
      </c>
      <c r="BM56" s="188">
        <f t="shared" si="99"/>
        <v>1244.9044585991776</v>
      </c>
      <c r="BN56" s="188">
        <f t="shared" si="100"/>
        <v>-1244.9044585991776</v>
      </c>
      <c r="BO56" s="188">
        <f t="shared" si="101"/>
        <v>1244.9044585991776</v>
      </c>
      <c r="BP56" s="188">
        <f t="shared" si="131"/>
        <v>1244.9044585991776</v>
      </c>
      <c r="BQ56" s="188">
        <f t="shared" si="103"/>
        <v>1244.9044585991776</v>
      </c>
      <c r="BR56" s="188">
        <f t="shared" si="127"/>
        <v>-1244.9044585991776</v>
      </c>
      <c r="BS56" s="188">
        <f t="shared" si="104"/>
        <v>1244.9044585991776</v>
      </c>
      <c r="BT56" s="188">
        <f>IF(IF(sym!$Q45=AW56,1,0)=1,ABS(BI56*BB56),-ABS(BI56*BB56))</f>
        <v>-1244.9044585991776</v>
      </c>
      <c r="BU56" s="188">
        <f t="shared" si="105"/>
        <v>1244.9044585991776</v>
      </c>
      <c r="BV56" s="188">
        <f t="shared" si="106"/>
        <v>1244.9044585991776</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182420</v>
      </c>
      <c r="CS56" s="137">
        <f>VLOOKUP($A56,'FuturesInfo (3)'!$A$2:$O$80,15)*CQ56</f>
        <v>136815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194588.52</v>
      </c>
      <c r="BJ57" s="137">
        <f>VLOOKUP($A57,'FuturesInfo (3)'!$A$2:$O$80,15)*BH57</f>
        <v>291882.77999999997</v>
      </c>
      <c r="BK57" s="188">
        <f t="shared" si="134"/>
        <v>-5573.6272618986759</v>
      </c>
      <c r="BL57" s="188">
        <f t="shared" si="69"/>
        <v>-5573.6272618986759</v>
      </c>
      <c r="BM57" s="188">
        <f t="shared" si="99"/>
        <v>5573.6272618986759</v>
      </c>
      <c r="BN57" s="188">
        <f t="shared" si="100"/>
        <v>5573.6272618986759</v>
      </c>
      <c r="BO57" s="188">
        <f t="shared" si="101"/>
        <v>-5573.6272618986759</v>
      </c>
      <c r="BP57" s="188">
        <f t="shared" si="131"/>
        <v>-5573.6272618986759</v>
      </c>
      <c r="BQ57" s="188">
        <f t="shared" si="103"/>
        <v>5573.6272618986759</v>
      </c>
      <c r="BR57" s="188">
        <f t="shared" si="127"/>
        <v>-5573.6272618986759</v>
      </c>
      <c r="BS57" s="188">
        <f t="shared" si="104"/>
        <v>-5573.6272618986759</v>
      </c>
      <c r="BT57" s="188">
        <f>IF(IF(sym!$Q46=AW57,1,0)=1,ABS(BI57*BB57),-ABS(BI57*BB57))</f>
        <v>-5573.6272618986759</v>
      </c>
      <c r="BU57" s="188">
        <f t="shared" si="105"/>
        <v>-5573.6272618986759</v>
      </c>
      <c r="BV57" s="188">
        <f t="shared" si="106"/>
        <v>5573.6272618986759</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194588.52</v>
      </c>
      <c r="CS57" s="137">
        <f>VLOOKUP($A57,'FuturesInfo (3)'!$A$2:$O$80,15)*CQ57</f>
        <v>194588.52</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218480</v>
      </c>
      <c r="BJ58" s="137">
        <f>VLOOKUP($A58,'FuturesInfo (3)'!$A$2:$O$80,15)*BH58</f>
        <v>163860</v>
      </c>
      <c r="BK58" s="188">
        <f t="shared" si="134"/>
        <v>1158.3866691904568</v>
      </c>
      <c r="BL58" s="188">
        <f t="shared" si="69"/>
        <v>1158.3866691904568</v>
      </c>
      <c r="BM58" s="188">
        <f t="shared" si="99"/>
        <v>1158.3866691904568</v>
      </c>
      <c r="BN58" s="188">
        <f t="shared" si="100"/>
        <v>1158.3866691904568</v>
      </c>
      <c r="BO58" s="188">
        <f t="shared" si="101"/>
        <v>1158.3866691904568</v>
      </c>
      <c r="BP58" s="188">
        <f t="shared" si="131"/>
        <v>1158.3866691904568</v>
      </c>
      <c r="BQ58" s="188">
        <f t="shared" si="103"/>
        <v>1158.3866691904568</v>
      </c>
      <c r="BR58" s="188">
        <f t="shared" si="127"/>
        <v>1158.3866691904568</v>
      </c>
      <c r="BS58" s="188">
        <f t="shared" si="104"/>
        <v>-1158.3866691904568</v>
      </c>
      <c r="BT58" s="188">
        <f>IF(IF(sym!$Q47=AW58,1,0)=1,ABS(BI58*BB58),-ABS(BI58*BB58))</f>
        <v>-1158.3866691904568</v>
      </c>
      <c r="BU58" s="188">
        <f t="shared" si="105"/>
        <v>1158.3866691904568</v>
      </c>
      <c r="BV58" s="188">
        <f t="shared" si="106"/>
        <v>1158.3866691904568</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218480</v>
      </c>
      <c r="CS58" s="137">
        <f>VLOOKUP($A58,'FuturesInfo (3)'!$A$2:$O$80,15)*CQ58</f>
        <v>273100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128437.5</v>
      </c>
      <c r="BJ59" s="137">
        <f>VLOOKUP($A59,'FuturesInfo (3)'!$A$2:$O$80,15)*BH59</f>
        <v>102750</v>
      </c>
      <c r="BK59" s="188">
        <f t="shared" si="134"/>
        <v>-463.67328519867186</v>
      </c>
      <c r="BL59" s="188">
        <f t="shared" si="69"/>
        <v>-463.67328519867186</v>
      </c>
      <c r="BM59" s="188">
        <f t="shared" si="99"/>
        <v>-463.67328519867186</v>
      </c>
      <c r="BN59" s="188">
        <f t="shared" si="100"/>
        <v>-463.67328519867186</v>
      </c>
      <c r="BO59" s="188">
        <f t="shared" si="101"/>
        <v>-463.67328519867186</v>
      </c>
      <c r="BP59" s="188">
        <f t="shared" si="131"/>
        <v>-463.67328519867186</v>
      </c>
      <c r="BQ59" s="188">
        <f t="shared" si="103"/>
        <v>-463.67328519867186</v>
      </c>
      <c r="BR59" s="188">
        <f t="shared" si="127"/>
        <v>-463.67328519867186</v>
      </c>
      <c r="BS59" s="188">
        <f t="shared" si="104"/>
        <v>463.67328519867186</v>
      </c>
      <c r="BT59" s="188">
        <f>IF(IF(sym!$Q48=AW59,1,0)=1,ABS(BI59*BB59),-ABS(BI59*BB59))</f>
        <v>463.67328519867186</v>
      </c>
      <c r="BU59" s="188">
        <f t="shared" si="105"/>
        <v>-463.67328519867186</v>
      </c>
      <c r="BV59" s="188">
        <f t="shared" si="106"/>
        <v>463.67328519867186</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128437.5</v>
      </c>
      <c r="CS59" s="137">
        <f>VLOOKUP($A59,'FuturesInfo (3)'!$A$2:$O$80,15)*CQ59</f>
        <v>102750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215550</v>
      </c>
      <c r="BJ60" s="137">
        <f>VLOOKUP($A60,'FuturesInfo (3)'!$A$2:$O$80,15)*BH60</f>
        <v>143700</v>
      </c>
      <c r="BK60" s="188">
        <f t="shared" si="134"/>
        <v>-1231.371046397745</v>
      </c>
      <c r="BL60" s="188">
        <f t="shared" si="69"/>
        <v>-1231.371046397745</v>
      </c>
      <c r="BM60" s="188">
        <f t="shared" si="99"/>
        <v>-1231.371046397745</v>
      </c>
      <c r="BN60" s="188">
        <f t="shared" si="100"/>
        <v>-1231.371046397745</v>
      </c>
      <c r="BO60" s="188">
        <f t="shared" si="101"/>
        <v>1231.371046397745</v>
      </c>
      <c r="BP60" s="188">
        <f t="shared" si="131"/>
        <v>1231.371046397745</v>
      </c>
      <c r="BQ60" s="188">
        <f t="shared" si="103"/>
        <v>1231.371046397745</v>
      </c>
      <c r="BR60" s="188">
        <f t="shared" si="127"/>
        <v>-1231.371046397745</v>
      </c>
      <c r="BS60" s="188">
        <f t="shared" si="104"/>
        <v>1231.371046397745</v>
      </c>
      <c r="BT60" s="188">
        <f>IF(IF(sym!$Q49=AW60,1,0)=1,ABS(BI60*BB60),-ABS(BI60*BB60))</f>
        <v>1231.371046397745</v>
      </c>
      <c r="BU60" s="188">
        <f t="shared" si="105"/>
        <v>1231.371046397745</v>
      </c>
      <c r="BV60" s="188">
        <f t="shared" si="106"/>
        <v>1231.371046397745</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215550</v>
      </c>
      <c r="CS60" s="137">
        <f>VLOOKUP($A60,'FuturesInfo (3)'!$A$2:$O$80,15)*CQ60</f>
        <v>287400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78780</v>
      </c>
      <c r="BJ61" s="137">
        <f>VLOOKUP($A61,'FuturesInfo (3)'!$A$2:$O$80,15)*BH61</f>
        <v>105040</v>
      </c>
      <c r="BK61" s="188">
        <f t="shared" si="134"/>
        <v>-1080.3464453297099</v>
      </c>
      <c r="BL61" s="188">
        <f t="shared" si="69"/>
        <v>-1080.3464453297099</v>
      </c>
      <c r="BM61" s="188">
        <f t="shared" si="99"/>
        <v>1080.3464453297099</v>
      </c>
      <c r="BN61" s="188">
        <f t="shared" si="100"/>
        <v>1080.3464453297099</v>
      </c>
      <c r="BO61" s="188">
        <f t="shared" si="101"/>
        <v>-1080.3464453297099</v>
      </c>
      <c r="BP61" s="188">
        <f t="shared" si="131"/>
        <v>-1080.3464453297099</v>
      </c>
      <c r="BQ61" s="188">
        <f t="shared" si="103"/>
        <v>1080.3464453297099</v>
      </c>
      <c r="BR61" s="188">
        <f t="shared" si="127"/>
        <v>-1080.3464453297099</v>
      </c>
      <c r="BS61" s="188">
        <f t="shared" si="104"/>
        <v>-1080.3464453297099</v>
      </c>
      <c r="BT61" s="188">
        <f>IF(IF(sym!$Q50=AW61,1,0)=1,ABS(BI61*BB61),-ABS(BI61*BB61))</f>
        <v>-1080.3464453297099</v>
      </c>
      <c r="BU61" s="188">
        <f t="shared" si="105"/>
        <v>-1080.3464453297099</v>
      </c>
      <c r="BV61" s="188">
        <f t="shared" si="106"/>
        <v>1080.3464453297099</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78780</v>
      </c>
      <c r="CS61" s="137">
        <f>VLOOKUP($A61,'FuturesInfo (3)'!$A$2:$O$80,15)*CQ61</f>
        <v>105040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166057.49283809148</v>
      </c>
      <c r="BJ62" s="137">
        <f>VLOOKUP($A62,'FuturesInfo (3)'!$A$2:$O$80,15)*BH62</f>
        <v>166057.49283809148</v>
      </c>
      <c r="BK62" s="188">
        <f t="shared" si="134"/>
        <v>-3583.6115475760648</v>
      </c>
      <c r="BL62" s="188">
        <f t="shared" si="69"/>
        <v>3583.6115475760648</v>
      </c>
      <c r="BM62" s="188">
        <f t="shared" si="99"/>
        <v>-3583.6115475760648</v>
      </c>
      <c r="BN62" s="188">
        <f t="shared" si="100"/>
        <v>3583.6115475760648</v>
      </c>
      <c r="BO62" s="188">
        <f t="shared" si="101"/>
        <v>-3583.6115475760648</v>
      </c>
      <c r="BP62" s="188">
        <f t="shared" si="131"/>
        <v>-3583.6115475760648</v>
      </c>
      <c r="BQ62" s="188">
        <f t="shared" si="103"/>
        <v>-3583.6115475760648</v>
      </c>
      <c r="BR62" s="188">
        <f t="shared" si="127"/>
        <v>3583.6115475760648</v>
      </c>
      <c r="BS62" s="188">
        <f t="shared" si="104"/>
        <v>-3583.6115475760648</v>
      </c>
      <c r="BT62" s="188">
        <f>IF(IF(sym!$Q51=AW62,1,0)=1,ABS(BI62*BB62),-ABS(BI62*BB62))</f>
        <v>-3583.6115475760648</v>
      </c>
      <c r="BU62" s="188">
        <f t="shared" si="105"/>
        <v>-3583.6115475760648</v>
      </c>
      <c r="BV62" s="188">
        <f t="shared" si="106"/>
        <v>3583.6115475760648</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166057.49283809148</v>
      </c>
      <c r="CS62" s="137">
        <f>VLOOKUP($A62,'FuturesInfo (3)'!$A$2:$O$80,15)*CQ62</f>
        <v>166057.49283809148</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288255</v>
      </c>
      <c r="BJ63" s="137">
        <f>VLOOKUP($A63,'FuturesInfo (3)'!$A$2:$O$80,15)*BH63</f>
        <v>192170</v>
      </c>
      <c r="BK63" s="188">
        <f t="shared" si="134"/>
        <v>-1837.8572557700752</v>
      </c>
      <c r="BL63" s="188">
        <f t="shared" si="69"/>
        <v>1837.8572557700752</v>
      </c>
      <c r="BM63" s="188">
        <f t="shared" si="99"/>
        <v>-1837.8572557700752</v>
      </c>
      <c r="BN63" s="188">
        <f t="shared" si="100"/>
        <v>1837.8572557700752</v>
      </c>
      <c r="BO63" s="188">
        <f t="shared" si="101"/>
        <v>1837.8572557700752</v>
      </c>
      <c r="BP63" s="188">
        <f t="shared" si="131"/>
        <v>-1837.8572557700752</v>
      </c>
      <c r="BQ63" s="188">
        <f t="shared" si="103"/>
        <v>1837.8572557700752</v>
      </c>
      <c r="BR63" s="188">
        <f t="shared" si="127"/>
        <v>-1837.8572557700752</v>
      </c>
      <c r="BS63" s="188">
        <f t="shared" si="104"/>
        <v>1837.8572557700752</v>
      </c>
      <c r="BT63" s="188">
        <f>IF(IF(sym!$Q52=AW63,1,0)=1,ABS(BI63*BB63),-ABS(BI63*BB63))</f>
        <v>-1837.8572557700752</v>
      </c>
      <c r="BU63" s="188">
        <f t="shared" si="105"/>
        <v>1837.8572557700752</v>
      </c>
      <c r="BV63" s="188">
        <f t="shared" si="106"/>
        <v>1837.8572557700752</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288255</v>
      </c>
      <c r="CS63" s="137">
        <f>VLOOKUP($A63,'FuturesInfo (3)'!$A$2:$O$80,15)*CQ63</f>
        <v>384340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81562.5</v>
      </c>
      <c r="BJ64" s="137">
        <f>VLOOKUP($A64,'FuturesInfo (3)'!$A$2:$O$80,15)*BH64</f>
        <v>99687.5</v>
      </c>
      <c r="BK64" s="188">
        <f t="shared" si="134"/>
        <v>-2787.5791139262187</v>
      </c>
      <c r="BL64" s="188">
        <f t="shared" si="69"/>
        <v>-2787.5791139262187</v>
      </c>
      <c r="BM64" s="188">
        <f t="shared" si="99"/>
        <v>2787.5791139262187</v>
      </c>
      <c r="BN64" s="188">
        <f t="shared" si="100"/>
        <v>2787.5791139262187</v>
      </c>
      <c r="BO64" s="188">
        <f t="shared" si="101"/>
        <v>-2787.5791139262187</v>
      </c>
      <c r="BP64" s="188">
        <f t="shared" si="131"/>
        <v>-2787.5791139262187</v>
      </c>
      <c r="BQ64" s="188">
        <f t="shared" si="103"/>
        <v>-2787.5791139262187</v>
      </c>
      <c r="BR64" s="188">
        <f t="shared" si="127"/>
        <v>2787.5791139262187</v>
      </c>
      <c r="BS64" s="188">
        <f t="shared" si="104"/>
        <v>-2787.5791139262187</v>
      </c>
      <c r="BT64" s="188">
        <f>IF(IF(sym!$Q53=AW64,1,0)=1,ABS(BI64*BB64),-ABS(BI64*BB64))</f>
        <v>-2787.5791139262187</v>
      </c>
      <c r="BU64" s="188">
        <f t="shared" si="105"/>
        <v>-2787.5791139262187</v>
      </c>
      <c r="BV64" s="188">
        <f t="shared" si="106"/>
        <v>2787.5791139262187</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81562.5</v>
      </c>
      <c r="CS64" s="137">
        <f>VLOOKUP($A64,'FuturesInfo (3)'!$A$2:$O$80,15)*CQ64</f>
        <v>63437.5</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54285</v>
      </c>
      <c r="BJ65" s="137">
        <f>VLOOKUP($A65,'FuturesInfo (3)'!$A$2:$O$80,15)*BH65</f>
        <v>54285</v>
      </c>
      <c r="BK65" s="188">
        <f t="shared" si="134"/>
        <v>3001.6588332879223</v>
      </c>
      <c r="BL65" s="188">
        <f t="shared" si="69"/>
        <v>3001.6588332879223</v>
      </c>
      <c r="BM65" s="188">
        <f t="shared" si="99"/>
        <v>-3001.6588332879223</v>
      </c>
      <c r="BN65" s="188">
        <f t="shared" si="100"/>
        <v>3001.6588332879223</v>
      </c>
      <c r="BO65" s="188">
        <f t="shared" si="101"/>
        <v>3001.6588332879223</v>
      </c>
      <c r="BP65" s="188">
        <f t="shared" si="131"/>
        <v>-3001.6588332879223</v>
      </c>
      <c r="BQ65" s="188">
        <f t="shared" si="103"/>
        <v>3001.6588332879223</v>
      </c>
      <c r="BR65" s="188">
        <f t="shared" si="127"/>
        <v>-3001.6588332879223</v>
      </c>
      <c r="BS65" s="188">
        <f t="shared" si="104"/>
        <v>3001.6588332879223</v>
      </c>
      <c r="BT65" s="188">
        <f>IF(IF(sym!$Q54=AW65,1,0)=1,ABS(BI65*BB65),-ABS(BI65*BB65))</f>
        <v>-3001.6588332879223</v>
      </c>
      <c r="BU65" s="188">
        <f t="shared" si="105"/>
        <v>3001.6588332879223</v>
      </c>
      <c r="BV65" s="188">
        <f t="shared" si="106"/>
        <v>3001.6588332879223</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54285</v>
      </c>
      <c r="CS65" s="137">
        <f>VLOOKUP($A65,'FuturesInfo (3)'!$A$2:$O$80,15)*CQ65</f>
        <v>54285</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138160</v>
      </c>
      <c r="BJ66" s="137">
        <f>VLOOKUP($A66,'FuturesInfo (3)'!$A$2:$O$80,15)*BH66</f>
        <v>138160</v>
      </c>
      <c r="BK66" s="188">
        <f t="shared" si="134"/>
        <v>279.69563699782316</v>
      </c>
      <c r="BL66" s="188">
        <f t="shared" si="69"/>
        <v>-279.69563699782316</v>
      </c>
      <c r="BM66" s="188">
        <f t="shared" si="99"/>
        <v>279.69563699782316</v>
      </c>
      <c r="BN66" s="188">
        <f t="shared" si="100"/>
        <v>-279.69563699782316</v>
      </c>
      <c r="BO66" s="188">
        <f t="shared" si="101"/>
        <v>-279.69563699782316</v>
      </c>
      <c r="BP66" s="188">
        <f t="shared" si="131"/>
        <v>-279.69563699782316</v>
      </c>
      <c r="BQ66" s="188">
        <f t="shared" si="103"/>
        <v>-279.69563699782316</v>
      </c>
      <c r="BR66" s="188">
        <f t="shared" si="127"/>
        <v>279.69563699782316</v>
      </c>
      <c r="BS66" s="188">
        <f t="shared" si="104"/>
        <v>-279.69563699782316</v>
      </c>
      <c r="BT66" s="188">
        <f>IF(IF(sym!$Q55=AW66,1,0)=1,ABS(BI66*BB66),-ABS(BI66*BB66))</f>
        <v>279.69563699782316</v>
      </c>
      <c r="BU66" s="188">
        <f t="shared" si="105"/>
        <v>-279.69563699782316</v>
      </c>
      <c r="BV66" s="188">
        <f t="shared" si="106"/>
        <v>279.69563699782316</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138160</v>
      </c>
      <c r="CS66" s="137">
        <f>VLOOKUP($A66,'FuturesInfo (3)'!$A$2:$O$80,15)*CQ66</f>
        <v>207240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112930</v>
      </c>
      <c r="BJ67" s="137">
        <f>VLOOKUP($A67,'FuturesInfo (3)'!$A$2:$O$80,15)*BH67</f>
        <v>112930</v>
      </c>
      <c r="BK67" s="188">
        <f t="shared" si="134"/>
        <v>854.2800653314132</v>
      </c>
      <c r="BL67" s="188">
        <f t="shared" si="69"/>
        <v>-854.2800653314132</v>
      </c>
      <c r="BM67" s="188">
        <f t="shared" si="99"/>
        <v>854.2800653314132</v>
      </c>
      <c r="BN67" s="188">
        <f t="shared" si="100"/>
        <v>-854.2800653314132</v>
      </c>
      <c r="BO67" s="188">
        <f t="shared" si="101"/>
        <v>-854.2800653314132</v>
      </c>
      <c r="BP67" s="188">
        <f t="shared" si="131"/>
        <v>-854.2800653314132</v>
      </c>
      <c r="BQ67" s="188">
        <f t="shared" si="103"/>
        <v>-854.2800653314132</v>
      </c>
      <c r="BR67" s="188">
        <f t="shared" si="127"/>
        <v>854.2800653314132</v>
      </c>
      <c r="BS67" s="188">
        <f t="shared" si="104"/>
        <v>-854.2800653314132</v>
      </c>
      <c r="BT67" s="188">
        <f>IF(IF(sym!$Q56=AW67,1,0)=1,ABS(BI67*BB67),-ABS(BI67*BB67))</f>
        <v>-854.2800653314132</v>
      </c>
      <c r="BU67" s="188">
        <f t="shared" si="105"/>
        <v>-854.2800653314132</v>
      </c>
      <c r="BV67" s="188">
        <f t="shared" si="106"/>
        <v>854.2800653314132</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112930</v>
      </c>
      <c r="CS67" s="137">
        <f>VLOOKUP($A67,'FuturesInfo (3)'!$A$2:$O$80,15)*CQ67</f>
        <v>169395</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115155.6</v>
      </c>
      <c r="BJ68" s="137">
        <f>VLOOKUP($A68,'FuturesInfo (3)'!$A$2:$O$80,15)*BH68</f>
        <v>115155.6</v>
      </c>
      <c r="BK68" s="188">
        <f t="shared" si="134"/>
        <v>-706.69285056775664</v>
      </c>
      <c r="BL68" s="188">
        <f t="shared" si="69"/>
        <v>-706.69285056775664</v>
      </c>
      <c r="BM68" s="188">
        <f t="shared" si="99"/>
        <v>-706.69285056775664</v>
      </c>
      <c r="BN68" s="188">
        <f t="shared" si="100"/>
        <v>-706.69285056775664</v>
      </c>
      <c r="BO68" s="188">
        <f t="shared" si="101"/>
        <v>706.69285056775664</v>
      </c>
      <c r="BP68" s="188">
        <f t="shared" si="131"/>
        <v>706.69285056775664</v>
      </c>
      <c r="BQ68" s="188">
        <f t="shared" si="103"/>
        <v>-706.69285056775664</v>
      </c>
      <c r="BR68" s="188">
        <f t="shared" si="127"/>
        <v>-706.69285056775664</v>
      </c>
      <c r="BS68" s="188">
        <f t="shared" si="104"/>
        <v>706.69285056775664</v>
      </c>
      <c r="BT68" s="188">
        <f>IF(IF(sym!$Q57=AW68,1,0)=1,ABS(BI68*BB68),-ABS(BI68*BB68))</f>
        <v>706.69285056775664</v>
      </c>
      <c r="BU68" s="188">
        <f t="shared" si="105"/>
        <v>706.69285056775664</v>
      </c>
      <c r="BV68" s="188">
        <f t="shared" si="106"/>
        <v>706.69285056775664</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115155.6</v>
      </c>
      <c r="CS68" s="137">
        <f>VLOOKUP($A68,'FuturesInfo (3)'!$A$2:$O$80,15)*CQ68</f>
        <v>115155.6</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96550</v>
      </c>
      <c r="BJ69" s="137">
        <f>VLOOKUP($A69,'FuturesInfo (3)'!$A$2:$O$80,15)*BH69</f>
        <v>77240</v>
      </c>
      <c r="BK69" s="188">
        <f t="shared" si="134"/>
        <v>1196.282911720225</v>
      </c>
      <c r="BL69" s="188">
        <f t="shared" si="69"/>
        <v>1196.282911720225</v>
      </c>
      <c r="BM69" s="188">
        <f t="shared" si="99"/>
        <v>1196.282911720225</v>
      </c>
      <c r="BN69" s="188">
        <f t="shared" si="100"/>
        <v>1196.282911720225</v>
      </c>
      <c r="BO69" s="188">
        <f t="shared" si="101"/>
        <v>-1196.282911720225</v>
      </c>
      <c r="BP69" s="188">
        <f t="shared" si="131"/>
        <v>-1196.282911720225</v>
      </c>
      <c r="BQ69" s="188">
        <f t="shared" si="103"/>
        <v>-1196.282911720225</v>
      </c>
      <c r="BR69" s="188">
        <f t="shared" si="127"/>
        <v>1196.282911720225</v>
      </c>
      <c r="BS69" s="188">
        <f t="shared" si="104"/>
        <v>-1196.282911720225</v>
      </c>
      <c r="BT69" s="188">
        <f>IF(IF(sym!$Q58=AW69,1,0)=1,ABS(BI69*BB69),-ABS(BI69*BB69))</f>
        <v>-1196.282911720225</v>
      </c>
      <c r="BU69" s="188">
        <f t="shared" si="105"/>
        <v>-1196.282911720225</v>
      </c>
      <c r="BV69" s="188">
        <f t="shared" si="106"/>
        <v>1196.282911720225</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96550</v>
      </c>
      <c r="CS69" s="137">
        <f>VLOOKUP($A69,'FuturesInfo (3)'!$A$2:$O$80,15)*CQ69</f>
        <v>77240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17</v>
      </c>
      <c r="X70">
        <f t="shared" si="78"/>
        <v>1</v>
      </c>
      <c r="Y70">
        <f t="shared" si="79"/>
        <v>17</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17</v>
      </c>
      <c r="BG70">
        <f t="shared" si="96"/>
        <v>1</v>
      </c>
      <c r="BH70">
        <f t="shared" si="97"/>
        <v>21</v>
      </c>
      <c r="BI70" s="137">
        <f>VLOOKUP($A70,'FuturesInfo (3)'!$A$2:$O$80,15)*BF70</f>
        <v>121036.95702492092</v>
      </c>
      <c r="BJ70" s="137">
        <f>VLOOKUP($A70,'FuturesInfo (3)'!$A$2:$O$80,15)*BH70</f>
        <v>149516.24103078467</v>
      </c>
      <c r="BK70" s="188">
        <f t="shared" si="134"/>
        <v>-1706.6237606528962</v>
      </c>
      <c r="BL70" s="188">
        <f t="shared" si="69"/>
        <v>-1706.6237606528962</v>
      </c>
      <c r="BM70" s="188">
        <f t="shared" si="99"/>
        <v>-1706.6237606528962</v>
      </c>
      <c r="BN70" s="188">
        <f t="shared" si="100"/>
        <v>-1706.6237606528962</v>
      </c>
      <c r="BO70" s="188">
        <f t="shared" si="101"/>
        <v>1706.6237606528962</v>
      </c>
      <c r="BP70" s="188">
        <f t="shared" si="131"/>
        <v>1706.6237606528962</v>
      </c>
      <c r="BQ70" s="188">
        <f t="shared" si="103"/>
        <v>1706.6237606528962</v>
      </c>
      <c r="BR70" s="188">
        <f t="shared" si="127"/>
        <v>-1706.6237606528962</v>
      </c>
      <c r="BS70" s="188">
        <f t="shared" si="104"/>
        <v>1706.6237606528962</v>
      </c>
      <c r="BT70" s="188">
        <f>IF(IF(sym!$Q59=AW70,1,0)=1,ABS(BI70*BB70),-ABS(BI70*BB70))</f>
        <v>-1706.6237606528962</v>
      </c>
      <c r="BU70" s="188">
        <f t="shared" si="105"/>
        <v>1706.6237606528962</v>
      </c>
      <c r="BV70" s="188">
        <f t="shared" si="106"/>
        <v>1706.6237606528962</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17</v>
      </c>
      <c r="CP70">
        <f t="shared" si="113"/>
        <v>-1</v>
      </c>
      <c r="CQ70">
        <f t="shared" si="114"/>
        <v>13</v>
      </c>
      <c r="CR70" s="137">
        <f>VLOOKUP($A70,'FuturesInfo (3)'!$A$2:$O$80,15)*CO70</f>
        <v>121036.95702492092</v>
      </c>
      <c r="CS70" s="137">
        <f>VLOOKUP($A70,'FuturesInfo (3)'!$A$2:$O$80,15)*CQ70</f>
        <v>92557.673019057169</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98175</v>
      </c>
      <c r="BJ71" s="137">
        <f>VLOOKUP($A71,'FuturesInfo (3)'!$A$2:$O$80,15)*BH71</f>
        <v>147262.5</v>
      </c>
      <c r="BK71" s="188">
        <f t="shared" si="134"/>
        <v>-867.90171606819445</v>
      </c>
      <c r="BL71" s="188">
        <f t="shared" si="69"/>
        <v>-867.90171606819445</v>
      </c>
      <c r="BM71" s="188">
        <f t="shared" si="99"/>
        <v>867.90171606819445</v>
      </c>
      <c r="BN71" s="188">
        <f t="shared" si="100"/>
        <v>867.90171606819445</v>
      </c>
      <c r="BO71" s="188">
        <f t="shared" si="101"/>
        <v>-867.90171606819445</v>
      </c>
      <c r="BP71" s="188">
        <f t="shared" si="131"/>
        <v>-867.90171606819445</v>
      </c>
      <c r="BQ71" s="188">
        <f t="shared" si="103"/>
        <v>867.90171606819445</v>
      </c>
      <c r="BR71" s="188">
        <f t="shared" si="127"/>
        <v>-867.90171606819445</v>
      </c>
      <c r="BS71" s="188">
        <f t="shared" si="104"/>
        <v>-867.90171606819445</v>
      </c>
      <c r="BT71" s="188">
        <f>IF(IF(sym!$Q60=AW71,1,0)=1,ABS(BI71*BB71),-ABS(BI71*BB71))</f>
        <v>-867.90171606819445</v>
      </c>
      <c r="BU71" s="188">
        <f t="shared" si="105"/>
        <v>-867.90171606819445</v>
      </c>
      <c r="BV71" s="188">
        <f t="shared" si="106"/>
        <v>867.90171606819445</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98175</v>
      </c>
      <c r="CS71" s="137">
        <f>VLOOKUP($A71,'FuturesInfo (3)'!$A$2:$O$80,15)*CQ71</f>
        <v>98175</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88300.800000000003</v>
      </c>
      <c r="BJ72" s="137">
        <f>VLOOKUP($A72,'FuturesInfo (3)'!$A$2:$O$80,15)*BH72</f>
        <v>66225.600000000006</v>
      </c>
      <c r="BK72" s="188">
        <f t="shared" si="134"/>
        <v>-1126.6449760758933</v>
      </c>
      <c r="BL72" s="188">
        <f t="shared" si="69"/>
        <v>-1126.6449760758933</v>
      </c>
      <c r="BM72" s="188">
        <f t="shared" si="99"/>
        <v>-1126.6449760758933</v>
      </c>
      <c r="BN72" s="188">
        <f t="shared" si="100"/>
        <v>-1126.6449760758933</v>
      </c>
      <c r="BO72" s="188">
        <f t="shared" si="101"/>
        <v>-1126.6449760758933</v>
      </c>
      <c r="BP72" s="188">
        <f t="shared" si="131"/>
        <v>-1126.6449760758933</v>
      </c>
      <c r="BQ72" s="188">
        <f t="shared" si="103"/>
        <v>-1126.6449760758933</v>
      </c>
      <c r="BR72" s="188">
        <f t="shared" si="127"/>
        <v>-1126.6449760758933</v>
      </c>
      <c r="BS72" s="188">
        <f t="shared" si="104"/>
        <v>1126.6449760758933</v>
      </c>
      <c r="BT72" s="188">
        <f>IF(IF(sym!$Q61=AW72,1,0)=1,ABS(BI72*BB72),-ABS(BI72*BB72))</f>
        <v>1126.6449760758933</v>
      </c>
      <c r="BU72" s="188">
        <f t="shared" si="105"/>
        <v>-1126.6449760758933</v>
      </c>
      <c r="BV72" s="188">
        <f t="shared" si="106"/>
        <v>1126.6449760758933</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88300.800000000003</v>
      </c>
      <c r="CS72" s="137">
        <f>VLOOKUP($A72,'FuturesInfo (3)'!$A$2:$O$80,15)*CQ72</f>
        <v>66225.600000000006</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385275.00000000006</v>
      </c>
      <c r="BJ73" s="137">
        <f>VLOOKUP($A73,'FuturesInfo (3)'!$A$2:$O$80,15)*BH73</f>
        <v>513700.00000000006</v>
      </c>
      <c r="BK73" s="188">
        <f t="shared" si="134"/>
        <v>1375.716560509921</v>
      </c>
      <c r="BL73" s="188">
        <f t="shared" si="69"/>
        <v>1375.716560509921</v>
      </c>
      <c r="BM73" s="188">
        <f t="shared" si="99"/>
        <v>1375.716560509921</v>
      </c>
      <c r="BN73" s="188">
        <f t="shared" si="100"/>
        <v>1375.716560509921</v>
      </c>
      <c r="BO73" s="188">
        <f t="shared" si="101"/>
        <v>-1375.716560509921</v>
      </c>
      <c r="BP73" s="188">
        <f t="shared" si="131"/>
        <v>1375.716560509921</v>
      </c>
      <c r="BQ73" s="188">
        <f t="shared" si="103"/>
        <v>-1375.716560509921</v>
      </c>
      <c r="BR73" s="188">
        <f t="shared" si="127"/>
        <v>1375.716560509921</v>
      </c>
      <c r="BS73" s="188">
        <f t="shared" si="104"/>
        <v>-1375.716560509921</v>
      </c>
      <c r="BT73" s="188">
        <f>IF(IF(sym!$Q62=AW73,1,0)=1,ABS(BI73*BB73),-ABS(BI73*BB73))</f>
        <v>1375.716560509921</v>
      </c>
      <c r="BU73" s="188">
        <f t="shared" si="105"/>
        <v>-1375.716560509921</v>
      </c>
      <c r="BV73" s="188">
        <f t="shared" si="106"/>
        <v>1375.716560509921</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385275.00000000006</v>
      </c>
      <c r="CS73" s="137">
        <f>VLOOKUP($A73,'FuturesInfo (3)'!$A$2:$O$80,15)*CQ73</f>
        <v>513700.00000000006</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98515</v>
      </c>
      <c r="BJ74" s="137">
        <f>VLOOKUP($A74,'FuturesInfo (3)'!$A$2:$O$80,15)*BH74</f>
        <v>98515</v>
      </c>
      <c r="BK74" s="188">
        <f t="shared" si="134"/>
        <v>965.92756097556173</v>
      </c>
      <c r="BL74" s="188">
        <f t="shared" si="69"/>
        <v>-965.92756097556173</v>
      </c>
      <c r="BM74" s="188">
        <f t="shared" si="99"/>
        <v>965.92756097556173</v>
      </c>
      <c r="BN74" s="188">
        <f t="shared" si="100"/>
        <v>-965.92756097556173</v>
      </c>
      <c r="BO74" s="188">
        <f t="shared" si="101"/>
        <v>-965.92756097556173</v>
      </c>
      <c r="BP74" s="188">
        <f t="shared" si="131"/>
        <v>965.92756097556173</v>
      </c>
      <c r="BQ74" s="188">
        <f t="shared" si="103"/>
        <v>-965.92756097556173</v>
      </c>
      <c r="BR74" s="188">
        <f t="shared" si="127"/>
        <v>965.92756097556173</v>
      </c>
      <c r="BS74" s="188">
        <f t="shared" si="104"/>
        <v>-965.92756097556173</v>
      </c>
      <c r="BT74" s="188">
        <f>IF(IF(sym!$Q63=AW74,1,0)=1,ABS(BI74*BB74),-ABS(BI74*BB74))</f>
        <v>-965.92756097556173</v>
      </c>
      <c r="BU74" s="188">
        <f t="shared" si="105"/>
        <v>-965.92756097556173</v>
      </c>
      <c r="BV74" s="188">
        <f t="shared" si="106"/>
        <v>965.92756097556173</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98515</v>
      </c>
      <c r="CS74" s="137">
        <f>VLOOKUP($A74,'FuturesInfo (3)'!$A$2:$O$80,15)*CQ74</f>
        <v>98515</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208188</v>
      </c>
      <c r="BJ75" s="137">
        <f>VLOOKUP($A75,'FuturesInfo (3)'!$A$2:$O$80,15)*BH75</f>
        <v>156141</v>
      </c>
      <c r="BK75" s="188">
        <f t="shared" si="134"/>
        <v>-670.95580110408287</v>
      </c>
      <c r="BL75" s="188">
        <f t="shared" si="69"/>
        <v>670.95580110408287</v>
      </c>
      <c r="BM75" s="188">
        <f t="shared" si="99"/>
        <v>-670.95580110408287</v>
      </c>
      <c r="BN75" s="188">
        <f t="shared" si="100"/>
        <v>670.95580110408287</v>
      </c>
      <c r="BO75" s="188">
        <f t="shared" si="101"/>
        <v>670.95580110408287</v>
      </c>
      <c r="BP75" s="188">
        <f t="shared" si="131"/>
        <v>-670.95580110408287</v>
      </c>
      <c r="BQ75" s="188">
        <f t="shared" si="103"/>
        <v>670.95580110408287</v>
      </c>
      <c r="BR75" s="188">
        <f t="shared" si="127"/>
        <v>-670.95580110408287</v>
      </c>
      <c r="BS75" s="188">
        <f t="shared" si="104"/>
        <v>670.95580110408287</v>
      </c>
      <c r="BT75" s="188">
        <f>IF(IF(sym!$Q64=AW75,1,0)=1,ABS(BI75*BB75),-ABS(BI75*BB75))</f>
        <v>-670.95580110408287</v>
      </c>
      <c r="BU75" s="188">
        <f t="shared" si="105"/>
        <v>670.95580110408287</v>
      </c>
      <c r="BV75" s="188">
        <f t="shared" si="106"/>
        <v>670.95580110408287</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208188</v>
      </c>
      <c r="CS75" s="137">
        <f>VLOOKUP($A75,'FuturesInfo (3)'!$A$2:$O$80,15)*CQ75</f>
        <v>260235</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5</v>
      </c>
      <c r="X76">
        <f t="shared" si="78"/>
        <v>1</v>
      </c>
      <c r="Y76">
        <f t="shared" si="79"/>
        <v>5</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5</v>
      </c>
      <c r="BG76">
        <f t="shared" si="96"/>
        <v>1</v>
      </c>
      <c r="BH76">
        <f t="shared" si="97"/>
        <v>6</v>
      </c>
      <c r="BI76" s="137">
        <f>VLOOKUP($A76,'FuturesInfo (3)'!$A$2:$O$80,15)*BF76</f>
        <v>748740.49194902694</v>
      </c>
      <c r="BJ76" s="137">
        <f>VLOOKUP($A76,'FuturesInfo (3)'!$A$2:$O$80,15)*BH76</f>
        <v>898488.59033883223</v>
      </c>
      <c r="BK76" s="188">
        <f t="shared" si="134"/>
        <v>3195.5437936075573</v>
      </c>
      <c r="BL76" s="188">
        <f t="shared" si="69"/>
        <v>-3195.5437936075573</v>
      </c>
      <c r="BM76" s="188">
        <f t="shared" si="99"/>
        <v>3195.5437936075573</v>
      </c>
      <c r="BN76" s="188">
        <f t="shared" si="100"/>
        <v>-3195.5437936075573</v>
      </c>
      <c r="BO76" s="188">
        <f t="shared" si="101"/>
        <v>3195.5437936075573</v>
      </c>
      <c r="BP76" s="188">
        <f t="shared" si="131"/>
        <v>3195.5437936075573</v>
      </c>
      <c r="BQ76" s="188">
        <f t="shared" si="103"/>
        <v>3195.5437936075573</v>
      </c>
      <c r="BR76" s="188">
        <f t="shared" si="127"/>
        <v>-3195.5437936075573</v>
      </c>
      <c r="BS76" s="188">
        <f t="shared" si="104"/>
        <v>3195.5437936075573</v>
      </c>
      <c r="BT76" s="188">
        <f>IF(IF(sym!$Q65=AW76,1,0)=1,ABS(BI76*BB76),-ABS(BI76*BB76))</f>
        <v>3195.5437936075573</v>
      </c>
      <c r="BU76" s="188">
        <f t="shared" si="105"/>
        <v>3195.5437936075573</v>
      </c>
      <c r="BV76" s="188">
        <f t="shared" si="106"/>
        <v>3195.5437936075573</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5</v>
      </c>
      <c r="CP76">
        <f t="shared" si="113"/>
        <v>-1</v>
      </c>
      <c r="CQ76">
        <f t="shared" si="114"/>
        <v>4</v>
      </c>
      <c r="CR76" s="137">
        <f>VLOOKUP($A76,'FuturesInfo (3)'!$A$2:$O$80,15)*CO76</f>
        <v>748740.49194902694</v>
      </c>
      <c r="CS76" s="137">
        <f>VLOOKUP($A76,'FuturesInfo (3)'!$A$2:$O$80,15)*CQ76</f>
        <v>598992.39355922153</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3</v>
      </c>
      <c r="X77">
        <f t="shared" si="78"/>
        <v>-1</v>
      </c>
      <c r="Y77">
        <f t="shared" si="79"/>
        <v>3</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3</v>
      </c>
      <c r="BG77">
        <f t="shared" si="96"/>
        <v>1</v>
      </c>
      <c r="BH77">
        <f t="shared" si="97"/>
        <v>4</v>
      </c>
      <c r="BI77" s="137">
        <f>VLOOKUP($A77,'FuturesInfo (3)'!$A$2:$O$80,15)*BF77</f>
        <v>98340</v>
      </c>
      <c r="BJ77" s="137">
        <f>VLOOKUP($A77,'FuturesInfo (3)'!$A$2:$O$80,15)*BH77</f>
        <v>131120</v>
      </c>
      <c r="BK77" s="188">
        <f t="shared" si="134"/>
        <v>-1453.1544028909382</v>
      </c>
      <c r="BL77" s="188">
        <f t="shared" si="69"/>
        <v>-1453.1544028909382</v>
      </c>
      <c r="BM77" s="188">
        <f t="shared" si="99"/>
        <v>1453.1544028909382</v>
      </c>
      <c r="BN77" s="188">
        <f t="shared" si="100"/>
        <v>1453.1544028909382</v>
      </c>
      <c r="BO77" s="188">
        <f t="shared" si="101"/>
        <v>-1453.1544028909382</v>
      </c>
      <c r="BP77" s="188">
        <f t="shared" si="131"/>
        <v>1453.1544028909382</v>
      </c>
      <c r="BQ77" s="188">
        <f t="shared" si="103"/>
        <v>-1453.1544028909382</v>
      </c>
      <c r="BR77" s="188">
        <f t="shared" si="127"/>
        <v>-1453.1544028909382</v>
      </c>
      <c r="BS77" s="188">
        <f t="shared" si="104"/>
        <v>1453.1544028909382</v>
      </c>
      <c r="BT77" s="188">
        <f>IF(IF(sym!$Q66=AW77,1,0)=1,ABS(BI77*BB77),-ABS(BI77*BB77))</f>
        <v>-1453.1544028909382</v>
      </c>
      <c r="BU77" s="188">
        <f t="shared" si="105"/>
        <v>-1453.1544028909382</v>
      </c>
      <c r="BV77" s="188">
        <f t="shared" si="106"/>
        <v>1453.1544028909382</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3</v>
      </c>
      <c r="CP77">
        <f t="shared" si="113"/>
        <v>-1</v>
      </c>
      <c r="CQ77">
        <f t="shared" si="114"/>
        <v>2</v>
      </c>
      <c r="CR77" s="137">
        <f>VLOOKUP($A77,'FuturesInfo (3)'!$A$2:$O$80,15)*CO77</f>
        <v>98340</v>
      </c>
      <c r="CS77" s="137">
        <f>VLOOKUP($A77,'FuturesInfo (3)'!$A$2:$O$80,15)*CQ77</f>
        <v>65560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254904.57623640465</v>
      </c>
      <c r="BJ78" s="137">
        <f>VLOOKUP($A78,'FuturesInfo (3)'!$A$2:$O$80,15)*BH78</f>
        <v>339872.76831520622</v>
      </c>
      <c r="BK78" s="188">
        <f t="shared" si="134"/>
        <v>-4137.145464562439</v>
      </c>
      <c r="BL78" s="188">
        <f t="shared" ref="BL78:BL92" si="139">IF(IF(BG78=AW78,1,0)=1,ABS(BI78*BB78),-ABS(BI78*BB78))</f>
        <v>-4137.145464562439</v>
      </c>
      <c r="BM78" s="188">
        <f t="shared" si="99"/>
        <v>-4137.145464562439</v>
      </c>
      <c r="BN78" s="188">
        <f t="shared" si="100"/>
        <v>-4137.145464562439</v>
      </c>
      <c r="BO78" s="188">
        <f t="shared" si="101"/>
        <v>4137.145464562439</v>
      </c>
      <c r="BP78" s="188">
        <f t="shared" si="131"/>
        <v>4137.145464562439</v>
      </c>
      <c r="BQ78" s="188">
        <f t="shared" si="103"/>
        <v>-4137.145464562439</v>
      </c>
      <c r="BR78" s="188">
        <f t="shared" si="127"/>
        <v>-4137.145464562439</v>
      </c>
      <c r="BS78" s="188">
        <f t="shared" si="104"/>
        <v>4137.145464562439</v>
      </c>
      <c r="BT78" s="188">
        <f>IF(IF(sym!$Q67=AW78,1,0)=1,ABS(BI78*BB78),-ABS(BI78*BB78))</f>
        <v>-4137.145464562439</v>
      </c>
      <c r="BU78" s="188">
        <f t="shared" si="105"/>
        <v>4137.145464562439</v>
      </c>
      <c r="BV78" s="188">
        <f t="shared" si="106"/>
        <v>4137.145464562439</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254904.57623640465</v>
      </c>
      <c r="CS78" s="137">
        <f>VLOOKUP($A78,'FuturesInfo (3)'!$A$2:$O$80,15)*CQ78</f>
        <v>169936.38415760311</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187641.7910447761</v>
      </c>
      <c r="BJ79" s="137">
        <f>VLOOKUP($A79,'FuturesInfo (3)'!$A$2:$O$80,15)*BH79</f>
        <v>140731.34328358207</v>
      </c>
      <c r="BK79" s="188">
        <f t="shared" si="134"/>
        <v>-2848.4522359646444</v>
      </c>
      <c r="BL79" s="188">
        <f t="shared" si="139"/>
        <v>2848.4522359646444</v>
      </c>
      <c r="BM79" s="188">
        <f t="shared" ref="BM79:BM92" si="166">IF(IF(AO79=AW79,1,0)=1,ABS(BI79*BB79),-ABS(BI79*BB79))</f>
        <v>-2848.4522359646444</v>
      </c>
      <c r="BN79" s="188">
        <f t="shared" ref="BN79:BN92" si="167">IF(AY79=1,ABS(BI79*BB79),-ABS(BI79*BB79))</f>
        <v>2848.4522359646444</v>
      </c>
      <c r="BO79" s="188">
        <f t="shared" ref="BO79:BO92" si="168">IF(IF(AW79=AU79,1,0)=1,ABS(BI79*BB79),-ABS(BI79*BB79))</f>
        <v>2848.4522359646444</v>
      </c>
      <c r="BP79" s="188">
        <f t="shared" si="131"/>
        <v>-2848.4522359646444</v>
      </c>
      <c r="BQ79" s="188">
        <f t="shared" ref="BQ79:BQ92" si="169">IF(IF(AQ79=AW79,1,0)=1,ABS(BI79*BB79),-ABS(BI79*BB79))</f>
        <v>2848.4522359646444</v>
      </c>
      <c r="BR79" s="188">
        <f t="shared" si="127"/>
        <v>-2848.4522359646444</v>
      </c>
      <c r="BS79" s="188">
        <f t="shared" ref="BS79:BS92" si="170">IF(IF(BD79=AW79,1,0)=1,ABS(BI79*BB79),-ABS(BI79*BB79))</f>
        <v>2848.4522359646444</v>
      </c>
      <c r="BT79" s="188">
        <f>IF(IF(sym!$Q68=AW79,1,0)=1,ABS(BI79*BB79),-ABS(BI79*BB79))</f>
        <v>-2848.4522359646444</v>
      </c>
      <c r="BU79" s="188">
        <f t="shared" ref="BU79:BU92" si="171">IF(IF(BE79=AW79,1,0)=1,ABS(BI79*BB79),-ABS(BI79*BB79))</f>
        <v>2848.4522359646444</v>
      </c>
      <c r="BV79" s="188">
        <f t="shared" ref="BV79:BV92" si="172">ABS(BI79*BB79)</f>
        <v>2848.4522359646444</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187641.7910447761</v>
      </c>
      <c r="CS79" s="137">
        <f>VLOOKUP($A79,'FuturesInfo (3)'!$A$2:$O$80,15)*CQ79</f>
        <v>140731.34328358207</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204540</v>
      </c>
      <c r="BJ80" s="137">
        <f>VLOOKUP($A80,'FuturesInfo (3)'!$A$2:$O$80,15)*BH80</f>
        <v>170450</v>
      </c>
      <c r="BK80" s="188">
        <f t="shared" si="134"/>
        <v>664.87588652513693</v>
      </c>
      <c r="BL80" s="188">
        <f t="shared" si="139"/>
        <v>664.87588652513693</v>
      </c>
      <c r="BM80" s="188">
        <f t="shared" si="166"/>
        <v>-664.87588652513693</v>
      </c>
      <c r="BN80" s="188">
        <f t="shared" si="167"/>
        <v>664.87588652513693</v>
      </c>
      <c r="BO80" s="188">
        <f t="shared" si="168"/>
        <v>664.87588652513693</v>
      </c>
      <c r="BP80" s="188">
        <f t="shared" si="131"/>
        <v>664.87588652513693</v>
      </c>
      <c r="BQ80" s="188">
        <f t="shared" si="169"/>
        <v>664.87588652513693</v>
      </c>
      <c r="BR80" s="188">
        <f t="shared" ref="BR80:BR92" si="191">IF(IF(AR80=AW80,1,0)=1,ABS(BI80*BB80),-ABS(BI80*BB80))</f>
        <v>-664.87588652513693</v>
      </c>
      <c r="BS80" s="188">
        <f t="shared" si="170"/>
        <v>664.87588652513693</v>
      </c>
      <c r="BT80" s="188">
        <f>IF(IF(sym!$Q69=AW80,1,0)=1,ABS(BI80*BB80),-ABS(BI80*BB80))</f>
        <v>-664.87588652513693</v>
      </c>
      <c r="BU80" s="188">
        <f t="shared" si="171"/>
        <v>664.87588652513693</v>
      </c>
      <c r="BV80" s="188">
        <f t="shared" si="172"/>
        <v>664.87588652513693</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204540</v>
      </c>
      <c r="CS80" s="137">
        <f>VLOOKUP($A80,'FuturesInfo (3)'!$A$2:$O$80,15)*CQ80</f>
        <v>272720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170027.72</v>
      </c>
      <c r="BJ81" s="137">
        <f>VLOOKUP($A81,'FuturesInfo (3)'!$A$2:$O$80,15)*BH81</f>
        <v>136022.17600000001</v>
      </c>
      <c r="BK81" s="188">
        <f t="shared" si="134"/>
        <v>3495.6828176589884</v>
      </c>
      <c r="BL81" s="188">
        <f t="shared" si="139"/>
        <v>3495.6828176589884</v>
      </c>
      <c r="BM81" s="188">
        <f t="shared" si="166"/>
        <v>3495.6828176589884</v>
      </c>
      <c r="BN81" s="188">
        <f t="shared" si="167"/>
        <v>3495.6828176589884</v>
      </c>
      <c r="BO81" s="188">
        <f t="shared" si="168"/>
        <v>-3495.6828176589884</v>
      </c>
      <c r="BP81" s="188">
        <f t="shared" si="131"/>
        <v>-3495.6828176589884</v>
      </c>
      <c r="BQ81" s="188">
        <f t="shared" si="169"/>
        <v>3495.6828176589884</v>
      </c>
      <c r="BR81" s="188">
        <f t="shared" si="191"/>
        <v>3495.6828176589884</v>
      </c>
      <c r="BS81" s="188">
        <f t="shared" si="170"/>
        <v>-3495.6828176589884</v>
      </c>
      <c r="BT81" s="188">
        <f>IF(IF(sym!$Q70=AW81,1,0)=1,ABS(BI81*BB81),-ABS(BI81*BB81))</f>
        <v>-3495.6828176589884</v>
      </c>
      <c r="BU81" s="188">
        <f t="shared" si="171"/>
        <v>-3495.6828176589884</v>
      </c>
      <c r="BV81" s="188">
        <f t="shared" si="172"/>
        <v>3495.6828176589884</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170027.72</v>
      </c>
      <c r="CS81" s="137">
        <f>VLOOKUP($A81,'FuturesInfo (3)'!$A$2:$O$80,15)*CQ81</f>
        <v>136022.17600000001</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245440</v>
      </c>
      <c r="BJ82" s="137">
        <f>VLOOKUP($A82,'FuturesInfo (3)'!$A$2:$O$80,15)*BH82</f>
        <v>368160</v>
      </c>
      <c r="BK82" s="188">
        <f t="shared" si="134"/>
        <v>-3528.1747987607682</v>
      </c>
      <c r="BL82" s="188">
        <f t="shared" si="139"/>
        <v>-3528.1747987607682</v>
      </c>
      <c r="BM82" s="188">
        <f t="shared" si="166"/>
        <v>-3528.1747987607682</v>
      </c>
      <c r="BN82" s="188">
        <f t="shared" si="167"/>
        <v>-3528.1747987607682</v>
      </c>
      <c r="BO82" s="188">
        <f t="shared" si="168"/>
        <v>3528.1747987607682</v>
      </c>
      <c r="BP82" s="188">
        <f t="shared" si="131"/>
        <v>3528.1747987607682</v>
      </c>
      <c r="BQ82" s="188">
        <f t="shared" si="169"/>
        <v>-3528.1747987607682</v>
      </c>
      <c r="BR82" s="188">
        <f t="shared" si="191"/>
        <v>-3528.1747987607682</v>
      </c>
      <c r="BS82" s="188">
        <f t="shared" si="170"/>
        <v>3528.1747987607682</v>
      </c>
      <c r="BT82" s="188">
        <f>IF(IF(sym!$Q71=AW82,1,0)=1,ABS(BI82*BB82),-ABS(BI82*BB82))</f>
        <v>-3528.1747987607682</v>
      </c>
      <c r="BU82" s="188">
        <f t="shared" si="171"/>
        <v>3528.1747987607682</v>
      </c>
      <c r="BV82" s="188">
        <f t="shared" si="172"/>
        <v>3528.1747987607682</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245440</v>
      </c>
      <c r="CS82" s="137">
        <f>VLOOKUP($A82,'FuturesInfo (3)'!$A$2:$O$80,15)*CQ82</f>
        <v>368160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11</v>
      </c>
      <c r="X83">
        <f t="shared" si="148"/>
        <v>1</v>
      </c>
      <c r="Y83">
        <f t="shared" si="149"/>
        <v>11</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11</v>
      </c>
      <c r="BG83">
        <f t="shared" si="164"/>
        <v>1</v>
      </c>
      <c r="BH83">
        <f t="shared" si="165"/>
        <v>14</v>
      </c>
      <c r="BI83" s="137">
        <f>VLOOKUP($A83,'FuturesInfo (3)'!$A$2:$O$80,15)*BF83</f>
        <v>2407109.375</v>
      </c>
      <c r="BJ83" s="137">
        <f>VLOOKUP($A83,'FuturesInfo (3)'!$A$2:$O$80,15)*BH83</f>
        <v>3063593.75</v>
      </c>
      <c r="BK83" s="188">
        <f t="shared" si="134"/>
        <v>171.80139711659479</v>
      </c>
      <c r="BL83" s="188">
        <f t="shared" si="139"/>
        <v>171.80139711659479</v>
      </c>
      <c r="BM83" s="188">
        <f t="shared" si="166"/>
        <v>-171.80139711659479</v>
      </c>
      <c r="BN83" s="188">
        <f t="shared" si="167"/>
        <v>171.80139711659479</v>
      </c>
      <c r="BO83" s="188">
        <f t="shared" si="168"/>
        <v>171.80139711659479</v>
      </c>
      <c r="BP83" s="188">
        <f t="shared" si="131"/>
        <v>171.80139711659479</v>
      </c>
      <c r="BQ83" s="188">
        <f t="shared" si="169"/>
        <v>171.80139711659479</v>
      </c>
      <c r="BR83" s="188">
        <f t="shared" si="191"/>
        <v>171.80139711659479</v>
      </c>
      <c r="BS83" s="188">
        <f t="shared" si="170"/>
        <v>171.80139711659479</v>
      </c>
      <c r="BT83" s="188">
        <f>IF(IF(sym!$Q72=AW83,1,0)=1,ABS(BI83*BB83),-ABS(BI83*BB83))</f>
        <v>-171.80139711659479</v>
      </c>
      <c r="BU83" s="188">
        <f t="shared" si="171"/>
        <v>171.80139711659479</v>
      </c>
      <c r="BV83" s="188">
        <f t="shared" si="172"/>
        <v>171.80139711659479</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11</v>
      </c>
      <c r="CP83">
        <f t="shared" si="179"/>
        <v>1</v>
      </c>
      <c r="CQ83">
        <f t="shared" si="180"/>
        <v>14</v>
      </c>
      <c r="CR83" s="137">
        <f>VLOOKUP($A83,'FuturesInfo (3)'!$A$2:$O$80,15)*CO83</f>
        <v>2407109.375</v>
      </c>
      <c r="CS83" s="137">
        <f>VLOOKUP($A83,'FuturesInfo (3)'!$A$2:$O$80,15)*CQ83</f>
        <v>3063593.75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530125</v>
      </c>
      <c r="BJ84" s="137">
        <f>VLOOKUP($A84,'FuturesInfo (3)'!$A$2:$O$80,15)*BH84</f>
        <v>662656.25</v>
      </c>
      <c r="BK84" s="188">
        <f t="shared" si="134"/>
        <v>-997.99976467816498</v>
      </c>
      <c r="BL84" s="188">
        <f t="shared" si="139"/>
        <v>-997.99976467816498</v>
      </c>
      <c r="BM84" s="188">
        <f t="shared" si="166"/>
        <v>997.99976467816498</v>
      </c>
      <c r="BN84" s="188">
        <f t="shared" si="167"/>
        <v>-997.99976467816498</v>
      </c>
      <c r="BO84" s="188">
        <f t="shared" si="168"/>
        <v>-997.99976467816498</v>
      </c>
      <c r="BP84" s="188">
        <f t="shared" si="131"/>
        <v>-997.99976467816498</v>
      </c>
      <c r="BQ84" s="188">
        <f t="shared" si="169"/>
        <v>997.99976467816498</v>
      </c>
      <c r="BR84" s="188">
        <f t="shared" si="191"/>
        <v>-997.99976467816498</v>
      </c>
      <c r="BS84" s="188">
        <f t="shared" si="170"/>
        <v>-997.99976467816498</v>
      </c>
      <c r="BT84" s="188">
        <f>IF(IF(sym!$Q73=AW84,1,0)=1,ABS(BI84*BB84),-ABS(BI84*BB84))</f>
        <v>997.99976467816498</v>
      </c>
      <c r="BU84" s="188">
        <f t="shared" si="171"/>
        <v>-997.99976467816498</v>
      </c>
      <c r="BV84" s="188">
        <f t="shared" si="172"/>
        <v>997.99976467816498</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530125</v>
      </c>
      <c r="CS84" s="137">
        <f>VLOOKUP($A84,'FuturesInfo (3)'!$A$2:$O$80,15)*CQ84</f>
        <v>397593.75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345937.5</v>
      </c>
      <c r="BJ85" s="137">
        <f>VLOOKUP($A85,'FuturesInfo (3)'!$A$2:$O$80,15)*BH85</f>
        <v>518906.25</v>
      </c>
      <c r="BK85" s="188">
        <f t="shared" si="134"/>
        <v>2490.9990999109596</v>
      </c>
      <c r="BL85" s="188">
        <f t="shared" si="139"/>
        <v>-2490.9990999109596</v>
      </c>
      <c r="BM85" s="188">
        <f t="shared" si="166"/>
        <v>2490.9990999109596</v>
      </c>
      <c r="BN85" s="188">
        <f t="shared" si="167"/>
        <v>-2490.9990999109596</v>
      </c>
      <c r="BO85" s="188">
        <f t="shared" si="168"/>
        <v>-2490.9990999109596</v>
      </c>
      <c r="BP85" s="188">
        <f t="shared" si="131"/>
        <v>-2490.9990999109596</v>
      </c>
      <c r="BQ85" s="188">
        <f t="shared" si="169"/>
        <v>2490.9990999109596</v>
      </c>
      <c r="BR85" s="188">
        <f t="shared" si="191"/>
        <v>-2490.9990999109596</v>
      </c>
      <c r="BS85" s="188">
        <f t="shared" si="170"/>
        <v>-2490.9990999109596</v>
      </c>
      <c r="BT85" s="188">
        <f>IF(IF(sym!$Q74=AW85,1,0)=1,ABS(BI85*BB85),-ABS(BI85*BB85))</f>
        <v>2490.9990999109596</v>
      </c>
      <c r="BU85" s="188">
        <f t="shared" si="171"/>
        <v>-2490.9990999109596</v>
      </c>
      <c r="BV85" s="188">
        <f t="shared" si="172"/>
        <v>2490.9990999109596</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345937.5</v>
      </c>
      <c r="CS85" s="137">
        <f>VLOOKUP($A85,'FuturesInfo (3)'!$A$2:$O$80,15)*CQ85</f>
        <v>345937.5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44925</v>
      </c>
      <c r="BJ86" s="137">
        <f>VLOOKUP($A86,'FuturesInfo (3)'!$A$2:$O$80,15)*BH86</f>
        <v>59900</v>
      </c>
      <c r="BK86" s="188">
        <f t="shared" si="134"/>
        <v>-1978.3486238529224</v>
      </c>
      <c r="BL86" s="188">
        <f t="shared" si="139"/>
        <v>1978.3486238529224</v>
      </c>
      <c r="BM86" s="188">
        <f t="shared" si="166"/>
        <v>-1978.3486238529224</v>
      </c>
      <c r="BN86" s="188">
        <f t="shared" si="167"/>
        <v>1978.3486238529224</v>
      </c>
      <c r="BO86" s="188">
        <f t="shared" si="168"/>
        <v>1978.3486238529224</v>
      </c>
      <c r="BP86" s="188">
        <f t="shared" ref="BP86:BP92" si="195">IF(BA86=1,ABS(BI86*BB86),-ABS(BI86*BB86))</f>
        <v>-1978.3486238529224</v>
      </c>
      <c r="BQ86" s="188">
        <f t="shared" si="169"/>
        <v>1978.3486238529224</v>
      </c>
      <c r="BR86" s="188">
        <f t="shared" si="191"/>
        <v>-1978.3486238529224</v>
      </c>
      <c r="BS86" s="188">
        <f t="shared" si="170"/>
        <v>1978.3486238529224</v>
      </c>
      <c r="BT86" s="188">
        <f>IF(IF(sym!$Q75=AW86,1,0)=1,ABS(BI86*BB86),-ABS(BI86*BB86))</f>
        <v>-1978.3486238529224</v>
      </c>
      <c r="BU86" s="188">
        <f t="shared" si="171"/>
        <v>1978.3486238529224</v>
      </c>
      <c r="BV86" s="188">
        <f t="shared" si="172"/>
        <v>1978.3486238529224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44925</v>
      </c>
      <c r="CS86" s="137">
        <f>VLOOKUP($A86,'FuturesInfo (3)'!$A$2:$O$80,15)*CQ86</f>
        <v>59900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88000</v>
      </c>
      <c r="BJ87" s="137">
        <f>VLOOKUP($A87,'FuturesInfo (3)'!$A$2:$O$80,15)*BH87</f>
        <v>110000</v>
      </c>
      <c r="BK87" s="188">
        <f t="shared" si="134"/>
        <v>-1029.5566502495999</v>
      </c>
      <c r="BL87" s="188">
        <f t="shared" si="139"/>
        <v>-1029.5566502495999</v>
      </c>
      <c r="BM87" s="188">
        <f t="shared" si="166"/>
        <v>1029.5566502495999</v>
      </c>
      <c r="BN87" s="188">
        <f t="shared" si="167"/>
        <v>-1029.5566502495999</v>
      </c>
      <c r="BO87" s="188">
        <f t="shared" si="168"/>
        <v>-1029.5566502495999</v>
      </c>
      <c r="BP87" s="188">
        <f t="shared" si="195"/>
        <v>1029.5566502495999</v>
      </c>
      <c r="BQ87" s="188">
        <f t="shared" si="169"/>
        <v>-1029.5566502495999</v>
      </c>
      <c r="BR87" s="188">
        <f t="shared" si="191"/>
        <v>1029.5566502495999</v>
      </c>
      <c r="BS87" s="188">
        <f t="shared" si="170"/>
        <v>-1029.5566502495999</v>
      </c>
      <c r="BT87" s="188">
        <f>IF(IF(sym!$Q76=AW87,1,0)=1,ABS(BI87*BB87),-ABS(BI87*BB87))</f>
        <v>-1029.5566502495999</v>
      </c>
      <c r="BU87" s="188">
        <f t="shared" si="171"/>
        <v>-1029.5566502495999</v>
      </c>
      <c r="BV87" s="188">
        <f t="shared" si="172"/>
        <v>1029.5566502495999</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88000</v>
      </c>
      <c r="CS87" s="137">
        <f>VLOOKUP($A87,'FuturesInfo (3)'!$A$2:$O$80,15)*CQ87</f>
        <v>66000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314701.875</v>
      </c>
      <c r="BJ88" s="137">
        <f>VLOOKUP($A88,'FuturesInfo (3)'!$A$2:$O$80,15)*BH88</f>
        <v>209801.25</v>
      </c>
      <c r="BK88" s="188">
        <f t="shared" si="134"/>
        <v>-2610.2211053020801</v>
      </c>
      <c r="BL88" s="188">
        <f t="shared" si="139"/>
        <v>2610.2211053020801</v>
      </c>
      <c r="BM88" s="188">
        <f t="shared" si="166"/>
        <v>-2610.2211053020801</v>
      </c>
      <c r="BN88" s="188">
        <f t="shared" si="167"/>
        <v>2610.2211053020801</v>
      </c>
      <c r="BO88" s="188">
        <f t="shared" si="168"/>
        <v>2610.2211053020801</v>
      </c>
      <c r="BP88" s="188">
        <f t="shared" si="195"/>
        <v>-2610.2211053020801</v>
      </c>
      <c r="BQ88" s="188">
        <f t="shared" si="169"/>
        <v>2610.2211053020801</v>
      </c>
      <c r="BR88" s="188">
        <f t="shared" si="191"/>
        <v>-2610.2211053020801</v>
      </c>
      <c r="BS88" s="188">
        <f t="shared" si="170"/>
        <v>2610.2211053020801</v>
      </c>
      <c r="BT88" s="188">
        <f>IF(IF(sym!$Q77=AW88,1,0)=1,ABS(BI88*BB88),-ABS(BI88*BB88))</f>
        <v>-2610.2211053020801</v>
      </c>
      <c r="BU88" s="188">
        <f t="shared" si="171"/>
        <v>2610.2211053020801</v>
      </c>
      <c r="BV88" s="188">
        <f t="shared" si="172"/>
        <v>2610.2211053020801</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314701.875</v>
      </c>
      <c r="CS88" s="137">
        <f>VLOOKUP($A88,'FuturesInfo (3)'!$A$2:$O$80,15)*CQ88</f>
        <v>419602.5</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370460</v>
      </c>
      <c r="BJ90" s="137">
        <f>VLOOKUP($A90,'FuturesInfo (3)'!$A$2:$O$80,15)*BH90</f>
        <v>277845</v>
      </c>
      <c r="BK90" s="188">
        <f t="shared" si="134"/>
        <v>1576.7696169388157</v>
      </c>
      <c r="BL90" s="188">
        <f t="shared" si="139"/>
        <v>1576.7696169388157</v>
      </c>
      <c r="BM90" s="188">
        <f t="shared" si="166"/>
        <v>1576.7696169388157</v>
      </c>
      <c r="BN90" s="188">
        <f t="shared" si="167"/>
        <v>1576.7696169388157</v>
      </c>
      <c r="BO90" s="188">
        <f t="shared" si="168"/>
        <v>-1576.7696169388157</v>
      </c>
      <c r="BP90" s="188">
        <f t="shared" si="195"/>
        <v>-1576.7696169388157</v>
      </c>
      <c r="BQ90" s="188">
        <f t="shared" si="169"/>
        <v>-1576.7696169388157</v>
      </c>
      <c r="BR90" s="188">
        <f t="shared" si="191"/>
        <v>1576.7696169388157</v>
      </c>
      <c r="BS90" s="188">
        <f t="shared" si="170"/>
        <v>-1576.7696169388157</v>
      </c>
      <c r="BT90" s="188">
        <f>IF(IF(sym!$Q79=AW90,1,0)=1,ABS(BI90*BB90),-ABS(BI90*BB90))</f>
        <v>-1576.7696169388157</v>
      </c>
      <c r="BU90" s="188">
        <f t="shared" si="171"/>
        <v>-1576.7696169388157</v>
      </c>
      <c r="BV90" s="188">
        <f t="shared" si="172"/>
        <v>1576.7696169388157</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370460</v>
      </c>
      <c r="CS90" s="137">
        <f>VLOOKUP($A90,'FuturesInfo (3)'!$A$2:$O$80,15)*CQ90</f>
        <v>277845</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3379561.92</v>
      </c>
      <c r="BJ91" s="137">
        <f>VLOOKUP($A91,'FuturesInfo (3)'!$A$2:$O$80,15)*BH91</f>
        <v>4224452.4000000004</v>
      </c>
      <c r="BK91" s="188">
        <f t="shared" si="134"/>
        <v>1370.6020156141039</v>
      </c>
      <c r="BL91" s="188">
        <f t="shared" si="139"/>
        <v>1370.6020156141039</v>
      </c>
      <c r="BM91" s="188">
        <f t="shared" si="166"/>
        <v>1370.6020156141039</v>
      </c>
      <c r="BN91" s="188">
        <f t="shared" si="167"/>
        <v>1370.6020156141039</v>
      </c>
      <c r="BO91" s="188">
        <f t="shared" si="168"/>
        <v>1370.6020156141039</v>
      </c>
      <c r="BP91" s="188">
        <f t="shared" si="195"/>
        <v>1370.6020156141039</v>
      </c>
      <c r="BQ91" s="188">
        <f t="shared" si="169"/>
        <v>1370.6020156141039</v>
      </c>
      <c r="BR91" s="188">
        <f t="shared" si="191"/>
        <v>1370.6020156141039</v>
      </c>
      <c r="BS91" s="188">
        <f t="shared" si="170"/>
        <v>-1370.6020156141039</v>
      </c>
      <c r="BT91" s="188">
        <f>IF(IF(sym!$Q80=AW91,1,0)=1,ABS(BI91*BB91),-ABS(BI91*BB91))</f>
        <v>-1370.6020156141039</v>
      </c>
      <c r="BU91" s="188">
        <f t="shared" si="171"/>
        <v>1370.6020156141039</v>
      </c>
      <c r="BV91" s="188">
        <f t="shared" si="172"/>
        <v>1370.6020156141039</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3379561.92</v>
      </c>
      <c r="CS91" s="137">
        <f>VLOOKUP($A91,'FuturesInfo (3)'!$A$2:$O$80,15)*CQ91</f>
        <v>4224452.4000000004</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3001248</v>
      </c>
      <c r="BJ92" s="137">
        <f>VLOOKUP($A92,'FuturesInfo (3)'!$A$2:$O$80,15)*BH92</f>
        <v>2400998.3999999999</v>
      </c>
      <c r="BK92" s="188">
        <f t="shared" si="134"/>
        <v>-764.49335167214815</v>
      </c>
      <c r="BL92" s="188">
        <f t="shared" si="139"/>
        <v>-764.49335167214815</v>
      </c>
      <c r="BM92" s="188">
        <f t="shared" si="166"/>
        <v>764.49335167214815</v>
      </c>
      <c r="BN92" s="188">
        <f t="shared" si="167"/>
        <v>764.49335167214815</v>
      </c>
      <c r="BO92" s="188">
        <f t="shared" si="168"/>
        <v>-764.49335167214815</v>
      </c>
      <c r="BP92" s="188">
        <f t="shared" si="195"/>
        <v>764.49335167214815</v>
      </c>
      <c r="BQ92" s="188">
        <f t="shared" si="169"/>
        <v>-764.49335167214815</v>
      </c>
      <c r="BR92" s="188">
        <f t="shared" si="191"/>
        <v>764.49335167214815</v>
      </c>
      <c r="BS92" s="188">
        <f t="shared" si="170"/>
        <v>-764.49335167214815</v>
      </c>
      <c r="BT92" s="188">
        <f>IF(IF(sym!$Q81=AW92,1,0)=1,ABS(BI92*BB92),-ABS(BI92*BB92))</f>
        <v>-764.49335167214815</v>
      </c>
      <c r="BU92" s="188">
        <f t="shared" si="171"/>
        <v>-764.49335167214815</v>
      </c>
      <c r="BV92" s="188">
        <f t="shared" si="172"/>
        <v>764.49335167214815</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3001248</v>
      </c>
      <c r="CS92" s="137">
        <f>VLOOKUP($A92,'FuturesInfo (3)'!$A$2:$O$80,15)*CQ92</f>
        <v>2400998.3999999999</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1385749.4153823399</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1385749.4153823399</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7</v>
      </c>
      <c r="X96" t="e">
        <f>ROUND(IF(G96=L96,W96*(1+#REF!),W96*(1-#REF!)),0)</f>
        <v>#REF!</v>
      </c>
      <c r="Y96">
        <f t="shared" ref="Y96:Y123" si="203">W96</f>
        <v>7</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7</v>
      </c>
      <c r="BG96" t="e">
        <f>ROUND(IF(AP96=AU96,BF96*(1+#REF!),BF96*(1-#REF!)),0)</f>
        <v>#REF!</v>
      </c>
      <c r="BH96">
        <f t="shared" ref="BH96:BH123" si="211">BF96</f>
        <v>7</v>
      </c>
      <c r="BI96" s="137">
        <f>BH96*10000*CurrInfo!$G13/CurrInfo!$D13</f>
        <v>53550.176320270009</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7</v>
      </c>
      <c r="CP96" t="e">
        <f>ROUND(IF(BY96=CD96,CO96*(1+#REF!),CO96*(1-#REF!)),0)</f>
        <v>#REF!</v>
      </c>
      <c r="CQ96">
        <f t="shared" ref="CQ96:CQ123" si="219">CO96</f>
        <v>7</v>
      </c>
      <c r="CR96" s="137">
        <f>CQ96*10000*CurrInfo!$G13/CurrInfo!$D13</f>
        <v>53550.176320270009</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51644.698037999995</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51644.698037999995</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7</v>
      </c>
      <c r="X98" t="e">
        <f>ROUND(IF(G98=L98,W98*(1+#REF!),W98*(1-#REF!)),0)</f>
        <v>#REF!</v>
      </c>
      <c r="Y98">
        <f t="shared" si="203"/>
        <v>7</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7</v>
      </c>
      <c r="BG98" t="e">
        <f>ROUND(IF(AP98=AU98,BF98*(1+#REF!),BF98*(1-#REF!)),0)</f>
        <v>#REF!</v>
      </c>
      <c r="BH98">
        <f t="shared" si="211"/>
        <v>7</v>
      </c>
      <c r="BI98" s="137">
        <f>BH98*10000*CurrInfo!$G15/CurrInfo!$D15</f>
        <v>53556.258026276795</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7</v>
      </c>
      <c r="CP98" t="e">
        <f>ROUND(IF(BY98=CD98,CO98*(1+#REF!),CO98*(1-#REF!)),0)</f>
        <v>#REF!</v>
      </c>
      <c r="CQ98">
        <f t="shared" si="219"/>
        <v>7</v>
      </c>
      <c r="CR98" s="137">
        <f>CQ98*10000*CurrInfo!$G15/CurrInfo!$D15</f>
        <v>53556.258026276795</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7</v>
      </c>
      <c r="X99" t="e">
        <f>ROUND(IF(G99=L99,W99*(1+#REF!),W99*(1-#REF!)),0)</f>
        <v>#REF!</v>
      </c>
      <c r="Y99">
        <f t="shared" si="203"/>
        <v>7</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7</v>
      </c>
      <c r="BG99" t="e">
        <f>ROUND(IF(AP99=AU99,BF99*(1+#REF!),BF99*(1-#REF!)),0)</f>
        <v>#REF!</v>
      </c>
      <c r="BH99">
        <f t="shared" si="211"/>
        <v>7</v>
      </c>
      <c r="BI99" s="137">
        <f>BH99*10000*CurrInfo!$G16/CurrInfo!$D16</f>
        <v>53552.226554483888</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7</v>
      </c>
      <c r="CP99" t="e">
        <f>ROUND(IF(BY99=CD99,CO99*(1+#REF!),CO99*(1-#REF!)),0)</f>
        <v>#REF!</v>
      </c>
      <c r="CQ99">
        <f t="shared" si="219"/>
        <v>7</v>
      </c>
      <c r="CR99" s="137">
        <f>CQ99*10000*CurrInfo!$G16/CurrInfo!$D16</f>
        <v>53552.226554483888</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7</v>
      </c>
      <c r="X100" t="e">
        <f>ROUND(IF(G100=L100,W100*(1+#REF!),W100*(1-#REF!)),0)</f>
        <v>#REF!</v>
      </c>
      <c r="Y100">
        <f t="shared" si="203"/>
        <v>7</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7</v>
      </c>
      <c r="BG100" t="e">
        <f>ROUND(IF(AP100=AU100,BF100*(1+#REF!),BF100*(1-#REF!)),0)</f>
        <v>#REF!</v>
      </c>
      <c r="BH100">
        <f t="shared" si="211"/>
        <v>7</v>
      </c>
      <c r="BI100" s="137">
        <f>BH100*10000*CurrInfo!$G17/CurrInfo!$D17</f>
        <v>53550</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7</v>
      </c>
      <c r="CP100" t="e">
        <f>ROUND(IF(BY100=CD100,CO100*(1+#REF!),CO100*(1-#REF!)),0)</f>
        <v>#REF!</v>
      </c>
      <c r="CQ100">
        <f t="shared" si="219"/>
        <v>7</v>
      </c>
      <c r="CR100" s="137">
        <f>CQ100*10000*CurrInfo!$G17/CurrInfo!$D17</f>
        <v>53550</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7</v>
      </c>
      <c r="X101" t="e">
        <f>ROUND(IF(G101=L101,W101*(1+#REF!),W101*(1-#REF!)),0)</f>
        <v>#REF!</v>
      </c>
      <c r="Y101">
        <f t="shared" si="203"/>
        <v>7</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7</v>
      </c>
      <c r="BG101" t="e">
        <f>ROUND(IF(AP101=AU101,BF101*(1+#REF!),BF101*(1-#REF!)),0)</f>
        <v>#REF!</v>
      </c>
      <c r="BH101">
        <f t="shared" si="211"/>
        <v>7</v>
      </c>
      <c r="BI101" s="137">
        <f>BH101*10000*CurrInfo!$G18/CurrInfo!$D18</f>
        <v>53554.509682894837</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7</v>
      </c>
      <c r="CP101" t="e">
        <f>ROUND(IF(BY101=CD101,CO101*(1+#REF!),CO101*(1-#REF!)),0)</f>
        <v>#REF!</v>
      </c>
      <c r="CQ101">
        <f t="shared" si="219"/>
        <v>7</v>
      </c>
      <c r="CR101" s="137">
        <f>CQ101*10000*CurrInfo!$G18/CurrInfo!$D18</f>
        <v>53554.509682894837</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50411.233701103309</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50411.233701103309</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6</v>
      </c>
      <c r="X103" t="e">
        <f>ROUND(IF(G103=L103,W103*(1+#REF!),W103*(1-#REF!)),0)</f>
        <v>#REF!</v>
      </c>
      <c r="Y103">
        <f t="shared" si="203"/>
        <v>6</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6</v>
      </c>
      <c r="BG103" t="e">
        <f>ROUND(IF(AP103=AU103,BF103*(1+#REF!),BF103*(1-#REF!)),0)</f>
        <v>#REF!</v>
      </c>
      <c r="BH103">
        <f t="shared" si="211"/>
        <v>6</v>
      </c>
      <c r="BI103" s="137">
        <f>BH103*10000*CurrInfo!$G20/CurrInfo!$D20</f>
        <v>46295.47178329571</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6</v>
      </c>
      <c r="CP103" t="e">
        <f>ROUND(IF(BY103=CD103,CO103*(1+#REF!),CO103*(1-#REF!)),0)</f>
        <v>#REF!</v>
      </c>
      <c r="CQ103">
        <f t="shared" si="219"/>
        <v>6</v>
      </c>
      <c r="CR103" s="137">
        <f>CQ103*10000*CurrInfo!$G20/CurrInfo!$D20</f>
        <v>46295.47178329571</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50427.816129694234</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50427.816129694234</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51633.16746568001</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51633.16746568001</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51627.334290991173</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51627.334290991173</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51616</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51616</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51630.149165267212</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51630.149165267212</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51637.990895764211</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51637.990895764211</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44674.014690280004</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44674.014690280004</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44657.64</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44657.64</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44660.134248900547</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44660.134248900547</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44658.698014422604</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44658.698014422604</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44666.529858403446</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44666.529858403446</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44638.549120000003</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44638.549120000003</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44656</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44656</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6</v>
      </c>
      <c r="X117" t="e">
        <f>ROUND(IF(G117=L117,W117*(1+#REF!),W117*(1-#REF!)),0)</f>
        <v>#REF!</v>
      </c>
      <c r="Y117">
        <f t="shared" si="203"/>
        <v>6</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6</v>
      </c>
      <c r="BG117" t="e">
        <f>ROUND(IF(AP117=AU117,BF117*(1+#REF!),BF117*(1-#REF!)),0)</f>
        <v>#REF!</v>
      </c>
      <c r="BH117">
        <f t="shared" si="211"/>
        <v>6</v>
      </c>
      <c r="BI117" s="137">
        <f>BH117*10000*CurrInfo!$G34/CurrInfo!$D34</f>
        <v>46297.124038328562</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6</v>
      </c>
      <c r="CP117" t="e">
        <f>ROUND(IF(BY117=CD117,CO117*(1+#REF!),CO117*(1-#REF!)),0)</f>
        <v>#REF!</v>
      </c>
      <c r="CQ117">
        <f t="shared" si="219"/>
        <v>6</v>
      </c>
      <c r="CR117" s="137">
        <f>CQ117*10000*CurrInfo!$G34/CurrInfo!$D34</f>
        <v>46297.124038328562</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50418.856449669067</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50418.856449669067</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51306.193608614049</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51306.193608614049</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50428.643300000003</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50428.643300000003</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42597</v>
      </c>
      <c r="C1" t="s">
        <v>1173</v>
      </c>
      <c r="D1" s="194"/>
      <c r="E1" s="194"/>
      <c r="F1" s="194"/>
    </row>
    <row r="2" spans="2:6" x14ac:dyDescent="0.25">
      <c r="B2" s="194">
        <f>CurrInfo!G12</f>
        <v>42594</v>
      </c>
      <c r="C2" t="s">
        <v>1124</v>
      </c>
      <c r="D2" s="194"/>
      <c r="E2" s="194"/>
      <c r="F2" s="194"/>
    </row>
    <row r="3" spans="2:6" x14ac:dyDescent="0.25">
      <c r="B3">
        <f>[3]futuresATR!$E$2</f>
        <v>-4.9435028248600004E-3</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400" t="s">
        <v>1236</v>
      </c>
      <c r="H22" s="401"/>
      <c r="I22" s="401"/>
      <c r="J22" s="401"/>
      <c r="K22" s="401"/>
      <c r="L22" s="401"/>
      <c r="M22" s="401"/>
      <c r="N22" s="401"/>
      <c r="O22" s="401"/>
      <c r="P22" s="401"/>
      <c r="Q22" s="401"/>
      <c r="R22" s="401"/>
      <c r="S22" s="402"/>
    </row>
    <row r="23" spans="1:23" x14ac:dyDescent="0.25">
      <c r="G23" s="409" t="s">
        <v>1239</v>
      </c>
      <c r="H23" s="409"/>
      <c r="I23" s="409"/>
      <c r="J23" s="409"/>
      <c r="K23" s="403" t="s">
        <v>1232</v>
      </c>
      <c r="L23" s="403"/>
      <c r="M23" s="403"/>
      <c r="N23" s="403"/>
      <c r="O23" s="404" t="s">
        <v>1237</v>
      </c>
      <c r="P23" s="404"/>
      <c r="Q23" s="397" t="s">
        <v>1233</v>
      </c>
      <c r="R23" s="397"/>
      <c r="S23" s="397"/>
    </row>
    <row r="24" spans="1:23" x14ac:dyDescent="0.25">
      <c r="G24" s="271" t="s">
        <v>1230</v>
      </c>
      <c r="H24" s="271"/>
      <c r="I24" s="271"/>
      <c r="J24" s="271"/>
      <c r="K24" s="388" t="s">
        <v>1231</v>
      </c>
      <c r="L24" s="388"/>
      <c r="M24" s="388"/>
      <c r="N24" s="388"/>
      <c r="O24" s="396" t="s">
        <v>1238</v>
      </c>
      <c r="P24" s="396"/>
      <c r="Q24" s="398" t="s">
        <v>1234</v>
      </c>
      <c r="R24" s="398"/>
      <c r="S24" s="398"/>
    </row>
    <row r="25" spans="1:23" x14ac:dyDescent="0.25">
      <c r="G25" s="407" t="s">
        <v>1223</v>
      </c>
      <c r="H25" s="407"/>
      <c r="I25" s="407"/>
      <c r="J25" s="407"/>
      <c r="K25" s="407"/>
      <c r="L25" s="407"/>
      <c r="M25" s="405" t="s">
        <v>1224</v>
      </c>
      <c r="N25" s="405"/>
      <c r="O25" s="405"/>
      <c r="P25" s="405"/>
      <c r="Q25" s="383" t="s">
        <v>1235</v>
      </c>
      <c r="R25" s="383"/>
      <c r="S25" s="383"/>
    </row>
    <row r="26" spans="1:23" x14ac:dyDescent="0.25">
      <c r="G26" s="408" t="s">
        <v>1225</v>
      </c>
      <c r="H26" s="408"/>
      <c r="I26" s="408"/>
      <c r="J26" s="408"/>
      <c r="K26" s="408"/>
      <c r="L26" s="408"/>
      <c r="M26" s="406" t="s">
        <v>1226</v>
      </c>
      <c r="N26" s="406"/>
      <c r="O26" s="406"/>
      <c r="P26" s="406"/>
      <c r="Q26" s="395" t="s">
        <v>1229</v>
      </c>
      <c r="R26" s="395"/>
      <c r="S26" s="395"/>
    </row>
    <row r="28" spans="1:23" x14ac:dyDescent="0.25">
      <c r="A28" s="193">
        <f>A30/A29</f>
        <v>0.28501877052119912</v>
      </c>
      <c r="B28" s="193">
        <f>B30/B29</f>
        <v>0.55586507621719006</v>
      </c>
      <c r="C28" s="193">
        <f t="shared" ref="C28:E28" si="0">C30/C29</f>
        <v>0.11120240303103528</v>
      </c>
      <c r="D28" s="193">
        <f t="shared" si="0"/>
        <v>0.17219040829860513</v>
      </c>
      <c r="E28" s="193">
        <f t="shared" si="0"/>
        <v>-0.19357238480171779</v>
      </c>
      <c r="F28" s="193"/>
      <c r="G28" t="s">
        <v>1227</v>
      </c>
      <c r="H28" s="193">
        <f>H30/H29</f>
        <v>-0.16109155888995727</v>
      </c>
      <c r="I28" s="193">
        <f>I30/I29</f>
        <v>0.18077437595304888</v>
      </c>
      <c r="J28" s="193">
        <f t="shared" ref="J28:Q28" si="1">J30/J29</f>
        <v>0.32698962218955596</v>
      </c>
      <c r="K28" s="193">
        <f t="shared" si="1"/>
        <v>0.13849253427140326</v>
      </c>
      <c r="L28" s="193">
        <f t="shared" si="1"/>
        <v>0.32727074615108781</v>
      </c>
      <c r="M28" s="193">
        <f t="shared" si="1"/>
        <v>0.26124877149082515</v>
      </c>
      <c r="N28" s="193">
        <f t="shared" si="1"/>
        <v>0.16132551551765847</v>
      </c>
      <c r="O28" s="193">
        <f t="shared" si="1"/>
        <v>-0.16012132737535978</v>
      </c>
      <c r="P28" s="193">
        <f t="shared" si="1"/>
        <v>0.35863655519087351</v>
      </c>
      <c r="Q28" s="193">
        <f t="shared" si="1"/>
        <v>-7.220937999681061E-2</v>
      </c>
      <c r="R28" s="193">
        <f t="shared" ref="R28:S28" si="2">R30/R29</f>
        <v>7.220937999681061E-2</v>
      </c>
      <c r="S28" s="193">
        <f t="shared" si="2"/>
        <v>0.37390102097019928</v>
      </c>
    </row>
    <row r="29" spans="1:23" x14ac:dyDescent="0.25">
      <c r="A29" s="137">
        <f>STDEV(A37:A999)</f>
        <v>12320.408335756147</v>
      </c>
      <c r="B29" s="137">
        <f>STDEV(B37:B999)</f>
        <v>10049.585460588794</v>
      </c>
      <c r="C29" s="137">
        <f t="shared" ref="C29:E29" si="3">STDEV(C37:C999)</f>
        <v>17525.511688973031</v>
      </c>
      <c r="D29" s="137">
        <f t="shared" si="3"/>
        <v>13311.59455218921</v>
      </c>
      <c r="E29" s="137">
        <f t="shared" si="3"/>
        <v>28991.949623769466</v>
      </c>
      <c r="F29" s="137"/>
      <c r="G29" t="s">
        <v>1203</v>
      </c>
      <c r="H29" s="137">
        <f t="shared" ref="H29:Q29" si="4">STDEV(H37:H999)</f>
        <v>12386.996644366927</v>
      </c>
      <c r="I29" s="137">
        <f t="shared" ref="I29" si="5">STDEV(I37:I999)</f>
        <v>13500.100490386205</v>
      </c>
      <c r="J29" s="137">
        <f>STDEV(J37:J999)</f>
        <v>20911.988338418603</v>
      </c>
      <c r="K29" s="137">
        <f t="shared" si="4"/>
        <v>15732.837169694722</v>
      </c>
      <c r="L29" s="137">
        <f t="shared" si="4"/>
        <v>11698.431541093272</v>
      </c>
      <c r="M29" s="137">
        <f t="shared" si="4"/>
        <v>13854.380105456708</v>
      </c>
      <c r="N29" s="137">
        <f t="shared" si="4"/>
        <v>15666.183935707701</v>
      </c>
      <c r="O29" s="137">
        <f t="shared" si="4"/>
        <v>15533.023032270987</v>
      </c>
      <c r="P29" s="137">
        <f t="shared" si="4"/>
        <v>14479.72596333919</v>
      </c>
      <c r="Q29" s="137">
        <f t="shared" si="4"/>
        <v>38324.106462923963</v>
      </c>
      <c r="R29" s="137">
        <f t="shared" ref="R29:S29" si="6">STDEV(R37:R999)</f>
        <v>38324.106462923963</v>
      </c>
      <c r="S29" s="137">
        <f t="shared" si="6"/>
        <v>13608.484190885676</v>
      </c>
    </row>
    <row r="30" spans="1:23" ht="15.75" thickBot="1" x14ac:dyDescent="0.3">
      <c r="A30" s="186">
        <f>AVERAGE(A37:A999)</f>
        <v>3511.5476361763499</v>
      </c>
      <c r="B30" s="186">
        <f>AVERAGE(B37:B999)</f>
        <v>5586.2135880013557</v>
      </c>
      <c r="C30" s="186">
        <f t="shared" ref="C30:E30" si="7">AVERAGE(C37:C999)</f>
        <v>1948.8790141622987</v>
      </c>
      <c r="D30" s="186">
        <f t="shared" si="7"/>
        <v>2292.1289010469477</v>
      </c>
      <c r="E30" s="186">
        <f t="shared" si="7"/>
        <v>-5612.0408287243199</v>
      </c>
      <c r="F30" s="186"/>
      <c r="G30" s="186" t="s">
        <v>1200</v>
      </c>
      <c r="H30" s="186">
        <f>AVERAGE(H37:H999)</f>
        <v>-1995.4405994057379</v>
      </c>
      <c r="I30" s="186">
        <f t="shared" ref="I30" si="8">AVERAGE(I37:I999)</f>
        <v>2440.4722414530152</v>
      </c>
      <c r="J30" s="186">
        <f>AVERAGE(J37:J999)</f>
        <v>6838.0031660118993</v>
      </c>
      <c r="K30" s="186">
        <f t="shared" ref="K30:Q30" si="9">AVERAGE(K37:K999)</f>
        <v>2178.8804909103533</v>
      </c>
      <c r="L30" s="186">
        <f t="shared" si="9"/>
        <v>3828.5544192510151</v>
      </c>
      <c r="M30" s="186">
        <f t="shared" si="9"/>
        <v>3619.4397823174936</v>
      </c>
      <c r="N30" s="186">
        <f t="shared" si="9"/>
        <v>2527.3551996225046</v>
      </c>
      <c r="O30" s="186">
        <f t="shared" si="9"/>
        <v>-2487.1682660792662</v>
      </c>
      <c r="P30" s="186">
        <f t="shared" si="9"/>
        <v>5192.9590395998193</v>
      </c>
      <c r="Q30" s="186">
        <f t="shared" si="9"/>
        <v>-2767.3599666195018</v>
      </c>
      <c r="R30" s="186">
        <f t="shared" ref="R30:S30" si="10">AVERAGE(R37:R999)</f>
        <v>2767.3599666195018</v>
      </c>
      <c r="S30" s="186">
        <f t="shared" si="10"/>
        <v>5088.2261328289705</v>
      </c>
    </row>
    <row r="31" spans="1:23" x14ac:dyDescent="0.25">
      <c r="A31" s="279">
        <f>SUM(A37:A1005)</f>
        <v>87788.690904408752</v>
      </c>
      <c r="B31" s="279">
        <f>SUM(B37:B1005)</f>
        <v>139655.33970003389</v>
      </c>
      <c r="C31" s="279">
        <f>SUM(C37:C1005)</f>
        <v>33130.943240759079</v>
      </c>
      <c r="D31" s="279">
        <f t="shared" ref="D31" si="11">SUM(D37:D1005)</f>
        <v>38966.191317798111</v>
      </c>
      <c r="E31" s="279">
        <f>SUM(E37:E1005)</f>
        <v>-101016.73491703776</v>
      </c>
      <c r="F31" s="256"/>
      <c r="G31" t="s">
        <v>1242</v>
      </c>
      <c r="H31" s="279">
        <f>SUM(H37:H1005)</f>
        <v>-47890.574385737709</v>
      </c>
      <c r="I31" s="279">
        <f t="shared" ref="I31" si="12">SUM(I37:I1005)</f>
        <v>58571.333794872364</v>
      </c>
      <c r="J31" s="279">
        <f>SUM(J37:J1005)</f>
        <v>164112.07598428559</v>
      </c>
      <c r="K31" s="279">
        <f t="shared" ref="K31:Q31" si="13">SUM(K37:K1005)</f>
        <v>52293.131781848482</v>
      </c>
      <c r="L31" s="279">
        <f t="shared" si="13"/>
        <v>91885.306062024363</v>
      </c>
      <c r="M31" s="279">
        <f t="shared" si="13"/>
        <v>86866.55477561985</v>
      </c>
      <c r="N31" s="279">
        <f t="shared" si="13"/>
        <v>60656.524790940108</v>
      </c>
      <c r="O31" s="279">
        <f t="shared" si="13"/>
        <v>-59692.038385902386</v>
      </c>
      <c r="P31" s="279">
        <f t="shared" si="13"/>
        <v>124631.01695039567</v>
      </c>
      <c r="Q31" s="279">
        <f t="shared" si="13"/>
        <v>-66416.639198868041</v>
      </c>
      <c r="R31" s="279">
        <f t="shared" ref="R31:S31" si="14">SUM(R37:R1005)</f>
        <v>66416.639198868041</v>
      </c>
      <c r="S31" s="279">
        <f t="shared" si="14"/>
        <v>122117.42718789529</v>
      </c>
      <c r="W31" s="137"/>
    </row>
    <row r="32" spans="1:23" x14ac:dyDescent="0.25">
      <c r="A32" s="280">
        <f>SUM(A58:A90)</f>
        <v>-37033.559535417677</v>
      </c>
      <c r="B32" s="280">
        <f t="shared" ref="B32:E32" si="15">SUM(B58:B90)</f>
        <v>19075.678832826954</v>
      </c>
      <c r="C32" s="280">
        <f t="shared" si="15"/>
        <v>12237.890098396863</v>
      </c>
      <c r="D32" s="280">
        <f t="shared" si="15"/>
        <v>10394.6108278915</v>
      </c>
      <c r="E32" s="280">
        <f t="shared" si="15"/>
        <v>11616.076329177704</v>
      </c>
      <c r="F32" s="256"/>
      <c r="G32" t="s">
        <v>1243</v>
      </c>
      <c r="H32" s="280">
        <f t="shared" ref="H32:S32" si="16">SUM(H58:H90)</f>
        <v>-27437.03665998211</v>
      </c>
      <c r="I32" s="280">
        <f t="shared" si="16"/>
        <v>-7480.938762547039</v>
      </c>
      <c r="J32" s="280">
        <f t="shared" si="16"/>
        <v>58959.559122514525</v>
      </c>
      <c r="K32" s="280">
        <f t="shared" si="16"/>
        <v>-18672.792832441995</v>
      </c>
      <c r="L32" s="280">
        <f t="shared" si="16"/>
        <v>10394.6108278915</v>
      </c>
      <c r="M32" s="280">
        <f t="shared" si="16"/>
        <v>-51982.111333679393</v>
      </c>
      <c r="N32" s="280">
        <f t="shared" si="16"/>
        <v>11791.625593776596</v>
      </c>
      <c r="O32" s="280">
        <f t="shared" si="16"/>
        <v>-28977.61494644059</v>
      </c>
      <c r="P32" s="280">
        <f t="shared" si="16"/>
        <v>30556.118192012636</v>
      </c>
      <c r="Q32" s="280">
        <f t="shared" si="16"/>
        <v>-57531.469077095244</v>
      </c>
      <c r="R32" s="280">
        <f t="shared" si="16"/>
        <v>57531.469077095244</v>
      </c>
      <c r="S32" s="280">
        <f t="shared" si="16"/>
        <v>18342.021315237951</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177917.66293447587</v>
      </c>
      <c r="U34" t="s">
        <v>1177</v>
      </c>
      <c r="V34" s="137">
        <f>AVERAGE('FuturesInfo (3)'!W2:W80)</f>
        <v>2252.1223156262768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-8</v>
      </c>
      <c r="AB35">
        <f>[3]futuresATR!$N$2</f>
        <v>3</v>
      </c>
      <c r="AD35">
        <f>[3]futuresATR!$U$2</f>
        <v>-8</v>
      </c>
      <c r="AE35">
        <f>[3]futuresATR!$AC$2</f>
        <v>1</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-19008.682486541318</v>
      </c>
      <c r="B59" s="186">
        <f>IF(S58=MIN(S58,P58,L58),S59,IF(P58=MIN(S58,P58,L58),P59,L59))</f>
        <v>-11549.079982892066</v>
      </c>
      <c r="C59" s="260">
        <f>O59</f>
        <v>-18386.868717322159</v>
      </c>
      <c r="D59" s="245">
        <f>L59</f>
        <v>-11549.079982892066</v>
      </c>
      <c r="E59" s="245">
        <f>A59</f>
        <v>-19008.682486541318</v>
      </c>
      <c r="F59" s="193">
        <f t="shared" si="19"/>
        <v>0.2</v>
      </c>
      <c r="G59">
        <f>old!AP12</f>
        <v>20160801</v>
      </c>
      <c r="H59" s="186">
        <f>old!BK13</f>
        <v>-24416.079299339861</v>
      </c>
      <c r="I59" s="253">
        <f>old!BL13</f>
        <v>-23814.185332226854</v>
      </c>
      <c r="J59" s="277">
        <f>-old!BM13</f>
        <v>-13008.845242334743</v>
      </c>
      <c r="K59" s="253">
        <f>old!BN13</f>
        <v>19550.13264923028</v>
      </c>
      <c r="L59" s="275">
        <f>old!BO13</f>
        <v>-11549.079982892066</v>
      </c>
      <c r="M59" s="253">
        <f>old!BP13</f>
        <v>-33957.234284803031</v>
      </c>
      <c r="N59" s="186">
        <f>old!BQ13</f>
        <v>20035.290314803253</v>
      </c>
      <c r="O59" s="186">
        <f>old!BR13</f>
        <v>-18386.868717322159</v>
      </c>
      <c r="P59" s="275">
        <f>old!BS13</f>
        <v>-19008.682486541318</v>
      </c>
      <c r="Q59" s="277">
        <f>old!BT13</f>
        <v>-46471.323413244027</v>
      </c>
      <c r="R59" s="277">
        <f>-Q59</f>
        <v>46471.323413244027</v>
      </c>
      <c r="S59" s="275">
        <f>old!BU13</f>
        <v>-12282.737500481069</v>
      </c>
      <c r="T59" s="186">
        <f>old!BV13</f>
        <v>117659.05056442789</v>
      </c>
      <c r="U59" s="254">
        <f>old!AW13</f>
        <v>0.379746835443038</v>
      </c>
      <c r="V59" s="140">
        <f>old!AY10</f>
        <v>1634.1534800614984</v>
      </c>
      <c r="W59">
        <f t="shared" si="20"/>
        <v>20160801</v>
      </c>
      <c r="AK59" s="186">
        <f>SUM(H$58:H59)</f>
        <v>-27437.03665998211</v>
      </c>
      <c r="AL59" s="186">
        <f>SUM(I$58:I59)</f>
        <v>-7480.938762547039</v>
      </c>
      <c r="AM59" s="186">
        <f>SUM(J$58:J59)</f>
        <v>58959.559122514525</v>
      </c>
      <c r="AN59" s="186">
        <f>SUM(K$58:K59)</f>
        <v>-18672.792832441995</v>
      </c>
      <c r="AO59" s="186">
        <f>SUM(L$58:L59)</f>
        <v>10394.6108278915</v>
      </c>
      <c r="AP59" s="186">
        <f>SUM(M$58:M59)</f>
        <v>-51982.111333679393</v>
      </c>
      <c r="AQ59" s="186">
        <f>SUM(N$58:N59)</f>
        <v>11791.625593776596</v>
      </c>
      <c r="AR59" s="186">
        <f>SUM(O$58:O59)</f>
        <v>-28977.61494644059</v>
      </c>
      <c r="AS59" s="186">
        <f>SUM(P$58:P59)</f>
        <v>30556.118192012636</v>
      </c>
      <c r="AT59" s="186">
        <f>SUM(Q$58:Q59)</f>
        <v>-57531.469077095244</v>
      </c>
      <c r="AU59" s="186">
        <f>SUM(R$58:R59)</f>
        <v>57531.469077095244</v>
      </c>
      <c r="AV59" s="186">
        <f>SUM(S$58:S59)</f>
        <v>18342.021315237951</v>
      </c>
      <c r="AW59" s="186">
        <f>SUM(B$58:B59)</f>
        <v>19075.678832826954</v>
      </c>
      <c r="AX59" s="186">
        <f>SUM(A$58:A59)</f>
        <v>-37033.559535417677</v>
      </c>
      <c r="AY59" s="273">
        <f>SUM(C$58:C59)</f>
        <v>12237.890098396863</v>
      </c>
      <c r="AZ59" s="245">
        <f>SUM(D$58:D59)</f>
        <v>10394.6108278915</v>
      </c>
      <c r="BA59" s="273">
        <f>SUM(E$58:E59)</f>
        <v>11616.076329177704</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438" t="s">
        <v>30</v>
      </c>
      <c r="B1" s="438"/>
      <c r="C1" s="5"/>
      <c r="D1" s="439" t="s">
        <v>31</v>
      </c>
      <c r="E1" s="439"/>
      <c r="F1" s="440"/>
      <c r="G1" s="440"/>
      <c r="H1" s="440"/>
      <c r="I1" s="440"/>
      <c r="J1" s="440"/>
      <c r="K1" s="440"/>
      <c r="L1" s="440"/>
      <c r="M1" s="440"/>
      <c r="N1" s="440"/>
      <c r="O1" s="440"/>
      <c r="P1" s="440"/>
      <c r="Q1" s="440"/>
      <c r="R1" s="440"/>
      <c r="S1" s="440"/>
    </row>
    <row r="2" spans="1:58" ht="15.75" x14ac:dyDescent="0.25">
      <c r="A2" s="422" t="s">
        <v>32</v>
      </c>
      <c r="B2" s="422"/>
      <c r="C2" s="5"/>
      <c r="D2" s="441">
        <v>41080</v>
      </c>
      <c r="E2" s="441"/>
      <c r="F2" s="442"/>
      <c r="G2" s="442"/>
      <c r="H2" s="442"/>
      <c r="I2" s="442"/>
      <c r="J2" s="442"/>
      <c r="K2" s="442"/>
      <c r="L2" s="442"/>
      <c r="M2" s="442"/>
      <c r="N2" s="442"/>
      <c r="O2" s="442"/>
      <c r="P2" s="442"/>
      <c r="Q2" s="442"/>
      <c r="R2" s="442"/>
      <c r="S2" s="442"/>
    </row>
    <row r="3" spans="1:58" ht="15.75" x14ac:dyDescent="0.25">
      <c r="A3" s="422" t="s">
        <v>33</v>
      </c>
      <c r="B3" s="422"/>
      <c r="D3" s="443" t="s">
        <v>34</v>
      </c>
      <c r="E3" s="443"/>
      <c r="F3" s="443"/>
      <c r="G3" s="7"/>
      <c r="H3" s="7"/>
      <c r="I3" s="7"/>
      <c r="J3" s="7"/>
      <c r="K3" s="7"/>
      <c r="L3" s="7"/>
      <c r="M3" s="7"/>
      <c r="N3" s="7"/>
      <c r="O3" s="7"/>
      <c r="P3" s="7"/>
      <c r="Q3" s="7"/>
      <c r="R3" s="7"/>
      <c r="S3" s="7"/>
    </row>
    <row r="4" spans="1:58" ht="15.75" x14ac:dyDescent="0.25">
      <c r="A4" s="422" t="s">
        <v>35</v>
      </c>
      <c r="B4" s="422"/>
      <c r="D4" s="8">
        <v>1</v>
      </c>
      <c r="E4" s="8">
        <v>2</v>
      </c>
      <c r="F4" s="8">
        <v>3</v>
      </c>
      <c r="G4" s="9"/>
      <c r="H4" s="10"/>
      <c r="I4" s="10"/>
      <c r="J4" s="10"/>
      <c r="K4" s="10"/>
      <c r="L4" s="10"/>
      <c r="M4" s="10"/>
      <c r="N4" s="10"/>
      <c r="O4" s="10"/>
      <c r="P4" s="10"/>
      <c r="Q4" s="10"/>
      <c r="R4" s="10"/>
      <c r="S4" s="10"/>
    </row>
    <row r="5" spans="1:58" x14ac:dyDescent="0.25">
      <c r="A5" s="422" t="s">
        <v>36</v>
      </c>
      <c r="B5" s="422"/>
      <c r="D5" s="11" t="s">
        <v>37</v>
      </c>
      <c r="E5" s="11" t="s">
        <v>38</v>
      </c>
      <c r="F5" s="11" t="s">
        <v>38</v>
      </c>
      <c r="G5" s="12"/>
      <c r="H5" s="423" t="s">
        <v>39</v>
      </c>
      <c r="I5" s="424"/>
      <c r="J5" s="424"/>
      <c r="K5" s="424"/>
      <c r="L5" s="424"/>
      <c r="M5" s="424"/>
      <c r="N5" s="424"/>
      <c r="O5" s="424"/>
      <c r="P5" s="424"/>
      <c r="Q5" s="424"/>
      <c r="R5" s="424"/>
      <c r="S5" s="425"/>
    </row>
    <row r="6" spans="1:58" x14ac:dyDescent="0.25">
      <c r="A6" s="13"/>
      <c r="B6" s="13"/>
      <c r="C6" s="14"/>
      <c r="D6" s="15"/>
      <c r="E6" s="15" t="s">
        <v>40</v>
      </c>
      <c r="F6" s="15" t="s">
        <v>41</v>
      </c>
      <c r="G6" s="16"/>
      <c r="H6" s="426" t="s">
        <v>42</v>
      </c>
      <c r="I6" s="427"/>
      <c r="J6" s="428"/>
      <c r="K6" s="429" t="s">
        <v>43</v>
      </c>
      <c r="L6" s="430"/>
      <c r="M6" s="431"/>
      <c r="N6" s="432" t="s">
        <v>44</v>
      </c>
      <c r="O6" s="433"/>
      <c r="P6" s="434"/>
      <c r="Q6" s="435" t="s">
        <v>45</v>
      </c>
      <c r="R6" s="436"/>
      <c r="S6" s="437"/>
    </row>
    <row r="7" spans="1:58" x14ac:dyDescent="0.25">
      <c r="A7" s="17"/>
      <c r="B7" s="17"/>
      <c r="C7" s="14"/>
      <c r="D7" s="18"/>
      <c r="E7" s="19"/>
      <c r="F7" s="20"/>
      <c r="G7" s="20"/>
      <c r="H7" s="412" t="s">
        <v>46</v>
      </c>
      <c r="I7" s="412"/>
      <c r="J7" s="412"/>
      <c r="K7" s="412"/>
      <c r="L7" s="412"/>
      <c r="M7" s="412"/>
      <c r="N7" s="412"/>
      <c r="O7" s="412"/>
      <c r="P7" s="412"/>
      <c r="Q7" s="412"/>
      <c r="R7" s="412"/>
      <c r="S7" s="412"/>
      <c r="U7" s="412" t="s">
        <v>47</v>
      </c>
      <c r="V7" s="412"/>
      <c r="W7" s="412"/>
      <c r="X7" s="412"/>
      <c r="Y7" s="412"/>
      <c r="Z7" s="412"/>
      <c r="AA7" s="412"/>
      <c r="AB7" s="412"/>
      <c r="AC7" s="412"/>
      <c r="AD7" s="412"/>
      <c r="AE7" s="412"/>
      <c r="AF7" s="412"/>
      <c r="AU7" s="412" t="s">
        <v>48</v>
      </c>
      <c r="AV7" s="412"/>
      <c r="AW7" s="412"/>
      <c r="AX7" s="412"/>
      <c r="AY7" s="412"/>
      <c r="AZ7" s="412"/>
      <c r="BA7" s="412"/>
      <c r="BB7" s="412"/>
      <c r="BC7" s="412"/>
      <c r="BD7" s="412"/>
      <c r="BE7" s="412"/>
      <c r="BF7" s="412"/>
    </row>
    <row r="8" spans="1:58" x14ac:dyDescent="0.25">
      <c r="A8" s="419" t="s">
        <v>49</v>
      </c>
      <c r="B8" s="419"/>
      <c r="D8" s="420" t="s">
        <v>50</v>
      </c>
      <c r="E8" s="420"/>
      <c r="F8" s="421"/>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412" t="s">
        <v>46</v>
      </c>
      <c r="I35" s="412"/>
      <c r="J35" s="412"/>
      <c r="K35" s="412"/>
      <c r="L35" s="412"/>
      <c r="M35" s="412"/>
      <c r="N35" s="412"/>
      <c r="O35" s="412"/>
      <c r="P35" s="412"/>
      <c r="Q35" s="412"/>
      <c r="R35" s="412"/>
      <c r="S35" s="412"/>
      <c r="U35" s="412" t="s">
        <v>47</v>
      </c>
      <c r="V35" s="412"/>
      <c r="W35" s="412"/>
      <c r="X35" s="412"/>
      <c r="Y35" s="412"/>
      <c r="Z35" s="412"/>
      <c r="AA35" s="412"/>
      <c r="AB35" s="412"/>
      <c r="AC35" s="412"/>
      <c r="AD35" s="412"/>
      <c r="AE35" s="412"/>
      <c r="AF35" s="412"/>
      <c r="AH35" s="412" t="s">
        <v>109</v>
      </c>
      <c r="AI35" s="412"/>
      <c r="AJ35" s="412"/>
      <c r="AK35" s="412"/>
      <c r="AL35" s="412"/>
      <c r="AM35" s="412"/>
      <c r="AN35" s="412"/>
      <c r="AO35" s="412"/>
      <c r="AP35" s="412"/>
      <c r="AQ35" s="412"/>
      <c r="AR35" s="412"/>
      <c r="AS35" s="412"/>
      <c r="AU35" s="412" t="s">
        <v>48</v>
      </c>
      <c r="AV35" s="412"/>
      <c r="AW35" s="412"/>
      <c r="AX35" s="412"/>
      <c r="AY35" s="412"/>
      <c r="AZ35" s="412"/>
      <c r="BA35" s="412"/>
      <c r="BB35" s="412"/>
      <c r="BC35" s="412"/>
      <c r="BD35" s="412"/>
      <c r="BE35" s="412"/>
      <c r="BF35" s="412"/>
    </row>
    <row r="36" spans="1:58" x14ac:dyDescent="0.25">
      <c r="A36" s="419" t="s">
        <v>110</v>
      </c>
      <c r="B36" s="419"/>
      <c r="D36" s="420" t="s">
        <v>111</v>
      </c>
      <c r="E36" s="420"/>
      <c r="F36" s="421"/>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412" t="s">
        <v>46</v>
      </c>
      <c r="I47" s="412"/>
      <c r="J47" s="412"/>
      <c r="K47" s="412"/>
      <c r="L47" s="412"/>
      <c r="M47" s="412"/>
      <c r="N47" s="412"/>
      <c r="O47" s="412"/>
      <c r="P47" s="412"/>
      <c r="Q47" s="412"/>
      <c r="R47" s="412"/>
      <c r="S47" s="412"/>
      <c r="U47" s="412" t="s">
        <v>47</v>
      </c>
      <c r="V47" s="412"/>
      <c r="W47" s="412"/>
      <c r="X47" s="412"/>
      <c r="Y47" s="412"/>
      <c r="Z47" s="412"/>
      <c r="AA47" s="412"/>
      <c r="AB47" s="412"/>
      <c r="AC47" s="412"/>
      <c r="AD47" s="412"/>
      <c r="AE47" s="412"/>
      <c r="AF47" s="412"/>
      <c r="AH47" s="412" t="s">
        <v>109</v>
      </c>
      <c r="AI47" s="412"/>
      <c r="AJ47" s="412"/>
      <c r="AK47" s="412"/>
      <c r="AL47" s="412"/>
      <c r="AM47" s="412"/>
      <c r="AN47" s="412"/>
      <c r="AO47" s="412"/>
      <c r="AP47" s="412"/>
      <c r="AQ47" s="412"/>
      <c r="AR47" s="412"/>
      <c r="AS47" s="412"/>
      <c r="AU47" s="412" t="s">
        <v>48</v>
      </c>
      <c r="AV47" s="412"/>
      <c r="AW47" s="412"/>
      <c r="AX47" s="412"/>
      <c r="AY47" s="412"/>
      <c r="AZ47" s="412"/>
      <c r="BA47" s="412"/>
      <c r="BB47" s="412"/>
      <c r="BC47" s="412"/>
      <c r="BD47" s="412"/>
      <c r="BE47" s="412"/>
      <c r="BF47" s="412"/>
    </row>
    <row r="48" spans="1:58" x14ac:dyDescent="0.25">
      <c r="A48" s="419" t="s">
        <v>128</v>
      </c>
      <c r="B48" s="419"/>
      <c r="C48" s="13"/>
      <c r="D48" s="420" t="s">
        <v>129</v>
      </c>
      <c r="E48" s="420"/>
      <c r="F48" s="421"/>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412" t="s">
        <v>163</v>
      </c>
      <c r="I65" s="412"/>
      <c r="J65" s="412"/>
      <c r="K65" s="412"/>
      <c r="L65" s="412"/>
      <c r="M65" s="412"/>
      <c r="N65" s="412"/>
      <c r="O65" s="412"/>
      <c r="P65" s="412"/>
      <c r="Q65" s="412"/>
      <c r="R65" s="412"/>
      <c r="S65" s="412"/>
      <c r="U65" s="413" t="s">
        <v>46</v>
      </c>
      <c r="V65" s="413"/>
      <c r="W65" s="413"/>
      <c r="X65" s="413"/>
      <c r="Y65" s="413"/>
      <c r="Z65" s="413"/>
      <c r="AA65" s="413"/>
      <c r="AB65" s="413"/>
      <c r="AC65" s="413"/>
      <c r="AD65" s="413"/>
      <c r="AE65" s="413"/>
      <c r="AF65" s="413"/>
      <c r="AH65" s="412" t="s">
        <v>47</v>
      </c>
      <c r="AI65" s="412"/>
      <c r="AJ65" s="412"/>
      <c r="AK65" s="412"/>
      <c r="AL65" s="412"/>
      <c r="AM65" s="412"/>
      <c r="AN65" s="412"/>
      <c r="AO65" s="412"/>
      <c r="AP65" s="412"/>
      <c r="AQ65" s="412"/>
      <c r="AR65" s="412"/>
      <c r="AS65" s="412"/>
      <c r="AU65" s="412" t="s">
        <v>48</v>
      </c>
      <c r="AV65" s="412"/>
      <c r="AW65" s="412"/>
      <c r="AX65" s="412"/>
      <c r="AY65" s="412"/>
      <c r="AZ65" s="412"/>
      <c r="BA65" s="412"/>
      <c r="BB65" s="412"/>
      <c r="BC65" s="412"/>
      <c r="BD65" s="412"/>
      <c r="BE65" s="412"/>
      <c r="BF65" s="412"/>
    </row>
    <row r="66" spans="1:58" x14ac:dyDescent="0.25">
      <c r="A66" s="414" t="s">
        <v>164</v>
      </c>
      <c r="B66" s="414"/>
      <c r="D66" s="415" t="s">
        <v>165</v>
      </c>
      <c r="E66" s="415"/>
      <c r="F66" s="416"/>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412" t="s">
        <v>163</v>
      </c>
      <c r="I72" s="412"/>
      <c r="J72" s="412"/>
      <c r="K72" s="412"/>
      <c r="L72" s="412"/>
      <c r="M72" s="412"/>
      <c r="N72" s="412"/>
      <c r="O72" s="412"/>
      <c r="P72" s="412"/>
      <c r="Q72" s="412"/>
      <c r="R72" s="412"/>
      <c r="S72" s="412"/>
      <c r="U72" s="413" t="s">
        <v>46</v>
      </c>
      <c r="V72" s="413"/>
      <c r="W72" s="413"/>
      <c r="X72" s="413"/>
      <c r="Y72" s="413"/>
      <c r="Z72" s="413"/>
      <c r="AA72" s="413"/>
      <c r="AB72" s="413"/>
      <c r="AC72" s="413"/>
      <c r="AD72" s="413"/>
      <c r="AE72" s="413"/>
      <c r="AF72" s="413"/>
      <c r="AH72" s="412" t="s">
        <v>47</v>
      </c>
      <c r="AI72" s="412"/>
      <c r="AJ72" s="412"/>
      <c r="AK72" s="412"/>
      <c r="AL72" s="412"/>
      <c r="AM72" s="412"/>
      <c r="AN72" s="412"/>
      <c r="AO72" s="412"/>
      <c r="AP72" s="412"/>
      <c r="AQ72" s="412"/>
      <c r="AR72" s="412"/>
      <c r="AS72" s="412"/>
      <c r="AU72" s="412" t="s">
        <v>48</v>
      </c>
      <c r="AV72" s="412"/>
      <c r="AW72" s="412"/>
      <c r="AX72" s="412"/>
      <c r="AY72" s="412"/>
      <c r="AZ72" s="412"/>
      <c r="BA72" s="412"/>
      <c r="BB72" s="412"/>
      <c r="BC72" s="412"/>
      <c r="BD72" s="412"/>
      <c r="BE72" s="412"/>
      <c r="BF72" s="412"/>
    </row>
    <row r="73" spans="1:58" x14ac:dyDescent="0.25">
      <c r="A73" s="417" t="s">
        <v>177</v>
      </c>
      <c r="B73" s="417"/>
      <c r="D73" s="417" t="s">
        <v>165</v>
      </c>
      <c r="E73" s="417"/>
      <c r="F73" s="418"/>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412" t="s">
        <v>190</v>
      </c>
      <c r="I80" s="412"/>
      <c r="J80" s="412"/>
      <c r="K80" s="412"/>
      <c r="L80" s="412"/>
      <c r="M80" s="412"/>
      <c r="N80" s="412"/>
      <c r="O80" s="412"/>
      <c r="P80" s="412"/>
      <c r="Q80" s="412"/>
      <c r="R80" s="412"/>
      <c r="S80" s="412"/>
      <c r="U80" s="413" t="s">
        <v>46</v>
      </c>
      <c r="V80" s="413"/>
      <c r="W80" s="413"/>
      <c r="X80" s="413"/>
      <c r="Y80" s="413"/>
      <c r="Z80" s="413"/>
      <c r="AA80" s="413"/>
      <c r="AB80" s="413"/>
      <c r="AC80" s="413"/>
      <c r="AD80" s="413"/>
      <c r="AE80" s="413"/>
      <c r="AF80" s="413"/>
      <c r="AH80" s="412" t="s">
        <v>47</v>
      </c>
      <c r="AI80" s="412"/>
      <c r="AJ80" s="412"/>
      <c r="AK80" s="412"/>
      <c r="AL80" s="412"/>
      <c r="AM80" s="412"/>
      <c r="AN80" s="412"/>
      <c r="AO80" s="412"/>
      <c r="AP80" s="412"/>
      <c r="AQ80" s="412"/>
      <c r="AR80" s="412"/>
      <c r="AS80" s="412"/>
      <c r="AU80" s="412" t="s">
        <v>48</v>
      </c>
      <c r="AV80" s="412"/>
      <c r="AW80" s="412"/>
      <c r="AX80" s="412"/>
      <c r="AY80" s="412"/>
      <c r="AZ80" s="412"/>
      <c r="BA80" s="412"/>
      <c r="BB80" s="412"/>
      <c r="BC80" s="412"/>
      <c r="BD80" s="412"/>
      <c r="BE80" s="412"/>
      <c r="BF80" s="412"/>
    </row>
    <row r="81" spans="1:58" x14ac:dyDescent="0.25">
      <c r="A81" s="410" t="s">
        <v>191</v>
      </c>
      <c r="B81" s="410"/>
      <c r="D81" s="410" t="s">
        <v>192</v>
      </c>
      <c r="E81" s="410"/>
      <c r="F81" s="411"/>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412" t="s">
        <v>190</v>
      </c>
      <c r="I90" s="412"/>
      <c r="J90" s="412"/>
      <c r="K90" s="412"/>
      <c r="L90" s="412"/>
      <c r="M90" s="412"/>
      <c r="N90" s="412"/>
      <c r="O90" s="412"/>
      <c r="P90" s="412"/>
      <c r="Q90" s="412"/>
      <c r="R90" s="412"/>
      <c r="S90" s="412"/>
      <c r="U90" s="413" t="s">
        <v>46</v>
      </c>
      <c r="V90" s="413"/>
      <c r="W90" s="413"/>
      <c r="X90" s="413"/>
      <c r="Y90" s="413"/>
      <c r="Z90" s="413"/>
      <c r="AA90" s="413"/>
      <c r="AB90" s="413"/>
      <c r="AC90" s="413"/>
      <c r="AD90" s="413"/>
      <c r="AE90" s="413"/>
      <c r="AF90" s="413"/>
      <c r="AH90" s="412" t="s">
        <v>47</v>
      </c>
      <c r="AI90" s="412"/>
      <c r="AJ90" s="412"/>
      <c r="AK90" s="412"/>
      <c r="AL90" s="412"/>
      <c r="AM90" s="412"/>
      <c r="AN90" s="412"/>
      <c r="AO90" s="412"/>
      <c r="AP90" s="412"/>
      <c r="AQ90" s="412"/>
      <c r="AR90" s="412"/>
      <c r="AS90" s="412"/>
      <c r="AU90" s="412" t="s">
        <v>48</v>
      </c>
      <c r="AV90" s="412"/>
      <c r="AW90" s="412"/>
      <c r="AX90" s="412"/>
      <c r="AY90" s="412"/>
      <c r="AZ90" s="412"/>
      <c r="BA90" s="412"/>
      <c r="BB90" s="412"/>
      <c r="BC90" s="412"/>
      <c r="BD90" s="412"/>
      <c r="BE90" s="412"/>
      <c r="BF90" s="412"/>
    </row>
    <row r="91" spans="1:58" x14ac:dyDescent="0.25">
      <c r="A91" s="410" t="s">
        <v>211</v>
      </c>
      <c r="B91" s="410"/>
      <c r="D91" s="410" t="s">
        <v>192</v>
      </c>
      <c r="E91" s="410"/>
      <c r="F91" s="411"/>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412" t="s">
        <v>219</v>
      </c>
      <c r="I95" s="412"/>
      <c r="J95" s="412"/>
      <c r="K95" s="412"/>
      <c r="L95" s="412"/>
      <c r="M95" s="412"/>
      <c r="N95" s="412"/>
      <c r="O95" s="412"/>
      <c r="P95" s="412"/>
      <c r="Q95" s="412"/>
      <c r="R95" s="412"/>
      <c r="S95" s="412"/>
      <c r="U95" s="413" t="s">
        <v>46</v>
      </c>
      <c r="V95" s="413"/>
      <c r="W95" s="413"/>
      <c r="X95" s="413"/>
      <c r="Y95" s="413"/>
      <c r="Z95" s="413"/>
      <c r="AA95" s="413"/>
      <c r="AB95" s="413"/>
      <c r="AC95" s="413"/>
      <c r="AD95" s="413"/>
      <c r="AE95" s="413"/>
      <c r="AF95" s="413"/>
      <c r="AH95" s="412" t="s">
        <v>47</v>
      </c>
      <c r="AI95" s="412"/>
      <c r="AJ95" s="412"/>
      <c r="AK95" s="412"/>
      <c r="AL95" s="412"/>
      <c r="AM95" s="412"/>
      <c r="AN95" s="412"/>
      <c r="AO95" s="412"/>
      <c r="AP95" s="412"/>
      <c r="AQ95" s="412"/>
      <c r="AR95" s="412"/>
      <c r="AS95" s="412"/>
      <c r="AU95" s="412" t="s">
        <v>48</v>
      </c>
      <c r="AV95" s="412"/>
      <c r="AW95" s="412"/>
      <c r="AX95" s="412"/>
      <c r="AY95" s="412"/>
      <c r="AZ95" s="412"/>
      <c r="BA95" s="412"/>
      <c r="BB95" s="412"/>
      <c r="BC95" s="412"/>
      <c r="BD95" s="412"/>
      <c r="BE95" s="412"/>
      <c r="BF95" s="412"/>
    </row>
    <row r="96" spans="1:58" x14ac:dyDescent="0.25">
      <c r="A96" s="410" t="s">
        <v>220</v>
      </c>
      <c r="B96" s="410"/>
      <c r="D96" s="410" t="s">
        <v>192</v>
      </c>
      <c r="E96" s="410"/>
      <c r="F96" s="411"/>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1:B1"/>
    <mergeCell ref="D1:S1"/>
    <mergeCell ref="A2:B2"/>
    <mergeCell ref="D2:S2"/>
    <mergeCell ref="A3:B3"/>
    <mergeCell ref="D3:F3"/>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U65:BF65"/>
    <mergeCell ref="A36:B36"/>
    <mergeCell ref="D36:F36"/>
    <mergeCell ref="H47:S47"/>
    <mergeCell ref="U47:AF47"/>
    <mergeCell ref="AH47:AS47"/>
    <mergeCell ref="AU47:BF47"/>
    <mergeCell ref="A48:B48"/>
    <mergeCell ref="D48:F48"/>
    <mergeCell ref="H65:S65"/>
    <mergeCell ref="U65:AF65"/>
    <mergeCell ref="AH65:AS65"/>
    <mergeCell ref="AU80:BF80"/>
    <mergeCell ref="A66:B66"/>
    <mergeCell ref="D66:F66"/>
    <mergeCell ref="H72:S72"/>
    <mergeCell ref="U72:AF72"/>
    <mergeCell ref="AH72:AS72"/>
    <mergeCell ref="AU72:BF72"/>
    <mergeCell ref="A73:B73"/>
    <mergeCell ref="D73:F73"/>
    <mergeCell ref="H80:S80"/>
    <mergeCell ref="U80:AF80"/>
    <mergeCell ref="AH80:AS80"/>
    <mergeCell ref="U95:AF95"/>
    <mergeCell ref="AH95:AS95"/>
    <mergeCell ref="AU95:BF95"/>
    <mergeCell ref="A81:B81"/>
    <mergeCell ref="D81:F81"/>
    <mergeCell ref="H90:S90"/>
    <mergeCell ref="U90:AF90"/>
    <mergeCell ref="AH90:AS90"/>
    <mergeCell ref="AU90:BF90"/>
    <mergeCell ref="A96:B96"/>
    <mergeCell ref="D96:F96"/>
    <mergeCell ref="A91:B91"/>
    <mergeCell ref="D91:F91"/>
    <mergeCell ref="H95:S95"/>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2</vt:i4>
      </vt:variant>
    </vt:vector>
  </HeadingPairs>
  <TitlesOfParts>
    <vt:vector size="44" baseType="lpstr">
      <vt:lpstr>daily (2)</vt:lpstr>
      <vt:lpstr>FuturesInfo (3)</vt:lpstr>
      <vt:lpstr>CurrInfo</vt:lpstr>
      <vt:lpstr>sym</vt:lpstr>
      <vt:lpstr>fhist</vt:lpstr>
      <vt:lpstr>0816</vt:lpstr>
      <vt:lpstr>0815</vt:lpstr>
      <vt:lpstr>0812</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2016-08-15T05:13:25Z</dcterms:modified>
</cp:coreProperties>
</file>