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Size</t>
        </is>
      </c>
      <c r="F1" s="1" t="inlineStr">
        <is>
          <t>Unit</t>
        </is>
      </c>
      <c r="G1" s="1" t="inlineStr">
        <is>
          <t>Material</t>
        </is>
      </c>
      <c r="H1" s="1" t="inlineStr">
        <is>
          <t>Finish</t>
        </is>
      </c>
      <c r="I1" s="1" t="inlineStr">
        <is>
          <t>16/10/2021</t>
        </is>
      </c>
    </row>
    <row r="2">
      <c r="A2" s="1">
        <f>Hyperlink("https://www.tilemountain.co.uk/p/100-pcs-per-pack-1mm-levelling-spacer.html","Product")</f>
        <v/>
      </c>
      <c r="B2" s="1" t="inlineStr">
        <is>
          <t>443385</t>
        </is>
      </c>
      <c r="C2" s="1" t="inlineStr">
        <is>
          <t>Levelling Clips - 100 per pack</t>
        </is>
      </c>
      <c r="D2" s="1" t="n">
        <v>7.49</v>
      </c>
      <c r="E2" s="1" t="inlineStr">
        <is>
          <t>-</t>
        </is>
      </c>
      <c r="F2" s="1" t="inlineStr">
        <is>
          <t>Qty</t>
        </is>
      </c>
      <c r="G2" s="1" t="inlineStr">
        <is>
          <t>-</t>
        </is>
      </c>
      <c r="H2" s="1" t="inlineStr">
        <is>
          <t>-</t>
        </is>
      </c>
      <c r="I2" t="n">
        <v>7.49</v>
      </c>
    </row>
    <row r="3">
      <c r="A3" s="1">
        <f>Hyperlink("https://www.tilemountain.co.uk/p/1000mm-chrome-effect-doorway-trim.html","Product")</f>
        <v/>
      </c>
      <c r="B3" s="1" t="inlineStr">
        <is>
          <t>451215</t>
        </is>
      </c>
      <c r="C3" s="1" t="inlineStr">
        <is>
          <t>1000mm Chrome Effect Doorway Trim</t>
        </is>
      </c>
      <c r="D3" s="1" t="n">
        <v>10.9</v>
      </c>
      <c r="E3" s="1" t="inlineStr">
        <is>
          <t>-</t>
        </is>
      </c>
      <c r="F3" s="1" t="inlineStr">
        <is>
          <t>Qty</t>
        </is>
      </c>
      <c r="G3" s="1" t="inlineStr">
        <is>
          <t>-</t>
        </is>
      </c>
      <c r="H3" s="1" t="inlineStr">
        <is>
          <t>-</t>
        </is>
      </c>
      <c r="I3" t="n">
        <v>10.9</v>
      </c>
    </row>
    <row r="4">
      <c r="A4" s="1">
        <f>Hyperlink("https://www.tilemountain.co.uk/p/1000mm-gold-effect-doorway-trim.html","Product")</f>
        <v/>
      </c>
      <c r="B4" s="1" t="inlineStr">
        <is>
          <t>451220</t>
        </is>
      </c>
      <c r="C4" s="1" t="inlineStr">
        <is>
          <t>1000mm Gold Effect Doorway Trim</t>
        </is>
      </c>
      <c r="D4" s="1" t="n">
        <v>10.9</v>
      </c>
      <c r="E4" s="1" t="inlineStr">
        <is>
          <t>-</t>
        </is>
      </c>
      <c r="F4" s="1" t="inlineStr">
        <is>
          <t>Qty</t>
        </is>
      </c>
      <c r="G4" s="1" t="inlineStr">
        <is>
          <t>-</t>
        </is>
      </c>
      <c r="H4" s="1" t="inlineStr">
        <is>
          <t>-</t>
        </is>
      </c>
      <c r="I4" t="n">
        <v>10.9</v>
      </c>
    </row>
    <row r="5">
      <c r="A5" s="1">
        <f>Hyperlink("https://www.tilemountain.co.uk/p/1000mm-pro-manual-tile-cutter-1000mm.html","Product")</f>
        <v/>
      </c>
      <c r="B5" s="1" t="inlineStr">
        <is>
          <t>450880</t>
        </is>
      </c>
      <c r="C5" s="1" t="inlineStr">
        <is>
          <t>1000mm Pro Manual Tile Cutter 1000mm</t>
        </is>
      </c>
      <c r="D5" s="1" t="n">
        <v>124.99</v>
      </c>
      <c r="E5" s="1" t="inlineStr">
        <is>
          <t>-</t>
        </is>
      </c>
      <c r="F5" s="1" t="inlineStr">
        <is>
          <t>Qty</t>
        </is>
      </c>
      <c r="G5" s="1" t="inlineStr">
        <is>
          <t>-</t>
        </is>
      </c>
      <c r="H5" s="1" t="inlineStr">
        <is>
          <t>-</t>
        </is>
      </c>
      <c r="I5" t="n">
        <v>124.99</v>
      </c>
    </row>
    <row r="6">
      <c r="A6" s="1">
        <f>Hyperlink("https://www.tilemountain.co.uk/p/10mm-porcelain-diamond-drill-bit.html","Product")</f>
        <v/>
      </c>
      <c r="B6" s="1" t="inlineStr">
        <is>
          <t>450815</t>
        </is>
      </c>
      <c r="C6" s="1" t="inlineStr">
        <is>
          <t>10mm Porcelain Diamond Drill Bit</t>
        </is>
      </c>
      <c r="D6" s="1" t="n">
        <v>9.49</v>
      </c>
      <c r="E6" s="1" t="inlineStr">
        <is>
          <t>-</t>
        </is>
      </c>
      <c r="F6" s="1" t="inlineStr">
        <is>
          <t>Qty</t>
        </is>
      </c>
      <c r="G6" s="1" t="inlineStr">
        <is>
          <t>-</t>
        </is>
      </c>
      <c r="H6" s="1" t="inlineStr">
        <is>
          <t>-</t>
        </is>
      </c>
      <c r="I6" t="n">
        <v>9.49</v>
      </c>
    </row>
    <row r="7">
      <c r="A7" s="1">
        <f>Hyperlink("https://www.tilemountain.co.uk/p/10mm-professional-square-notched-floor-trowel-5407.html","Product")</f>
        <v/>
      </c>
      <c r="B7" s="1" t="inlineStr">
        <is>
          <t>450625</t>
        </is>
      </c>
      <c r="C7" s="1" t="inlineStr">
        <is>
          <t>10mm Professional Square Notched Floor Trowel</t>
        </is>
      </c>
      <c r="D7" s="1" t="n">
        <v>7.99</v>
      </c>
      <c r="E7" s="1" t="inlineStr">
        <is>
          <t>-</t>
        </is>
      </c>
      <c r="F7" s="1" t="inlineStr">
        <is>
          <t>Qty</t>
        </is>
      </c>
      <c r="G7" s="1" t="inlineStr">
        <is>
          <t>-</t>
        </is>
      </c>
      <c r="H7" s="1" t="inlineStr">
        <is>
          <t>-</t>
        </is>
      </c>
      <c r="I7" t="n">
        <v>7.99</v>
      </c>
    </row>
    <row r="8">
      <c r="A8" s="1">
        <f>Hyperlink("https://www.tilemountain.co.uk/p/12mm-hardie-backer-board-pallet-deal-50-panels.html","Product")</f>
        <v/>
      </c>
      <c r="B8" s="1" t="inlineStr">
        <is>
          <t>445680-pd</t>
        </is>
      </c>
      <c r="C8" s="1" t="inlineStr">
        <is>
          <t>12mm HardieBacker Board (Pallet Deal - 50 Panels)</t>
        </is>
      </c>
      <c r="D8" s="1" t="n">
        <v>627</v>
      </c>
      <c r="E8" s="1" t="inlineStr">
        <is>
          <t>-</t>
        </is>
      </c>
      <c r="F8" s="1" t="inlineStr">
        <is>
          <t>Qty</t>
        </is>
      </c>
      <c r="G8" s="1" t="inlineStr">
        <is>
          <t>-</t>
        </is>
      </c>
      <c r="H8" s="1" t="inlineStr">
        <is>
          <t>-</t>
        </is>
      </c>
      <c r="I8" t="n">
        <v>627</v>
      </c>
    </row>
    <row r="9">
      <c r="A9" s="1">
        <f>Hyperlink("https://www.tilemountain.co.uk/p/12mm-hardie-backer-board.html","Product")</f>
        <v/>
      </c>
      <c r="B9" s="1" t="inlineStr">
        <is>
          <t>445680</t>
        </is>
      </c>
      <c r="C9" s="1" t="inlineStr">
        <is>
          <t>12mm HardieBacker Board 1200x800</t>
        </is>
      </c>
      <c r="D9" s="1" t="n">
        <v>14.53</v>
      </c>
      <c r="E9" s="1" t="inlineStr">
        <is>
          <t>800x1200mm</t>
        </is>
      </c>
      <c r="F9" s="1" t="inlineStr">
        <is>
          <t>m2</t>
        </is>
      </c>
      <c r="G9" s="1" t="inlineStr">
        <is>
          <t>-</t>
        </is>
      </c>
      <c r="H9" s="1" t="inlineStr">
        <is>
          <t>-</t>
        </is>
      </c>
      <c r="I9" t="n">
        <v>14.53</v>
      </c>
    </row>
    <row r="10">
      <c r="A10" s="1">
        <f>Hyperlink("https://www.tilemountain.co.uk/p/18mm-porcelain-diamond-drill-bit.html","Product")</f>
        <v/>
      </c>
      <c r="B10" s="1" t="inlineStr">
        <is>
          <t>450820</t>
        </is>
      </c>
      <c r="C10" s="1" t="inlineStr">
        <is>
          <t>18mm Porcelain Diamond Drill Bit</t>
        </is>
      </c>
      <c r="D10" s="1" t="n">
        <v>16.99</v>
      </c>
      <c r="E10" s="1" t="inlineStr">
        <is>
          <t>-</t>
        </is>
      </c>
      <c r="F10" s="1" t="inlineStr">
        <is>
          <t>Qty</t>
        </is>
      </c>
      <c r="G10" s="1" t="inlineStr">
        <is>
          <t>-</t>
        </is>
      </c>
      <c r="H10" s="1" t="inlineStr">
        <is>
          <t>-</t>
        </is>
      </c>
      <c r="I10" t="n">
        <v>16.99</v>
      </c>
    </row>
    <row r="11">
      <c r="A11" s="1">
        <f>Hyperlink("https://www.tilemountain.co.uk/p/1mm-loose-spacers-x-500.html","Product")</f>
        <v/>
      </c>
      <c r="B11" s="1" t="inlineStr">
        <is>
          <t>450755</t>
        </is>
      </c>
      <c r="C11" s="1" t="inlineStr">
        <is>
          <t>1mm Loose Spacers x 500</t>
        </is>
      </c>
      <c r="D11" s="1" t="n">
        <v>4.99</v>
      </c>
      <c r="E11" s="1" t="inlineStr">
        <is>
          <t>-</t>
        </is>
      </c>
      <c r="F11" s="1" t="inlineStr">
        <is>
          <t>Qty</t>
        </is>
      </c>
      <c r="G11" s="1" t="inlineStr">
        <is>
          <t>-</t>
        </is>
      </c>
      <c r="H11" s="1" t="inlineStr">
        <is>
          <t>-</t>
        </is>
      </c>
      <c r="I11" t="n">
        <v>4.99</v>
      </c>
    </row>
    <row r="12">
      <c r="A12" s="1">
        <f>Hyperlink("https://www.tilemountain.co.uk/p/1mm-tile-wedge-levelling-base-100-per-pack.html","Product")</f>
        <v/>
      </c>
      <c r="B12" s="1" t="inlineStr">
        <is>
          <t>450860</t>
        </is>
      </c>
      <c r="C12" s="1" t="inlineStr">
        <is>
          <t>1mm Tile Wedge Levelling Base - 100 per pack</t>
        </is>
      </c>
      <c r="D12" s="1" t="n">
        <v>6.99</v>
      </c>
      <c r="E12" s="1" t="inlineStr">
        <is>
          <t>-</t>
        </is>
      </c>
      <c r="F12" s="1" t="inlineStr">
        <is>
          <t>Qty</t>
        </is>
      </c>
      <c r="G12" s="1" t="inlineStr">
        <is>
          <t>-</t>
        </is>
      </c>
      <c r="H12" s="1" t="inlineStr">
        <is>
          <t>-</t>
        </is>
      </c>
      <c r="I12" t="n">
        <v>6.99</v>
      </c>
    </row>
    <row r="13">
      <c r="A13" s="1">
        <f>Hyperlink("https://www.tilemountain.co.uk/p/25mm-porcelain-diamond-drill-bit.html","Product")</f>
        <v/>
      </c>
      <c r="B13" s="1" t="inlineStr">
        <is>
          <t>450825</t>
        </is>
      </c>
      <c r="C13" s="1" t="inlineStr">
        <is>
          <t>25mm Porcelain Diamond Drill Bit</t>
        </is>
      </c>
      <c r="D13" s="1" t="n">
        <v>22.99</v>
      </c>
      <c r="E13" s="1" t="inlineStr">
        <is>
          <t>-</t>
        </is>
      </c>
      <c r="F13" s="1" t="inlineStr">
        <is>
          <t>Qty</t>
        </is>
      </c>
      <c r="G13" s="1" t="inlineStr">
        <is>
          <t>-</t>
        </is>
      </c>
      <c r="H13" s="1" t="inlineStr">
        <is>
          <t>-</t>
        </is>
      </c>
      <c r="I13" t="n">
        <v>22.99</v>
      </c>
    </row>
    <row r="14">
      <c r="A14" s="1">
        <f>Hyperlink("https://www.tilemountain.co.uk/p/25mm-screws-for-floors.html","Product")</f>
        <v/>
      </c>
      <c r="B14" s="1" t="inlineStr">
        <is>
          <t>445685</t>
        </is>
      </c>
      <c r="C14" s="1" t="inlineStr">
        <is>
          <t>25mm HardieBacker Screws for Floors</t>
        </is>
      </c>
      <c r="D14" s="1" t="n">
        <v>7.49</v>
      </c>
      <c r="E14" s="1" t="inlineStr">
        <is>
          <t>-</t>
        </is>
      </c>
      <c r="F14" s="1" t="inlineStr">
        <is>
          <t>Qty</t>
        </is>
      </c>
      <c r="G14" s="1" t="inlineStr">
        <is>
          <t>-</t>
        </is>
      </c>
      <c r="H14" s="1" t="inlineStr">
        <is>
          <t>-</t>
        </is>
      </c>
      <c r="I14" t="n">
        <v>7.49</v>
      </c>
    </row>
    <row r="15">
      <c r="A15" s="1">
        <f>Hyperlink("https://www.tilemountain.co.uk/p/2mm-loose-spacers-x-250.html","Product")</f>
        <v/>
      </c>
      <c r="B15" s="1" t="inlineStr">
        <is>
          <t>450760</t>
        </is>
      </c>
      <c r="C15" s="1" t="inlineStr">
        <is>
          <t>2mm Loose Spacers x 250</t>
        </is>
      </c>
      <c r="D15" s="1" t="n">
        <v>2.49</v>
      </c>
      <c r="E15" s="1" t="inlineStr">
        <is>
          <t>-</t>
        </is>
      </c>
      <c r="F15" s="1" t="inlineStr">
        <is>
          <t>Qty</t>
        </is>
      </c>
      <c r="G15" s="1" t="inlineStr">
        <is>
          <t>-</t>
        </is>
      </c>
      <c r="H15" s="1" t="inlineStr">
        <is>
          <t>-</t>
        </is>
      </c>
      <c r="I15" t="n">
        <v>2.49</v>
      </c>
    </row>
    <row r="16">
      <c r="A16" s="1">
        <f>Hyperlink("https://www.tilemountain.co.uk/p/2mm-loose-spacers-x-500.html","Product")</f>
        <v/>
      </c>
      <c r="B16" s="1" t="inlineStr">
        <is>
          <t>450780</t>
        </is>
      </c>
      <c r="C16" s="1" t="inlineStr">
        <is>
          <t>2mm Loose Spacers x 500</t>
        </is>
      </c>
      <c r="D16" s="1" t="n">
        <v>4.99</v>
      </c>
      <c r="E16" s="1" t="inlineStr">
        <is>
          <t>-</t>
        </is>
      </c>
      <c r="F16" s="1" t="inlineStr">
        <is>
          <t>Qty</t>
        </is>
      </c>
      <c r="G16" s="1" t="inlineStr">
        <is>
          <t>-</t>
        </is>
      </c>
      <c r="H16" s="1" t="inlineStr">
        <is>
          <t>-</t>
        </is>
      </c>
      <c r="I16" t="n">
        <v>4.99</v>
      </c>
    </row>
    <row r="17">
      <c r="A17" s="1">
        <f>Hyperlink("https://www.tilemountain.co.uk/p/2mm-mustang-levelling-clips-100-pack.html","Product")</f>
        <v/>
      </c>
      <c r="B17" s="1" t="inlineStr">
        <is>
          <t>443855</t>
        </is>
      </c>
      <c r="C17" s="1" t="inlineStr">
        <is>
          <t>2mm Mustang Levelling Clips (100 pack)</t>
        </is>
      </c>
      <c r="D17" s="1" t="n">
        <v>11.99</v>
      </c>
      <c r="E17" s="1" t="inlineStr">
        <is>
          <t>-</t>
        </is>
      </c>
      <c r="F17" s="1" t="inlineStr">
        <is>
          <t>Qty</t>
        </is>
      </c>
      <c r="G17" s="1" t="inlineStr">
        <is>
          <t>-</t>
        </is>
      </c>
      <c r="H17" s="1" t="inlineStr">
        <is>
          <t>-</t>
        </is>
      </c>
      <c r="I17" t="n">
        <v>11.99</v>
      </c>
    </row>
    <row r="18">
      <c r="A18" s="1">
        <f>Hyperlink("https://www.tilemountain.co.uk/p/2mm-t-spacers-x-250_1.html","Product")</f>
        <v/>
      </c>
      <c r="B18" s="1" t="inlineStr">
        <is>
          <t>450750</t>
        </is>
      </c>
      <c r="C18" s="1" t="inlineStr">
        <is>
          <t>2mm T Spacers x 250</t>
        </is>
      </c>
      <c r="D18" s="1" t="n">
        <v>2.99</v>
      </c>
      <c r="E18" s="1" t="inlineStr">
        <is>
          <t>-</t>
        </is>
      </c>
      <c r="F18" s="1" t="inlineStr">
        <is>
          <t>Qty</t>
        </is>
      </c>
      <c r="G18" s="1" t="inlineStr">
        <is>
          <t>-</t>
        </is>
      </c>
      <c r="H18" s="1" t="inlineStr">
        <is>
          <t>-</t>
        </is>
      </c>
      <c r="I18" t="n">
        <v>2.99</v>
      </c>
    </row>
    <row r="19">
      <c r="A19" s="1">
        <f>Hyperlink("https://www.tilemountain.co.uk/p/2mm-tile-wedge-levelling-base-100-per-pack.html","Product")</f>
        <v/>
      </c>
      <c r="B19" s="1" t="inlineStr">
        <is>
          <t>450865</t>
        </is>
      </c>
      <c r="C19" s="1" t="inlineStr">
        <is>
          <t>2mm Tile Wedge Levelling Base - 100 per pack</t>
        </is>
      </c>
      <c r="D19" s="1" t="n">
        <v>6.99</v>
      </c>
      <c r="E19" s="1" t="inlineStr">
        <is>
          <t>-</t>
        </is>
      </c>
      <c r="F19" s="1" t="inlineStr">
        <is>
          <t>Qty</t>
        </is>
      </c>
      <c r="G19" s="1" t="inlineStr">
        <is>
          <t>-</t>
        </is>
      </c>
      <c r="H19" s="1" t="inlineStr">
        <is>
          <t>-</t>
        </is>
      </c>
      <c r="I19" t="n">
        <v>6.99</v>
      </c>
    </row>
    <row r="20">
      <c r="A20" s="1">
        <f>Hyperlink("https://www.tilemountain.co.uk/p/32mm-screws-for-walls.html","Product")</f>
        <v/>
      </c>
      <c r="B20" s="1" t="inlineStr">
        <is>
          <t>445690</t>
        </is>
      </c>
      <c r="C20" s="1" t="inlineStr">
        <is>
          <t>32mm HardieBacker Screws for Walls</t>
        </is>
      </c>
      <c r="D20" s="1" t="n">
        <v>7.95</v>
      </c>
      <c r="E20" s="1" t="inlineStr">
        <is>
          <t>-</t>
        </is>
      </c>
      <c r="F20" s="1" t="inlineStr">
        <is>
          <t>Qty</t>
        </is>
      </c>
      <c r="G20" s="1" t="inlineStr">
        <is>
          <t>-</t>
        </is>
      </c>
      <c r="H20" s="1" t="inlineStr">
        <is>
          <t>-</t>
        </is>
      </c>
      <c r="I20" t="n">
        <v>7.95</v>
      </c>
    </row>
    <row r="21">
      <c r="A21" s="1">
        <f>Hyperlink("https://www.tilemountain.co.uk/p/35mm-porcelain-diamond-drill-bit.html","Product")</f>
        <v/>
      </c>
      <c r="B21" s="1" t="inlineStr">
        <is>
          <t>450830</t>
        </is>
      </c>
      <c r="C21" s="1" t="inlineStr">
        <is>
          <t>35mm Porcelain Diamond Drill Bit</t>
        </is>
      </c>
      <c r="D21" s="1" t="n">
        <v>31.99</v>
      </c>
      <c r="E21" s="1" t="inlineStr">
        <is>
          <t>-</t>
        </is>
      </c>
      <c r="F21" s="1" t="inlineStr">
        <is>
          <t>Qty</t>
        </is>
      </c>
      <c r="G21" s="1" t="inlineStr">
        <is>
          <t>-</t>
        </is>
      </c>
      <c r="H21" s="1" t="inlineStr">
        <is>
          <t>-</t>
        </is>
      </c>
      <c r="I21" t="n">
        <v>31.99</v>
      </c>
    </row>
    <row r="22">
      <c r="A22" s="1">
        <f>Hyperlink("https://www.tilemountain.co.uk/p/35mm-porcelain-drill-bit-2566.html","Product")</f>
        <v/>
      </c>
      <c r="B22" s="1" t="inlineStr">
        <is>
          <t>439345</t>
        </is>
      </c>
      <c r="C22" s="1" t="inlineStr">
        <is>
          <t>Tile Ac. 35mm Porcelain Drill Bit</t>
        </is>
      </c>
      <c r="D22" s="1" t="n">
        <v>23.99</v>
      </c>
      <c r="E22" s="1" t="inlineStr">
        <is>
          <t>-</t>
        </is>
      </c>
      <c r="F22" s="1" t="inlineStr">
        <is>
          <t>Qty</t>
        </is>
      </c>
      <c r="G22" s="1" t="inlineStr">
        <is>
          <t>-</t>
        </is>
      </c>
      <c r="H22" s="1" t="inlineStr">
        <is>
          <t>-</t>
        </is>
      </c>
      <c r="I22" t="n">
        <v>23.99</v>
      </c>
    </row>
    <row r="23">
      <c r="A23" s="1">
        <f>Hyperlink("https://www.tilemountain.co.uk/p/3mm-loose-spacers-x-250.html","Product")</f>
        <v/>
      </c>
      <c r="B23" s="1" t="inlineStr">
        <is>
          <t>450765</t>
        </is>
      </c>
      <c r="C23" s="1" t="inlineStr">
        <is>
          <t>3mm Loose Spacers x 250</t>
        </is>
      </c>
      <c r="D23" s="1" t="n">
        <v>2.49</v>
      </c>
      <c r="E23" s="1" t="inlineStr">
        <is>
          <t>-</t>
        </is>
      </c>
      <c r="F23" s="1" t="inlineStr">
        <is>
          <t>Qty</t>
        </is>
      </c>
      <c r="G23" s="1" t="inlineStr">
        <is>
          <t>-</t>
        </is>
      </c>
      <c r="H23" s="1" t="inlineStr">
        <is>
          <t>-</t>
        </is>
      </c>
      <c r="I23" t="n">
        <v>2.49</v>
      </c>
    </row>
    <row r="24">
      <c r="A24" s="1">
        <f>Hyperlink("https://www.tilemountain.co.uk/p/3mm-loose-spacers-x-500.html","Product")</f>
        <v/>
      </c>
      <c r="B24" s="1" t="inlineStr">
        <is>
          <t>450785</t>
        </is>
      </c>
      <c r="C24" s="1" t="inlineStr">
        <is>
          <t>3mm Loose Spacers x 500</t>
        </is>
      </c>
      <c r="D24" s="1" t="n">
        <v>4.99</v>
      </c>
      <c r="E24" s="1" t="inlineStr">
        <is>
          <t>-</t>
        </is>
      </c>
      <c r="F24" s="1" t="inlineStr">
        <is>
          <t>Qty</t>
        </is>
      </c>
      <c r="G24" s="1" t="inlineStr">
        <is>
          <t>-</t>
        </is>
      </c>
      <c r="H24" s="1" t="inlineStr">
        <is>
          <t>-</t>
        </is>
      </c>
      <c r="I24" t="n">
        <v>4.99</v>
      </c>
    </row>
    <row r="25">
      <c r="A25" s="1">
        <f>Hyperlink("https://www.tilemountain.co.uk/p/3mm-mustang-levelling-clips-100-pack.html","Product")</f>
        <v/>
      </c>
      <c r="B25" s="1" t="inlineStr">
        <is>
          <t>443860</t>
        </is>
      </c>
      <c r="C25" s="1" t="inlineStr">
        <is>
          <t>3mm Mustang Levelling Clips (100 pack)</t>
        </is>
      </c>
      <c r="D25" s="1" t="n">
        <v>11.99</v>
      </c>
      <c r="E25" s="1" t="inlineStr">
        <is>
          <t>-</t>
        </is>
      </c>
      <c r="F25" s="1" t="inlineStr">
        <is>
          <t>Qty</t>
        </is>
      </c>
      <c r="G25" s="1" t="inlineStr">
        <is>
          <t>-</t>
        </is>
      </c>
      <c r="H25" s="1" t="inlineStr">
        <is>
          <t>-</t>
        </is>
      </c>
      <c r="I25" t="n">
        <v>11.99</v>
      </c>
    </row>
    <row r="26">
      <c r="A26" s="1">
        <f>Hyperlink("https://www.tilemountain.co.uk/p/3mm-spacers-x-2500.html","Product")</f>
        <v/>
      </c>
      <c r="B26" s="1" t="inlineStr">
        <is>
          <t>450795</t>
        </is>
      </c>
      <c r="C26" s="1" t="inlineStr">
        <is>
          <t>3mm Spacers x 2500</t>
        </is>
      </c>
      <c r="D26" s="1" t="n">
        <v>12.99</v>
      </c>
      <c r="E26" s="1" t="inlineStr">
        <is>
          <t>-</t>
        </is>
      </c>
      <c r="F26" s="1" t="inlineStr">
        <is>
          <t>Qty</t>
        </is>
      </c>
      <c r="G26" s="1" t="inlineStr">
        <is>
          <t>-</t>
        </is>
      </c>
      <c r="H26" s="1" t="inlineStr">
        <is>
          <t>-</t>
        </is>
      </c>
      <c r="I26" t="n">
        <v>12.99</v>
      </c>
    </row>
    <row r="27">
      <c r="A27" s="1">
        <f>Hyperlink("https://www.tilemountain.co.uk/p/4-into-1-silicone-sealant-jasmine.html","Product")</f>
        <v/>
      </c>
      <c r="B27" s="1" t="inlineStr">
        <is>
          <t>450385</t>
        </is>
      </c>
      <c r="C27" s="1" t="inlineStr">
        <is>
          <t>4 Into 1 Silicone Sealant- Golden Jasmine</t>
        </is>
      </c>
      <c r="D27" s="1" t="n">
        <v>6.99</v>
      </c>
      <c r="E27" s="1" t="inlineStr">
        <is>
          <t>-</t>
        </is>
      </c>
      <c r="F27" s="1" t="inlineStr">
        <is>
          <t>Qty</t>
        </is>
      </c>
      <c r="G27" s="1" t="inlineStr">
        <is>
          <t>-</t>
        </is>
      </c>
      <c r="H27" s="1" t="inlineStr">
        <is>
          <t>-</t>
        </is>
      </c>
      <c r="I27" t="n">
        <v>6.99</v>
      </c>
    </row>
    <row r="28">
      <c r="A28" s="1">
        <f>Hyperlink("https://www.tilemountain.co.uk/p/4-into-1-silicone-sealant-silver-grey.html","Product")</f>
        <v/>
      </c>
      <c r="B28" s="1" t="inlineStr">
        <is>
          <t>450390</t>
        </is>
      </c>
      <c r="C28" s="1" t="inlineStr">
        <is>
          <t>4 Into 1 Silicone Sealant - Silver Grey</t>
        </is>
      </c>
      <c r="D28" s="1" t="n">
        <v>6.99</v>
      </c>
      <c r="E28" s="1" t="inlineStr">
        <is>
          <t>-</t>
        </is>
      </c>
      <c r="F28" s="1" t="inlineStr">
        <is>
          <t>Qty</t>
        </is>
      </c>
      <c r="G28" s="1" t="inlineStr">
        <is>
          <t>-</t>
        </is>
      </c>
      <c r="H28" s="1" t="inlineStr">
        <is>
          <t>-</t>
        </is>
      </c>
      <c r="I28" t="n">
        <v>6.99</v>
      </c>
    </row>
    <row r="29">
      <c r="A29" s="1">
        <f>Hyperlink("https://www.tilemountain.co.uk/p/4-into-1-silicone-sealant-steel-grey.html","Product")</f>
        <v/>
      </c>
      <c r="B29" s="1" t="inlineStr">
        <is>
          <t>450395</t>
        </is>
      </c>
      <c r="C29" s="1" t="inlineStr">
        <is>
          <t>4 Into 1 Silicone Sealant - Steel Grey</t>
        </is>
      </c>
      <c r="D29" s="1" t="n">
        <v>6.99</v>
      </c>
      <c r="E29" s="1" t="inlineStr">
        <is>
          <t>-</t>
        </is>
      </c>
      <c r="F29" s="1" t="inlineStr">
        <is>
          <t>Qty</t>
        </is>
      </c>
      <c r="G29" s="1" t="inlineStr">
        <is>
          <t>-</t>
        </is>
      </c>
      <c r="H29" s="1" t="inlineStr">
        <is>
          <t>-</t>
        </is>
      </c>
      <c r="I29" t="n">
        <v>6.99</v>
      </c>
    </row>
    <row r="30">
      <c r="A30" s="1">
        <f>Hyperlink("https://www.tilemountain.co.uk/p/4-into-1-silicone-sealant-white.html","Product")</f>
        <v/>
      </c>
      <c r="B30" s="1" t="inlineStr">
        <is>
          <t>450380</t>
        </is>
      </c>
      <c r="C30" s="1" t="inlineStr">
        <is>
          <t>4 Into 1 Silicone Sealant - Arctic White</t>
        </is>
      </c>
      <c r="D30" s="1" t="n">
        <v>6.99</v>
      </c>
      <c r="E30" s="1" t="inlineStr">
        <is>
          <t>-</t>
        </is>
      </c>
      <c r="F30" s="1" t="inlineStr">
        <is>
          <t>Qty</t>
        </is>
      </c>
      <c r="G30" s="1" t="inlineStr">
        <is>
          <t>-</t>
        </is>
      </c>
      <c r="H30" s="1" t="inlineStr">
        <is>
          <t>-</t>
        </is>
      </c>
      <c r="I30" t="n">
        <v>6.99</v>
      </c>
    </row>
    <row r="31">
      <c r="A31" s="1">
        <f>Hyperlink("https://www.tilemountain.co.uk/p/4-into-1-wall-floor-tile-grout-arctic-white-5kg.html","Product")</f>
        <v/>
      </c>
      <c r="B31" s="1" t="inlineStr">
        <is>
          <t>450330</t>
        </is>
      </c>
      <c r="C31" s="1" t="inlineStr">
        <is>
          <t>4 Into 1 Wall &amp; Floor Tile Grout - Arctic White -5Kg</t>
        </is>
      </c>
      <c r="D31" s="1" t="n">
        <v>10.99</v>
      </c>
      <c r="E31" s="1" t="inlineStr">
        <is>
          <t>-</t>
        </is>
      </c>
      <c r="F31" s="1" t="inlineStr">
        <is>
          <t>Qty</t>
        </is>
      </c>
      <c r="G31" s="1" t="inlineStr">
        <is>
          <t>-</t>
        </is>
      </c>
      <c r="H31" s="1" t="inlineStr">
        <is>
          <t>-</t>
        </is>
      </c>
      <c r="I31" t="n">
        <v>10.99</v>
      </c>
    </row>
    <row r="32">
      <c r="A32" s="1">
        <f>Hyperlink("https://www.tilemountain.co.uk/p/4-into-1-wall-floor-tile-grout-golden-jasmine-5kg.html","Product")</f>
        <v/>
      </c>
      <c r="B32" s="1" t="inlineStr">
        <is>
          <t>450335</t>
        </is>
      </c>
      <c r="C32" s="1" t="inlineStr">
        <is>
          <t>4 Into 1 Wall &amp; Floor Tile Grout - Golden Jasmine-  5Kg</t>
        </is>
      </c>
      <c r="D32" s="1" t="n">
        <v>10.99</v>
      </c>
      <c r="E32" s="1" t="inlineStr">
        <is>
          <t>-</t>
        </is>
      </c>
      <c r="F32" s="1" t="inlineStr">
        <is>
          <t>Qty</t>
        </is>
      </c>
      <c r="G32" s="1" t="inlineStr">
        <is>
          <t>-</t>
        </is>
      </c>
      <c r="H32" s="1" t="inlineStr">
        <is>
          <t>-</t>
        </is>
      </c>
      <c r="I32" t="n">
        <v>10.99</v>
      </c>
    </row>
    <row r="33">
      <c r="A33" s="1">
        <f>Hyperlink("https://www.tilemountain.co.uk/p/4-into-1-wall-floor-tile-grout-midnight-coal-5kg.html","Product")</f>
        <v/>
      </c>
      <c r="B33" s="1" t="inlineStr">
        <is>
          <t>450350</t>
        </is>
      </c>
      <c r="C33" s="1" t="inlineStr">
        <is>
          <t>4 Into 1 Wall &amp; Floor Tile Grout - Midnight Coal -5Kg</t>
        </is>
      </c>
      <c r="D33" s="1" t="n">
        <v>10.99</v>
      </c>
      <c r="E33" s="1" t="inlineStr">
        <is>
          <t>-</t>
        </is>
      </c>
      <c r="F33" s="1" t="inlineStr">
        <is>
          <t>Qty</t>
        </is>
      </c>
      <c r="G33" s="1" t="inlineStr">
        <is>
          <t>-</t>
        </is>
      </c>
      <c r="H33" s="1" t="inlineStr">
        <is>
          <t>-</t>
        </is>
      </c>
      <c r="I33" t="n">
        <v>10.99</v>
      </c>
    </row>
    <row r="34">
      <c r="A34" s="1">
        <f>Hyperlink("https://www.tilemountain.co.uk/p/4-into-1-wall-floor-tile-grout-silver-grey-5kg.html","Product")</f>
        <v/>
      </c>
      <c r="B34" s="1" t="inlineStr">
        <is>
          <t>450340</t>
        </is>
      </c>
      <c r="C34" s="1" t="inlineStr">
        <is>
          <t>4 Into 1 Wall &amp; Floor Tile Grout - Silver Grey - 5Kg</t>
        </is>
      </c>
      <c r="D34" s="1" t="n">
        <v>10.99</v>
      </c>
      <c r="E34" s="1" t="inlineStr">
        <is>
          <t>-</t>
        </is>
      </c>
      <c r="F34" s="1" t="inlineStr">
        <is>
          <t>Qty</t>
        </is>
      </c>
      <c r="G34" s="1" t="inlineStr">
        <is>
          <t>-</t>
        </is>
      </c>
      <c r="H34" s="1" t="inlineStr">
        <is>
          <t>-</t>
        </is>
      </c>
      <c r="I34" t="n">
        <v>10.99</v>
      </c>
    </row>
    <row r="35">
      <c r="A35" s="1">
        <f>Hyperlink("https://www.tilemountain.co.uk/p/4-into-1-wall-floor-tile-grout-steel-grey-5kg.html","Product")</f>
        <v/>
      </c>
      <c r="B35" s="1" t="inlineStr">
        <is>
          <t>450345</t>
        </is>
      </c>
      <c r="C35" s="1" t="inlineStr">
        <is>
          <t>4 Into 1 Wall &amp; Floor Tile Grout - Steel Grey - 5Kg</t>
        </is>
      </c>
      <c r="D35" s="1" t="n">
        <v>10.99</v>
      </c>
      <c r="E35" s="1" t="inlineStr">
        <is>
          <t>-</t>
        </is>
      </c>
      <c r="F35" s="1" t="inlineStr">
        <is>
          <t>Qty</t>
        </is>
      </c>
      <c r="G35" s="1" t="inlineStr">
        <is>
          <t>-</t>
        </is>
      </c>
      <c r="H35" s="1" t="inlineStr">
        <is>
          <t>-</t>
        </is>
      </c>
      <c r="I35" t="n">
        <v>10.99</v>
      </c>
    </row>
    <row r="36">
      <c r="A36" s="1">
        <f>Hyperlink("https://www.tilemountain.co.uk/p/4-pcs-handle-black.html","Product")</f>
        <v/>
      </c>
      <c r="B36" s="1" t="inlineStr">
        <is>
          <t>LTPT30</t>
        </is>
      </c>
      <c r="C36" s="1" t="inlineStr">
        <is>
          <t>4 pcs Handle Black</t>
        </is>
      </c>
      <c r="D36" s="1" t="n">
        <v>9.949999999999999</v>
      </c>
      <c r="E36" s="1" t="inlineStr">
        <is>
          <t>-</t>
        </is>
      </c>
      <c r="F36" s="1" t="inlineStr">
        <is>
          <t>Qty</t>
        </is>
      </c>
      <c r="G36" s="1" t="inlineStr">
        <is>
          <t>-</t>
        </is>
      </c>
      <c r="H36" s="1" t="inlineStr">
        <is>
          <t>-</t>
        </is>
      </c>
      <c r="I36" t="n">
        <v>9.949999999999999</v>
      </c>
    </row>
    <row r="37">
      <c r="A37" s="1">
        <f>Hyperlink("https://www.tilemountain.co.uk/p/5mm-loose-spacers-x-250.html","Product")</f>
        <v/>
      </c>
      <c r="B37" s="1" t="inlineStr">
        <is>
          <t>450775</t>
        </is>
      </c>
      <c r="C37" s="1" t="inlineStr">
        <is>
          <t>5mm Loose Spacers x 250</t>
        </is>
      </c>
      <c r="D37" s="1" t="n">
        <v>3.49</v>
      </c>
      <c r="E37" s="1" t="inlineStr">
        <is>
          <t>-</t>
        </is>
      </c>
      <c r="F37" s="1" t="inlineStr">
        <is>
          <t>Qty</t>
        </is>
      </c>
      <c r="G37" s="1" t="inlineStr">
        <is>
          <t>-</t>
        </is>
      </c>
      <c r="H37" s="1" t="inlineStr">
        <is>
          <t>-</t>
        </is>
      </c>
      <c r="I37" t="n">
        <v>3.49</v>
      </c>
    </row>
    <row r="38">
      <c r="A38" s="1">
        <f>Hyperlink("https://www.tilemountain.co.uk/p/600mm-manual-tile-cutter-5459.html","Product")</f>
        <v/>
      </c>
      <c r="B38" s="1" t="inlineStr">
        <is>
          <t>450885</t>
        </is>
      </c>
      <c r="C38" s="1" t="inlineStr">
        <is>
          <t>600mm Manual Tile Cutter</t>
        </is>
      </c>
      <c r="D38" s="1" t="n">
        <v>49.99</v>
      </c>
      <c r="E38" s="1" t="inlineStr">
        <is>
          <t>-</t>
        </is>
      </c>
      <c r="F38" s="1" t="inlineStr">
        <is>
          <t>Qty</t>
        </is>
      </c>
      <c r="G38" s="1" t="inlineStr">
        <is>
          <t>-</t>
        </is>
      </c>
      <c r="H38" s="1" t="inlineStr">
        <is>
          <t>-</t>
        </is>
      </c>
      <c r="I38" t="n">
        <v>49.99</v>
      </c>
    </row>
    <row r="39">
      <c r="A39" s="1">
        <f>Hyperlink("https://www.tilemountain.co.uk/p/6mm-diy-notched-trowel.html","Product")</f>
        <v/>
      </c>
      <c r="B39" s="1" t="inlineStr">
        <is>
          <t>450665</t>
        </is>
      </c>
      <c r="C39" s="1" t="inlineStr">
        <is>
          <t>6mm DIY Notched Trowel</t>
        </is>
      </c>
      <c r="D39" s="1" t="n">
        <v>3.99</v>
      </c>
      <c r="E39" s="1" t="inlineStr">
        <is>
          <t>-</t>
        </is>
      </c>
      <c r="F39" s="1" t="inlineStr">
        <is>
          <t>Qty</t>
        </is>
      </c>
      <c r="G39" s="1" t="inlineStr">
        <is>
          <t>-</t>
        </is>
      </c>
      <c r="H39" s="1" t="inlineStr">
        <is>
          <t>-</t>
        </is>
      </c>
      <c r="I39" t="n">
        <v>3.99</v>
      </c>
    </row>
    <row r="40">
      <c r="A40" s="1">
        <f>Hyperlink("https://www.tilemountain.co.uk/p/6mm-hardie-backer-board-pallet-deal-60-panels.html","Product")</f>
        <v/>
      </c>
      <c r="B40" s="1" t="inlineStr">
        <is>
          <t>445675-pd</t>
        </is>
      </c>
      <c r="C40" s="1" t="inlineStr">
        <is>
          <t>6mm HardieBacker Board (Pallet Deal - 90 Panels)</t>
        </is>
      </c>
      <c r="D40" s="1" t="inlineStr">
        <is>
          <t>1,027.51</t>
        </is>
      </c>
      <c r="E40" s="1" t="inlineStr">
        <is>
          <t>-</t>
        </is>
      </c>
      <c r="F40" s="1" t="inlineStr">
        <is>
          <t>Qty</t>
        </is>
      </c>
      <c r="G40" s="1" t="inlineStr">
        <is>
          <t>-</t>
        </is>
      </c>
      <c r="H40" s="1" t="inlineStr">
        <is>
          <t>-</t>
        </is>
      </c>
      <c r="I40" t="inlineStr">
        <is>
          <t>1,027.51</t>
        </is>
      </c>
    </row>
    <row r="41">
      <c r="A41" s="1">
        <f>Hyperlink("https://www.tilemountain.co.uk/p/6mm-hardie-backer-board.html","Product")</f>
        <v/>
      </c>
      <c r="B41" s="1" t="inlineStr">
        <is>
          <t>445675</t>
        </is>
      </c>
      <c r="C41" s="1" t="inlineStr">
        <is>
          <t>6mm HardieBacker Board 1200x800</t>
        </is>
      </c>
      <c r="D41" s="1" t="n">
        <v>13.49</v>
      </c>
      <c r="E41" s="1" t="inlineStr">
        <is>
          <t>800x1200mm</t>
        </is>
      </c>
      <c r="F41" s="1" t="inlineStr">
        <is>
          <t>m2</t>
        </is>
      </c>
      <c r="G41" s="1" t="inlineStr">
        <is>
          <t>-</t>
        </is>
      </c>
      <c r="H41" s="1" t="inlineStr">
        <is>
          <t>-</t>
        </is>
      </c>
      <c r="I41" t="n">
        <v>13.49</v>
      </c>
    </row>
    <row r="42">
      <c r="A42" s="1">
        <f>Hyperlink("https://www.tilemountain.co.uk/p/6mm-porcelain-diamond-drill-bit.html","Product")</f>
        <v/>
      </c>
      <c r="B42" s="1" t="inlineStr">
        <is>
          <t>450805</t>
        </is>
      </c>
      <c r="C42" s="1" t="inlineStr">
        <is>
          <t>6mm Porcelain Diamond Drill Bit</t>
        </is>
      </c>
      <c r="D42" s="1" t="n">
        <v>6.49</v>
      </c>
      <c r="E42" s="1" t="inlineStr">
        <is>
          <t>-</t>
        </is>
      </c>
      <c r="F42" s="1" t="inlineStr">
        <is>
          <t>Qty</t>
        </is>
      </c>
      <c r="G42" s="1" t="inlineStr">
        <is>
          <t>-</t>
        </is>
      </c>
      <c r="H42" s="1" t="inlineStr">
        <is>
          <t>-</t>
        </is>
      </c>
      <c r="I42" t="n">
        <v>6.49</v>
      </c>
    </row>
    <row r="43">
      <c r="A43" s="1">
        <f>Hyperlink("https://www.tilemountain.co.uk/p/6mm-professional-square-notched-wall-trowel-5409.html","Product")</f>
        <v/>
      </c>
      <c r="B43" s="1" t="inlineStr">
        <is>
          <t>450635</t>
        </is>
      </c>
      <c r="C43" s="1" t="inlineStr">
        <is>
          <t>6mm Professional Square Notched Wall Trowel</t>
        </is>
      </c>
      <c r="D43" s="1" t="n">
        <v>7.99</v>
      </c>
      <c r="E43" s="1" t="inlineStr">
        <is>
          <t>-</t>
        </is>
      </c>
      <c r="F43" s="1" t="inlineStr">
        <is>
          <t>Qty</t>
        </is>
      </c>
      <c r="G43" s="1" t="inlineStr">
        <is>
          <t>-</t>
        </is>
      </c>
      <c r="H43" s="1" t="inlineStr">
        <is>
          <t>-</t>
        </is>
      </c>
      <c r="I43" t="n">
        <v>7.99</v>
      </c>
    </row>
    <row r="44">
      <c r="A44" s="1">
        <f>Hyperlink("https://www.tilemountain.co.uk/p/8mm-diy-adhesive-spreader.html","Product")</f>
        <v/>
      </c>
      <c r="B44" s="1" t="inlineStr">
        <is>
          <t>450675</t>
        </is>
      </c>
      <c r="C44" s="1" t="inlineStr">
        <is>
          <t>8mm DIY Adhesive Spreader</t>
        </is>
      </c>
      <c r="D44" s="1" t="n">
        <v>1.99</v>
      </c>
      <c r="E44" s="1" t="inlineStr">
        <is>
          <t>-</t>
        </is>
      </c>
      <c r="F44" s="1" t="inlineStr">
        <is>
          <t>Qty</t>
        </is>
      </c>
      <c r="G44" s="1" t="inlineStr">
        <is>
          <t>-</t>
        </is>
      </c>
      <c r="H44" s="1" t="inlineStr">
        <is>
          <t>-</t>
        </is>
      </c>
      <c r="I44" t="n">
        <v>1.99</v>
      </c>
    </row>
    <row r="45">
      <c r="A45" s="1">
        <f>Hyperlink("https://www.tilemountain.co.uk/p/8mm-porcelain-diamond-drill-bit.html","Product")</f>
        <v/>
      </c>
      <c r="B45" s="1" t="inlineStr">
        <is>
          <t>450810</t>
        </is>
      </c>
      <c r="C45" s="1" t="inlineStr">
        <is>
          <t>8mm Porcelain Diamond Drill Bit</t>
        </is>
      </c>
      <c r="D45" s="1" t="n">
        <v>7.99</v>
      </c>
      <c r="E45" s="1" t="inlineStr">
        <is>
          <t>-</t>
        </is>
      </c>
      <c r="F45" s="1" t="inlineStr">
        <is>
          <t>Qty</t>
        </is>
      </c>
      <c r="G45" s="1" t="inlineStr">
        <is>
          <t>-</t>
        </is>
      </c>
      <c r="H45" s="1" t="inlineStr">
        <is>
          <t>-</t>
        </is>
      </c>
      <c r="I45" t="n">
        <v>7.99</v>
      </c>
    </row>
    <row r="46">
      <c r="A46" s="1">
        <f>Hyperlink("https://www.tilemountain.co.uk/p/adele-cloud-grey-floor-tile.html","Product")</f>
        <v/>
      </c>
      <c r="B46" s="1" t="inlineStr">
        <is>
          <t>452610</t>
        </is>
      </c>
      <c r="C46" s="1" t="inlineStr">
        <is>
          <t>Adele Cloud Grey Floor Tile</t>
        </is>
      </c>
      <c r="D46" s="1" t="n">
        <v>16.99</v>
      </c>
      <c r="E46" s="1" t="inlineStr">
        <is>
          <t>450x450mm</t>
        </is>
      </c>
      <c r="F46" s="1" t="inlineStr">
        <is>
          <t>m2</t>
        </is>
      </c>
      <c r="G46" s="1" t="inlineStr">
        <is>
          <t>Ceramic</t>
        </is>
      </c>
      <c r="H46" s="1" t="inlineStr">
        <is>
          <t>Matt</t>
        </is>
      </c>
      <c r="I46" t="n">
        <v>16.99</v>
      </c>
    </row>
    <row r="47">
      <c r="A47" s="1">
        <f>Hyperlink("https://www.tilemountain.co.uk/p/adele-green-sea-floor-tile.html","Product")</f>
        <v/>
      </c>
      <c r="B47" s="1" t="inlineStr">
        <is>
          <t>452605</t>
        </is>
      </c>
      <c r="C47" s="1" t="inlineStr">
        <is>
          <t>Adele Green Sea Floor Tile</t>
        </is>
      </c>
      <c r="D47" s="1" t="n">
        <v>16.99</v>
      </c>
      <c r="E47" s="1" t="inlineStr">
        <is>
          <t>450x450mm</t>
        </is>
      </c>
      <c r="F47" s="1" t="inlineStr">
        <is>
          <t>m2</t>
        </is>
      </c>
      <c r="G47" s="1" t="inlineStr">
        <is>
          <t>Ceramic</t>
        </is>
      </c>
      <c r="H47" s="1" t="inlineStr">
        <is>
          <t>Matt</t>
        </is>
      </c>
      <c r="I47" t="n">
        <v>16.99</v>
      </c>
    </row>
    <row r="48">
      <c r="A48" s="1">
        <f>Hyperlink("https://www.tilemountain.co.uk/p/adele-light-blue-floor-tile.html","Product")</f>
        <v/>
      </c>
      <c r="B48" s="1" t="inlineStr">
        <is>
          <t>452600</t>
        </is>
      </c>
      <c r="C48" s="1" t="inlineStr">
        <is>
          <t>Adele Light Blue Floor Tile</t>
        </is>
      </c>
      <c r="D48" s="1" t="n">
        <v>16.99</v>
      </c>
      <c r="E48" s="1" t="inlineStr">
        <is>
          <t>450x450mm</t>
        </is>
      </c>
      <c r="F48" s="1" t="inlineStr">
        <is>
          <t>m2</t>
        </is>
      </c>
      <c r="G48" s="1" t="inlineStr">
        <is>
          <t>Ceramic</t>
        </is>
      </c>
      <c r="H48" s="1" t="inlineStr">
        <is>
          <t>Matt</t>
        </is>
      </c>
      <c r="I48" t="n">
        <v>16.99</v>
      </c>
    </row>
    <row r="49">
      <c r="A49" s="1">
        <f>Hyperlink("https://www.tilemountain.co.uk/p/adesilex-p4-grey-adhesive-20kg.html","Product")</f>
        <v/>
      </c>
      <c r="B49" s="1" t="inlineStr">
        <is>
          <t>218220</t>
        </is>
      </c>
      <c r="C49" s="1" t="inlineStr">
        <is>
          <t>Adesilex P4 Grey Floor Adhesive 20kg</t>
        </is>
      </c>
      <c r="D49" s="1" t="n">
        <v>20.99</v>
      </c>
      <c r="E49" s="1" t="inlineStr">
        <is>
          <t>-</t>
        </is>
      </c>
      <c r="F49" s="1" t="inlineStr">
        <is>
          <t>Qty</t>
        </is>
      </c>
      <c r="G49" s="1" t="inlineStr">
        <is>
          <t>-</t>
        </is>
      </c>
      <c r="H49" s="1" t="inlineStr">
        <is>
          <t>-</t>
        </is>
      </c>
      <c r="I49" t="n">
        <v>20.99</v>
      </c>
    </row>
    <row r="50">
      <c r="A50" s="1">
        <f>Hyperlink("https://www.tilemountain.co.uk/p/adesilex-p4-grey-floor-adhesive-20kg-pallet-deal-48-bags.html","Product")</f>
        <v/>
      </c>
      <c r="B50" s="1" t="inlineStr">
        <is>
          <t>218220-PD</t>
        </is>
      </c>
      <c r="C50" s="1" t="inlineStr">
        <is>
          <t>Adesilex P4 Grey Floor Adhesive 20kg Pallet Deal 48 bags</t>
        </is>
      </c>
      <c r="D50" s="1" t="n">
        <v>799.95</v>
      </c>
      <c r="E50" s="1" t="inlineStr">
        <is>
          <t>-</t>
        </is>
      </c>
      <c r="F50" s="1" t="inlineStr">
        <is>
          <t>Qty</t>
        </is>
      </c>
      <c r="G50" s="1" t="inlineStr">
        <is>
          <t>-</t>
        </is>
      </c>
      <c r="H50" s="1" t="inlineStr">
        <is>
          <t>-</t>
        </is>
      </c>
      <c r="I50" t="n">
        <v>799.95</v>
      </c>
    </row>
    <row r="51">
      <c r="A51" s="1">
        <f>Hyperlink("https://www.tilemountain.co.uk/p/adesilex-p9-white-slow-setting-adhesive-20kg-pallet-deal-48-bags.html","Product")</f>
        <v/>
      </c>
      <c r="B51" s="1" t="inlineStr">
        <is>
          <t>005120-pd</t>
        </is>
      </c>
      <c r="C51" s="1" t="inlineStr">
        <is>
          <t>Adesilex P9 White Slow Setting Adhesive 20kg Pallet Deal- 48 Bags</t>
        </is>
      </c>
      <c r="D51" s="1" t="n">
        <v>639.99</v>
      </c>
      <c r="E51" s="1" t="inlineStr">
        <is>
          <t>PALLET</t>
        </is>
      </c>
      <c r="F51" s="1" t="inlineStr">
        <is>
          <t>Qty</t>
        </is>
      </c>
      <c r="G51" s="1" t="inlineStr">
        <is>
          <t>-</t>
        </is>
      </c>
      <c r="H51" s="1" t="inlineStr">
        <is>
          <t>-</t>
        </is>
      </c>
      <c r="I51" t="n">
        <v>639.99</v>
      </c>
    </row>
    <row r="52">
      <c r="A52" s="1">
        <f>Hyperlink("https://www.tilemountain.co.uk/p/adesilex-p9-white-slow-setting-adhesive-20kg.html","Product")</f>
        <v/>
      </c>
      <c r="B52" s="1" t="inlineStr">
        <is>
          <t>005120</t>
        </is>
      </c>
      <c r="C52" s="1" t="inlineStr">
        <is>
          <t>Adesilex P9 White Slow Setting Adhesive 20kg</t>
        </is>
      </c>
      <c r="D52" s="1" t="n">
        <v>17.49</v>
      </c>
      <c r="E52" s="1" t="inlineStr">
        <is>
          <t>20kg</t>
        </is>
      </c>
      <c r="F52" s="1" t="inlineStr">
        <is>
          <t>Qty</t>
        </is>
      </c>
      <c r="G52" s="1" t="inlineStr">
        <is>
          <t>-</t>
        </is>
      </c>
      <c r="H52" s="1" t="inlineStr">
        <is>
          <t>-</t>
        </is>
      </c>
      <c r="I52" t="n">
        <v>17.49</v>
      </c>
    </row>
    <row r="53">
      <c r="A53" s="1">
        <f>Hyperlink("https://www.tilemountain.co.uk/p/adhesive-grout-mixing-paddle-5422.html","Product")</f>
        <v/>
      </c>
      <c r="B53" s="1" t="inlineStr">
        <is>
          <t>450700</t>
        </is>
      </c>
      <c r="C53" s="1" t="inlineStr">
        <is>
          <t>Adhesive &amp; Grout Mixing Paddle</t>
        </is>
      </c>
      <c r="D53" s="1" t="n">
        <v>9.99</v>
      </c>
      <c r="E53" s="1" t="inlineStr">
        <is>
          <t>-</t>
        </is>
      </c>
      <c r="F53" s="1" t="inlineStr">
        <is>
          <t>Qty</t>
        </is>
      </c>
      <c r="G53" s="1" t="inlineStr">
        <is>
          <t>-</t>
        </is>
      </c>
      <c r="H53" s="1" t="inlineStr">
        <is>
          <t>-</t>
        </is>
      </c>
      <c r="I53" t="n">
        <v>9.99</v>
      </c>
    </row>
    <row r="54">
      <c r="A54" s="1">
        <f>Hyperlink("https://www.tilemountain.co.uk/p/adjustable-floor-transition-gold.html","Product")</f>
        <v/>
      </c>
      <c r="B54" s="1" t="inlineStr">
        <is>
          <t>451235</t>
        </is>
      </c>
      <c r="C54" s="1" t="inlineStr">
        <is>
          <t>Adjustable Floor Transition Gold</t>
        </is>
      </c>
      <c r="D54" s="1" t="n">
        <v>7.99</v>
      </c>
      <c r="E54" s="1" t="inlineStr">
        <is>
          <t>-</t>
        </is>
      </c>
      <c r="F54" s="1" t="inlineStr">
        <is>
          <t>Qty</t>
        </is>
      </c>
      <c r="G54" s="1" t="inlineStr">
        <is>
          <t>-</t>
        </is>
      </c>
      <c r="H54" s="1" t="inlineStr">
        <is>
          <t>-</t>
        </is>
      </c>
      <c r="I54" t="n">
        <v>7.99</v>
      </c>
    </row>
    <row r="55">
      <c r="A55" s="1">
        <f>Hyperlink("https://www.tilemountain.co.uk/p/adjustable-floor-transition-stainless-steel.html","Product")</f>
        <v/>
      </c>
      <c r="B55" s="1" t="inlineStr">
        <is>
          <t>451240</t>
        </is>
      </c>
      <c r="C55" s="1" t="inlineStr">
        <is>
          <t>Adjustable Floor Transition Stainless Steel</t>
        </is>
      </c>
      <c r="D55" s="1" t="n">
        <v>7.99</v>
      </c>
      <c r="E55" s="1" t="inlineStr">
        <is>
          <t>-</t>
        </is>
      </c>
      <c r="F55" s="1" t="inlineStr">
        <is>
          <t>Qty</t>
        </is>
      </c>
      <c r="G55" s="1" t="inlineStr">
        <is>
          <t>-</t>
        </is>
      </c>
      <c r="H55" s="1" t="inlineStr">
        <is>
          <t>-</t>
        </is>
      </c>
      <c r="I55" t="n">
        <v>7.99</v>
      </c>
    </row>
    <row r="56">
      <c r="A56" s="1">
        <f>Hyperlink("https://www.tilemountain.co.uk/p/aga-urban-indoor-90x90_1.html","Product")</f>
        <v/>
      </c>
      <c r="B56" s="1" t="inlineStr">
        <is>
          <t>448515</t>
        </is>
      </c>
      <c r="C56" s="1" t="inlineStr">
        <is>
          <t>Aga Urban Grey Floor Tile</t>
        </is>
      </c>
      <c r="D56" s="1" t="n">
        <v>23.99</v>
      </c>
      <c r="E56" s="1" t="inlineStr">
        <is>
          <t>900x900mm</t>
        </is>
      </c>
      <c r="F56" s="1" t="inlineStr">
        <is>
          <t>m2</t>
        </is>
      </c>
      <c r="G56" s="1" t="inlineStr">
        <is>
          <t>Porcelain</t>
        </is>
      </c>
      <c r="H56" s="1" t="inlineStr">
        <is>
          <t>Riven</t>
        </is>
      </c>
      <c r="I56" t="n">
        <v>23.99</v>
      </c>
    </row>
    <row r="57">
      <c r="A57" s="1">
        <f>Hyperlink("https://www.tilemountain.co.uk/p/alamo-grafite-floor-tile.html","Product")</f>
        <v/>
      </c>
      <c r="B57" s="1" t="inlineStr">
        <is>
          <t>441315</t>
        </is>
      </c>
      <c r="C57" s="1" t="inlineStr">
        <is>
          <t>Alamo Grafite Floor Tiles</t>
        </is>
      </c>
      <c r="D57" s="1" t="n">
        <v>13.99</v>
      </c>
      <c r="E57" s="1" t="inlineStr">
        <is>
          <t>450x450mm</t>
        </is>
      </c>
      <c r="F57" s="1" t="inlineStr">
        <is>
          <t>m2</t>
        </is>
      </c>
      <c r="G57" s="1" t="inlineStr">
        <is>
          <t>Porcelain</t>
        </is>
      </c>
      <c r="H57" s="1" t="inlineStr">
        <is>
          <t>Matt</t>
        </is>
      </c>
      <c r="I57" t="n">
        <v>13.99</v>
      </c>
    </row>
    <row r="58">
      <c r="A58" s="1">
        <f>Hyperlink("https://www.tilemountain.co.uk/p/alamo-mocha-floor-tile.html","Product")</f>
        <v/>
      </c>
      <c r="B58" s="1" t="inlineStr">
        <is>
          <t>441325</t>
        </is>
      </c>
      <c r="C58" s="1" t="inlineStr">
        <is>
          <t>Alamo Mocha Floor Tiles</t>
        </is>
      </c>
      <c r="D58" s="1" t="n">
        <v>13.99</v>
      </c>
      <c r="E58" s="1" t="inlineStr">
        <is>
          <t>450x450mm</t>
        </is>
      </c>
      <c r="F58" s="1" t="inlineStr">
        <is>
          <t>m2</t>
        </is>
      </c>
      <c r="G58" s="1" t="inlineStr">
        <is>
          <t>Porcelain</t>
        </is>
      </c>
      <c r="H58" s="1" t="inlineStr">
        <is>
          <t>Matt</t>
        </is>
      </c>
      <c r="I58" t="n">
        <v>13.99</v>
      </c>
    </row>
    <row r="59">
      <c r="A59" s="1">
        <f>Hyperlink("https://www.tilemountain.co.uk/p/alaska-white-gloss-floor-tile.html","Product")</f>
        <v/>
      </c>
      <c r="B59" s="1" t="inlineStr">
        <is>
          <t>443715</t>
        </is>
      </c>
      <c r="C59" s="1" t="inlineStr">
        <is>
          <t>Alaska White Gloss Floor Tiles</t>
        </is>
      </c>
      <c r="D59" s="1" t="n">
        <v>14.99</v>
      </c>
      <c r="E59" s="1" t="inlineStr">
        <is>
          <t>608x608mm</t>
        </is>
      </c>
      <c r="F59" s="1" t="inlineStr">
        <is>
          <t>m2</t>
        </is>
      </c>
      <c r="G59" s="1" t="inlineStr">
        <is>
          <t>Porcelain</t>
        </is>
      </c>
      <c r="H59" s="1" t="inlineStr">
        <is>
          <t>Gloss</t>
        </is>
      </c>
      <c r="I59" t="n">
        <v>14.99</v>
      </c>
    </row>
    <row r="60">
      <c r="A60" s="1">
        <f>Hyperlink("https://www.tilemountain.co.uk/p/alda-white-slate-effect-wall-floor-tile.html","Product")</f>
        <v/>
      </c>
      <c r="B60" s="1" t="inlineStr">
        <is>
          <t>449660</t>
        </is>
      </c>
      <c r="C60" s="1" t="inlineStr">
        <is>
          <t>Alda White Slate Effect Wall &amp; Floor Tile</t>
        </is>
      </c>
      <c r="D60" s="1" t="n">
        <v>16.99</v>
      </c>
      <c r="E60" s="1" t="inlineStr">
        <is>
          <t>600x400mm</t>
        </is>
      </c>
      <c r="F60" s="1" t="inlineStr">
        <is>
          <t>m2</t>
        </is>
      </c>
      <c r="G60" s="1" t="inlineStr">
        <is>
          <t>Porcelain</t>
        </is>
      </c>
      <c r="H60" s="1" t="inlineStr">
        <is>
          <t>Matt</t>
        </is>
      </c>
      <c r="I60" t="n">
        <v>16.99</v>
      </c>
    </row>
    <row r="61">
      <c r="A61" s="1">
        <f>Hyperlink("https://www.tilemountain.co.uk/p/andalucia-patterned-porcelain-wall-and-floor-tile.html","Product")</f>
        <v/>
      </c>
      <c r="B61" s="1" t="inlineStr">
        <is>
          <t>440650</t>
        </is>
      </c>
      <c r="C61" s="1" t="inlineStr">
        <is>
          <t>Andalucia Hexagon Patterned Porcelain Wall And Floor Tiles</t>
        </is>
      </c>
      <c r="D61" s="1" t="n">
        <v>25.99</v>
      </c>
      <c r="E61" s="1" t="inlineStr">
        <is>
          <t>285x330mm</t>
        </is>
      </c>
      <c r="F61" s="1" t="inlineStr">
        <is>
          <t>m2</t>
        </is>
      </c>
      <c r="G61" s="1" t="inlineStr">
        <is>
          <t>Porcelain</t>
        </is>
      </c>
      <c r="H61" s="1" t="inlineStr">
        <is>
          <t>Matt</t>
        </is>
      </c>
      <c r="I61" t="n">
        <v>25.99</v>
      </c>
    </row>
    <row r="62">
      <c r="A62" s="1">
        <f>Hyperlink("https://www.tilemountain.co.uk/p/anderson-white-lappato.html","Product")</f>
        <v/>
      </c>
      <c r="B62" s="1" t="inlineStr">
        <is>
          <t>443150</t>
        </is>
      </c>
      <c r="C62" s="1" t="inlineStr">
        <is>
          <t>Anderson White Polished Floor Tiles</t>
        </is>
      </c>
      <c r="D62" s="1" t="n">
        <v>30.99</v>
      </c>
      <c r="E62" s="1" t="inlineStr">
        <is>
          <t>1200x600mm</t>
        </is>
      </c>
      <c r="F62" s="1" t="inlineStr">
        <is>
          <t>m2</t>
        </is>
      </c>
      <c r="G62" s="1" t="inlineStr">
        <is>
          <t>Porcelain</t>
        </is>
      </c>
      <c r="H62" s="1" t="inlineStr">
        <is>
          <t>Polished</t>
        </is>
      </c>
      <c r="I62" t="n">
        <v>30.99</v>
      </c>
    </row>
    <row r="63">
      <c r="A63" s="1">
        <f>Hyperlink("https://www.tilemountain.co.uk/p/antiga-modular-porcelain-wall-and-floor-tile.html","Product")</f>
        <v/>
      </c>
      <c r="B63" s="1" t="inlineStr">
        <is>
          <t>440645</t>
        </is>
      </c>
      <c r="C63" s="1" t="inlineStr">
        <is>
          <t>Antiga Modular Porcelain Wall And Floor Tiles</t>
        </is>
      </c>
      <c r="D63" s="1" t="n">
        <v>32.99</v>
      </c>
      <c r="E63" s="1" t="inlineStr">
        <is>
          <t>870x1000mm</t>
        </is>
      </c>
      <c r="F63" s="1" t="inlineStr">
        <is>
          <t>piece</t>
        </is>
      </c>
      <c r="G63" s="1" t="inlineStr">
        <is>
          <t>Porcelain</t>
        </is>
      </c>
      <c r="H63" s="1" t="inlineStr">
        <is>
          <t>Matt</t>
        </is>
      </c>
      <c r="I63" t="n">
        <v>32.99</v>
      </c>
    </row>
    <row r="64">
      <c r="A64" s="1">
        <f>Hyperlink("https://www.tilemountain.co.uk/p/anubis-brown-floor.html","Product")</f>
        <v/>
      </c>
      <c r="B64" s="1" t="inlineStr">
        <is>
          <t>448580</t>
        </is>
      </c>
      <c r="C64" s="1" t="inlineStr">
        <is>
          <t>Anubis Dark Brown Gloss Marble Effect Floor Tile</t>
        </is>
      </c>
      <c r="D64" s="1" t="n">
        <v>9.01</v>
      </c>
      <c r="E64" s="1" t="inlineStr">
        <is>
          <t>447x447mm</t>
        </is>
      </c>
      <c r="F64" s="1" t="inlineStr">
        <is>
          <t>m2</t>
        </is>
      </c>
      <c r="G64" s="1" t="inlineStr">
        <is>
          <t>Ceramic</t>
        </is>
      </c>
      <c r="H64" s="1" t="inlineStr">
        <is>
          <t>Gloss</t>
        </is>
      </c>
      <c r="I64" t="n">
        <v>9.01</v>
      </c>
    </row>
    <row r="65">
      <c r="A65" s="1">
        <f>Hyperlink("https://www.tilemountain.co.uk/p/anubis-brown-wall-gloss.html","Product")</f>
        <v/>
      </c>
      <c r="B65" s="1" t="inlineStr">
        <is>
          <t>448570</t>
        </is>
      </c>
      <c r="C65" s="1" t="inlineStr">
        <is>
          <t>Anubis Dark Brown Gloss Marble Effect Wall Tile</t>
        </is>
      </c>
      <c r="D65" s="1" t="n">
        <v>10.01</v>
      </c>
      <c r="E65" s="1" t="inlineStr">
        <is>
          <t>632x316mm</t>
        </is>
      </c>
      <c r="F65" s="1" t="inlineStr">
        <is>
          <t>m2</t>
        </is>
      </c>
      <c r="G65" s="1" t="inlineStr">
        <is>
          <t>Ceramic</t>
        </is>
      </c>
      <c r="H65" s="1" t="inlineStr">
        <is>
          <t>Gloss</t>
        </is>
      </c>
      <c r="I65" t="n">
        <v>10.01</v>
      </c>
    </row>
    <row r="66">
      <c r="A66" s="1">
        <f>Hyperlink("https://www.tilemountain.co.uk/p/anubis-cream-wall-gloss.html","Product")</f>
        <v/>
      </c>
      <c r="B66" s="1" t="inlineStr">
        <is>
          <t>448565</t>
        </is>
      </c>
      <c r="C66" s="1" t="inlineStr">
        <is>
          <t>Anubis Cream Gloss Marble Effect Wall Tile</t>
        </is>
      </c>
      <c r="D66" s="1" t="n">
        <v>10.01</v>
      </c>
      <c r="E66" s="1" t="inlineStr">
        <is>
          <t>632x316mm</t>
        </is>
      </c>
      <c r="F66" s="1" t="inlineStr">
        <is>
          <t>m2</t>
        </is>
      </c>
      <c r="G66" s="1" t="inlineStr">
        <is>
          <t>Ceramic</t>
        </is>
      </c>
      <c r="H66" s="1" t="inlineStr">
        <is>
          <t>Gloss</t>
        </is>
      </c>
      <c r="I66" t="n">
        <v>10.01</v>
      </c>
    </row>
    <row r="67">
      <c r="A67" s="1">
        <f>Hyperlink("https://www.tilemountain.co.uk/p/anubis-light-grey-wall-gloss_1.html","Product")</f>
        <v/>
      </c>
      <c r="B67" s="1" t="inlineStr">
        <is>
          <t>448545</t>
        </is>
      </c>
      <c r="C67" s="1" t="inlineStr">
        <is>
          <t>Anubis Light Grey Gloss Marble Effect Wall Tile</t>
        </is>
      </c>
      <c r="D67" s="1" t="n">
        <v>10.01</v>
      </c>
      <c r="E67" s="1" t="inlineStr">
        <is>
          <t>632x316mm</t>
        </is>
      </c>
      <c r="F67" s="1" t="inlineStr">
        <is>
          <t>m2</t>
        </is>
      </c>
      <c r="G67" s="1" t="inlineStr">
        <is>
          <t>Ceramic</t>
        </is>
      </c>
      <c r="H67" s="1" t="inlineStr">
        <is>
          <t>Gloss</t>
        </is>
      </c>
      <c r="I67" t="n">
        <v>10.01</v>
      </c>
    </row>
    <row r="68">
      <c r="A68" s="1">
        <f>Hyperlink("https://www.tilemountain.co.uk/p/apollo-hexagon-black.html","Product")</f>
        <v/>
      </c>
      <c r="B68" s="1" t="inlineStr">
        <is>
          <t>439145</t>
        </is>
      </c>
      <c r="C68" s="1" t="inlineStr">
        <is>
          <t>Apollo Hexagon Black Wall and Floor Tile</t>
        </is>
      </c>
      <c r="D68" s="1" t="n">
        <v>23.99</v>
      </c>
      <c r="E68" s="1" t="inlineStr">
        <is>
          <t>285x330mm</t>
        </is>
      </c>
      <c r="F68" s="1" t="inlineStr">
        <is>
          <t>m2</t>
        </is>
      </c>
      <c r="G68" s="1" t="inlineStr">
        <is>
          <t>Porcelain</t>
        </is>
      </c>
      <c r="H68" s="1" t="inlineStr">
        <is>
          <t>Matt</t>
        </is>
      </c>
      <c r="I68" t="n">
        <v>23.99</v>
      </c>
    </row>
    <row r="69">
      <c r="A69" s="1">
        <f>Hyperlink("https://www.tilemountain.co.uk/p/apollo-hexagon-grey.html","Product")</f>
        <v/>
      </c>
      <c r="B69" s="1" t="inlineStr">
        <is>
          <t>439150</t>
        </is>
      </c>
      <c r="C69" s="1" t="inlineStr">
        <is>
          <t>Apollo Hexagon Grey Wall and Floor Tile</t>
        </is>
      </c>
      <c r="D69" s="1" t="n">
        <v>23.99</v>
      </c>
      <c r="E69" s="1" t="inlineStr">
        <is>
          <t>285x330mm</t>
        </is>
      </c>
      <c r="F69" s="1" t="inlineStr">
        <is>
          <t>m2</t>
        </is>
      </c>
      <c r="G69" s="1" t="inlineStr">
        <is>
          <t>Porcelain</t>
        </is>
      </c>
      <c r="H69" s="1" t="inlineStr">
        <is>
          <t>Matt</t>
        </is>
      </c>
      <c r="I69" t="n">
        <v>23.99</v>
      </c>
    </row>
    <row r="70">
      <c r="A70" s="1">
        <f>Hyperlink("https://www.tilemountain.co.uk/p/apollo-hexagon-white.html","Product")</f>
        <v/>
      </c>
      <c r="B70" s="1" t="inlineStr">
        <is>
          <t>439140</t>
        </is>
      </c>
      <c r="C70" s="1" t="inlineStr">
        <is>
          <t>Apollo Hexagon White Wall and Floor Tile</t>
        </is>
      </c>
      <c r="D70" s="1" t="n">
        <v>23.99</v>
      </c>
      <c r="E70" s="1" t="inlineStr">
        <is>
          <t>330x285mm</t>
        </is>
      </c>
      <c r="F70" s="1" t="inlineStr">
        <is>
          <t>m2</t>
        </is>
      </c>
      <c r="G70" s="1" t="inlineStr">
        <is>
          <t>Porcelain</t>
        </is>
      </c>
      <c r="H70" s="1" t="inlineStr">
        <is>
          <t>Matt</t>
        </is>
      </c>
      <c r="I70" t="n">
        <v>23.99</v>
      </c>
    </row>
    <row r="71">
      <c r="A71" s="1">
        <f>Hyperlink("https://www.tilemountain.co.uk/p/ardennes-dark-brown-wall-and-floor-tile.html","Product")</f>
        <v/>
      </c>
      <c r="B71" s="1" t="inlineStr">
        <is>
          <t>440520</t>
        </is>
      </c>
      <c r="C71" s="1" t="inlineStr">
        <is>
          <t>Ardennes Century Wood Effect Wall and Floor Tiles</t>
        </is>
      </c>
      <c r="D71" s="1" t="n">
        <v>25</v>
      </c>
      <c r="E71" s="1" t="inlineStr">
        <is>
          <t>248x1000mm</t>
        </is>
      </c>
      <c r="F71" s="1" t="inlineStr">
        <is>
          <t>m2</t>
        </is>
      </c>
      <c r="G71" s="1" t="inlineStr">
        <is>
          <t>Porcelain</t>
        </is>
      </c>
      <c r="H71" s="1" t="inlineStr">
        <is>
          <t>Riven</t>
        </is>
      </c>
      <c r="I71" t="n">
        <v>25</v>
      </c>
    </row>
    <row r="72">
      <c r="A72" s="1">
        <f>Hyperlink("https://www.tilemountain.co.uk/p/ardosia-black-antislip-porcelain-floor-tile.html","Product")</f>
        <v/>
      </c>
      <c r="B72" s="1" t="inlineStr">
        <is>
          <t>443645</t>
        </is>
      </c>
      <c r="C72" s="1" t="inlineStr">
        <is>
          <t>Ardosia Black Anti-Slip Porcelain Floor Tiles</t>
        </is>
      </c>
      <c r="D72" s="1" t="n">
        <v>19.99</v>
      </c>
      <c r="E72" s="1" t="inlineStr">
        <is>
          <t>600x600mm</t>
        </is>
      </c>
      <c r="F72" s="1" t="inlineStr">
        <is>
          <t>m2</t>
        </is>
      </c>
      <c r="G72" s="1" t="inlineStr">
        <is>
          <t>Porcelain</t>
        </is>
      </c>
      <c r="H72" s="1" t="inlineStr">
        <is>
          <t>Matt</t>
        </is>
      </c>
      <c r="I72" t="n">
        <v>19.99</v>
      </c>
    </row>
    <row r="73">
      <c r="A73" s="1">
        <f>Hyperlink("https://www.tilemountain.co.uk/p/ares-grey-cement-effect-porcelain-tile.html","Product")</f>
        <v/>
      </c>
      <c r="B73" s="1" t="inlineStr">
        <is>
          <t>449665</t>
        </is>
      </c>
      <c r="C73" s="1" t="inlineStr">
        <is>
          <t>Ares Grey Cement Effect Porcelain Floor Tile</t>
        </is>
      </c>
      <c r="D73" s="1" t="n">
        <v>22.99</v>
      </c>
      <c r="E73" s="1" t="inlineStr">
        <is>
          <t>800x800mm</t>
        </is>
      </c>
      <c r="F73" s="1" t="inlineStr">
        <is>
          <t>m2</t>
        </is>
      </c>
      <c r="G73" s="1" t="inlineStr">
        <is>
          <t>Porcelain</t>
        </is>
      </c>
      <c r="H73" s="1" t="inlineStr">
        <is>
          <t>Matt</t>
        </is>
      </c>
      <c r="I73" t="n">
        <v>22.99</v>
      </c>
    </row>
    <row r="74">
      <c r="A74" s="1">
        <f>Hyperlink("https://www.tilemountain.co.uk/p/ark-silver-outdoor-slab.html","Product")</f>
        <v/>
      </c>
      <c r="B74" s="1" t="inlineStr">
        <is>
          <t>448340</t>
        </is>
      </c>
      <c r="C74" s="1" t="inlineStr">
        <is>
          <t>Ark Silver Outdoor Slab</t>
        </is>
      </c>
      <c r="D74" s="1" t="n">
        <v>24.99</v>
      </c>
      <c r="E74" s="1" t="inlineStr">
        <is>
          <t>600x600mm</t>
        </is>
      </c>
      <c r="F74" s="1" t="inlineStr">
        <is>
          <t>m2</t>
        </is>
      </c>
      <c r="G74" s="1" t="inlineStr">
        <is>
          <t>Porcelain</t>
        </is>
      </c>
      <c r="H74" s="1" t="inlineStr">
        <is>
          <t>Matt</t>
        </is>
      </c>
      <c r="I74" t="n">
        <v>24.99</v>
      </c>
    </row>
    <row r="75">
      <c r="A75" s="1">
        <f>Hyperlink("https://www.tilemountain.co.uk/p/arkesia-grey-wall.html","Product")</f>
        <v/>
      </c>
      <c r="B75" s="1" t="inlineStr">
        <is>
          <t>448590</t>
        </is>
      </c>
      <c r="C75" s="1" t="inlineStr">
        <is>
          <t>Arkesia Grey Wall Tile</t>
        </is>
      </c>
      <c r="D75" s="1" t="n">
        <v>16.99</v>
      </c>
      <c r="E75" s="1" t="inlineStr">
        <is>
          <t>600x300mm</t>
        </is>
      </c>
      <c r="F75" s="1" t="inlineStr">
        <is>
          <t>m2</t>
        </is>
      </c>
      <c r="G75" s="1" t="inlineStr">
        <is>
          <t>Ceramic</t>
        </is>
      </c>
      <c r="H75" s="1" t="inlineStr">
        <is>
          <t>Matt</t>
        </is>
      </c>
      <c r="I75" t="n">
        <v>16.99</v>
      </c>
    </row>
    <row r="76">
      <c r="A76" s="1">
        <f>Hyperlink("https://www.tilemountain.co.uk/p/arkesia-light-grey-wall.html","Product")</f>
        <v/>
      </c>
      <c r="B76" s="1" t="inlineStr">
        <is>
          <t>448585</t>
        </is>
      </c>
      <c r="C76" s="1" t="inlineStr">
        <is>
          <t>Arkesia Light Grey Wall Tile</t>
        </is>
      </c>
      <c r="D76" s="1" t="n">
        <v>16.99</v>
      </c>
      <c r="E76" s="1" t="inlineStr">
        <is>
          <t>600x300mm</t>
        </is>
      </c>
      <c r="F76" s="1" t="inlineStr">
        <is>
          <t>m2</t>
        </is>
      </c>
      <c r="G76" s="1" t="inlineStr">
        <is>
          <t>Ceramic</t>
        </is>
      </c>
      <c r="H76" s="1" t="inlineStr">
        <is>
          <t>Matt</t>
        </is>
      </c>
      <c r="I76" t="n">
        <v>16.99</v>
      </c>
    </row>
    <row r="77">
      <c r="A77" s="1">
        <f>Hyperlink("https://www.tilemountain.co.uk/p/arkety-sand.html","Product")</f>
        <v/>
      </c>
      <c r="B77" s="1" t="inlineStr">
        <is>
          <t>444430</t>
        </is>
      </c>
      <c r="C77" s="1" t="inlineStr">
        <is>
          <t>Arkety Sand Floor Tile</t>
        </is>
      </c>
      <c r="D77" s="1" t="n">
        <v>34.99</v>
      </c>
      <c r="E77" s="1" t="inlineStr">
        <is>
          <t>1200x1200mm</t>
        </is>
      </c>
      <c r="F77" s="1" t="inlineStr">
        <is>
          <t>m2</t>
        </is>
      </c>
      <c r="G77" s="1" t="inlineStr">
        <is>
          <t>Porcelain</t>
        </is>
      </c>
      <c r="H77" s="1" t="inlineStr">
        <is>
          <t>Matt</t>
        </is>
      </c>
      <c r="I77" t="n">
        <v>34.99</v>
      </c>
    </row>
    <row r="78">
      <c r="A78" s="1">
        <f>Hyperlink("https://www.tilemountain.co.uk/p/artesano-alabaster-6-5x20cm.html","Product")</f>
        <v/>
      </c>
      <c r="B78" s="1" t="inlineStr">
        <is>
          <t>402390</t>
        </is>
      </c>
      <c r="C78" s="1" t="inlineStr">
        <is>
          <t>Artesano Alabaster</t>
        </is>
      </c>
      <c r="D78" s="1" t="n">
        <v>34.99</v>
      </c>
      <c r="E78" s="1" t="inlineStr">
        <is>
          <t>200x65mm</t>
        </is>
      </c>
      <c r="F78" s="1" t="inlineStr">
        <is>
          <t>m2</t>
        </is>
      </c>
      <c r="G78" s="1" t="inlineStr">
        <is>
          <t>Ceramic</t>
        </is>
      </c>
      <c r="H78" s="1" t="inlineStr">
        <is>
          <t>Gloss</t>
        </is>
      </c>
      <c r="I78" t="n">
        <v>34.99</v>
      </c>
    </row>
    <row r="79">
      <c r="A79" s="1">
        <f>Hyperlink("https://www.tilemountain.co.uk/p/artesano-aqua-6-5x20cm.html","Product")</f>
        <v/>
      </c>
      <c r="B79" s="1" t="inlineStr">
        <is>
          <t>402385</t>
        </is>
      </c>
      <c r="C79" s="1" t="inlineStr">
        <is>
          <t>Artesano Aqua</t>
        </is>
      </c>
      <c r="D79" s="1" t="n">
        <v>34.99</v>
      </c>
      <c r="E79" s="1" t="inlineStr">
        <is>
          <t>200x65mm</t>
        </is>
      </c>
      <c r="F79" s="1" t="inlineStr">
        <is>
          <t>m2</t>
        </is>
      </c>
      <c r="G79" s="1" t="inlineStr">
        <is>
          <t>Ceramic</t>
        </is>
      </c>
      <c r="H79" s="1" t="inlineStr">
        <is>
          <t>Gloss</t>
        </is>
      </c>
      <c r="I79" t="n">
        <v>34.99</v>
      </c>
    </row>
    <row r="80">
      <c r="A80" s="1">
        <f>Hyperlink("https://www.tilemountain.co.uk/p/artesano-burgundy-6-5x20cm.html","Product")</f>
        <v/>
      </c>
      <c r="B80" s="1" t="inlineStr">
        <is>
          <t>402380</t>
        </is>
      </c>
      <c r="C80" s="1" t="inlineStr">
        <is>
          <t>Artesano Burgundy</t>
        </is>
      </c>
      <c r="D80" s="1" t="n">
        <v>34.99</v>
      </c>
      <c r="E80" s="1" t="inlineStr">
        <is>
          <t>200x65mm</t>
        </is>
      </c>
      <c r="F80" s="1" t="inlineStr">
        <is>
          <t>m2</t>
        </is>
      </c>
      <c r="G80" s="1" t="inlineStr">
        <is>
          <t>Ceramic</t>
        </is>
      </c>
      <c r="H80" s="1" t="inlineStr">
        <is>
          <t>Gloss</t>
        </is>
      </c>
      <c r="I80" t="n">
        <v>34.99</v>
      </c>
    </row>
    <row r="81">
      <c r="A81" s="1">
        <f>Hyperlink("https://www.tilemountain.co.uk/p/artesano-colonial-blue-6-5x20cm.html","Product")</f>
        <v/>
      </c>
      <c r="B81" s="1" t="inlineStr">
        <is>
          <t>402395</t>
        </is>
      </c>
      <c r="C81" s="1" t="inlineStr">
        <is>
          <t>Artesano Colonial Blue</t>
        </is>
      </c>
      <c r="D81" s="1" t="n">
        <v>34.99</v>
      </c>
      <c r="E81" s="1" t="inlineStr">
        <is>
          <t>200x65mm</t>
        </is>
      </c>
      <c r="F81" s="1" t="inlineStr">
        <is>
          <t>m2</t>
        </is>
      </c>
      <c r="G81" s="1" t="inlineStr">
        <is>
          <t>Ceramic</t>
        </is>
      </c>
      <c r="H81" s="1" t="inlineStr">
        <is>
          <t>Gloss</t>
        </is>
      </c>
      <c r="I81" t="n">
        <v>34.99</v>
      </c>
    </row>
    <row r="82">
      <c r="A82" s="1">
        <f>Hyperlink("https://www.tilemountain.co.uk/p/artesano-graphite-6-5x20cm.html","Product")</f>
        <v/>
      </c>
      <c r="B82" s="1" t="inlineStr">
        <is>
          <t>402405</t>
        </is>
      </c>
      <c r="C82" s="1" t="inlineStr">
        <is>
          <t>Artesano Graphite</t>
        </is>
      </c>
      <c r="D82" s="1" t="n">
        <v>34.99</v>
      </c>
      <c r="E82" s="1" t="inlineStr">
        <is>
          <t>200x65mm</t>
        </is>
      </c>
      <c r="F82" s="1" t="inlineStr">
        <is>
          <t>m2</t>
        </is>
      </c>
      <c r="G82" s="1" t="inlineStr">
        <is>
          <t>Ceramic</t>
        </is>
      </c>
      <c r="H82" s="1" t="inlineStr">
        <is>
          <t>Gloss</t>
        </is>
      </c>
      <c r="I82" t="n">
        <v>34.99</v>
      </c>
    </row>
    <row r="83">
      <c r="A83" s="1">
        <f>Hyperlink("https://www.tilemountain.co.uk/p/artesano-moss-green-6-5x20cm.html","Product")</f>
        <v/>
      </c>
      <c r="B83" s="1" t="inlineStr">
        <is>
          <t>402400</t>
        </is>
      </c>
      <c r="C83" s="1" t="inlineStr">
        <is>
          <t>Artesano Moss Green</t>
        </is>
      </c>
      <c r="D83" s="1" t="n">
        <v>34.99</v>
      </c>
      <c r="E83" s="1" t="inlineStr">
        <is>
          <t>200x65mm</t>
        </is>
      </c>
      <c r="F83" s="1" t="inlineStr">
        <is>
          <t>m2</t>
        </is>
      </c>
      <c r="G83" s="1" t="inlineStr">
        <is>
          <t>Ceramic</t>
        </is>
      </c>
      <c r="H83" s="1" t="inlineStr">
        <is>
          <t>Gloss</t>
        </is>
      </c>
      <c r="I83" t="n">
        <v>34.99</v>
      </c>
    </row>
    <row r="84">
      <c r="A84" s="1">
        <f>Hyperlink("https://www.tilemountain.co.uk/p/artesano-rose-mallow-6-5x20cm.html","Product")</f>
        <v/>
      </c>
      <c r="B84" s="1" t="inlineStr">
        <is>
          <t>402375</t>
        </is>
      </c>
      <c r="C84" s="1" t="inlineStr">
        <is>
          <t>Artesano Rose Mallow</t>
        </is>
      </c>
      <c r="D84" s="1" t="n">
        <v>34.99</v>
      </c>
      <c r="E84" s="1" t="inlineStr">
        <is>
          <t>200x65mm</t>
        </is>
      </c>
      <c r="F84" s="1" t="inlineStr">
        <is>
          <t>m2</t>
        </is>
      </c>
      <c r="G84" s="1" t="inlineStr">
        <is>
          <t>Ceramic</t>
        </is>
      </c>
      <c r="H84" s="1" t="inlineStr">
        <is>
          <t>Gloss</t>
        </is>
      </c>
      <c r="I84" t="n">
        <v>34.99</v>
      </c>
    </row>
    <row r="85">
      <c r="A85" s="1">
        <f>Hyperlink("https://www.tilemountain.co.uk/p/artesano-white-6-5x20cm.html","Product")</f>
        <v/>
      </c>
      <c r="B85" s="1" t="inlineStr">
        <is>
          <t>402365</t>
        </is>
      </c>
      <c r="C85" s="1" t="inlineStr">
        <is>
          <t>Artesano White</t>
        </is>
      </c>
      <c r="D85" s="1" t="n">
        <v>34.99</v>
      </c>
      <c r="E85" s="1" t="inlineStr">
        <is>
          <t>200x65mm</t>
        </is>
      </c>
      <c r="F85" s="1" t="inlineStr">
        <is>
          <t>m2</t>
        </is>
      </c>
      <c r="G85" s="1" t="inlineStr">
        <is>
          <t>Ceramic</t>
        </is>
      </c>
      <c r="H85" s="1" t="inlineStr">
        <is>
          <t>Gloss</t>
        </is>
      </c>
      <c r="I85" t="n">
        <v>34.99</v>
      </c>
    </row>
    <row r="86">
      <c r="A86" s="1">
        <f>Hyperlink("https://www.tilemountain.co.uk/p/articwood-amber-wood-effect-floor-tile.html","Product")</f>
        <v/>
      </c>
      <c r="B86" s="1" t="inlineStr">
        <is>
          <t>449715</t>
        </is>
      </c>
      <c r="C86" s="1" t="inlineStr">
        <is>
          <t>Articwood Amber Wood Effect Floor Tile</t>
        </is>
      </c>
      <c r="D86" s="1" t="n">
        <v>11.99</v>
      </c>
      <c r="E86" s="1" t="inlineStr">
        <is>
          <t>615x205mm</t>
        </is>
      </c>
      <c r="F86" s="1" t="inlineStr">
        <is>
          <t>m2</t>
        </is>
      </c>
      <c r="G86" s="1" t="inlineStr">
        <is>
          <t>Ceramic</t>
        </is>
      </c>
      <c r="H86" s="1" t="inlineStr">
        <is>
          <t>Matt</t>
        </is>
      </c>
      <c r="I86" t="n">
        <v>11.99</v>
      </c>
    </row>
    <row r="87">
      <c r="A87" s="1">
        <f>Hyperlink("https://www.tilemountain.co.uk/p/articwood-camel-wood-effect-floor-tile.html","Product")</f>
        <v/>
      </c>
      <c r="B87" s="1" t="inlineStr">
        <is>
          <t>449710</t>
        </is>
      </c>
      <c r="C87" s="1" t="inlineStr">
        <is>
          <t>Articwood Camel Wood Effect Floor Tile</t>
        </is>
      </c>
      <c r="D87" s="1" t="n">
        <v>11.99</v>
      </c>
      <c r="E87" s="1" t="inlineStr">
        <is>
          <t>615x205mm</t>
        </is>
      </c>
      <c r="F87" s="1" t="inlineStr">
        <is>
          <t>m2</t>
        </is>
      </c>
      <c r="G87" s="1" t="inlineStr">
        <is>
          <t>Ceramic</t>
        </is>
      </c>
      <c r="H87" s="1" t="inlineStr">
        <is>
          <t>Matt</t>
        </is>
      </c>
      <c r="I87" t="n">
        <v>11.99</v>
      </c>
    </row>
    <row r="88">
      <c r="A88" s="1">
        <f>Hyperlink("https://www.tilemountain.co.uk/p/articwood-ice-gray-20-5x61-5.html","Product")</f>
        <v/>
      </c>
      <c r="B88" s="1" t="inlineStr">
        <is>
          <t>449700</t>
        </is>
      </c>
      <c r="C88" s="1" t="inlineStr">
        <is>
          <t>Articwood Ice Grey Wood Effect Wall And Floor Tiles</t>
        </is>
      </c>
      <c r="D88" s="1" t="n">
        <v>11.99</v>
      </c>
      <c r="E88" s="1" t="inlineStr">
        <is>
          <t>615x205mm</t>
        </is>
      </c>
      <c r="F88" s="1" t="inlineStr">
        <is>
          <t>m2</t>
        </is>
      </c>
      <c r="G88" s="1" t="inlineStr">
        <is>
          <t>Ceramic</t>
        </is>
      </c>
      <c r="H88" s="1" t="inlineStr">
        <is>
          <t>Matt</t>
        </is>
      </c>
      <c r="I88" t="n">
        <v>11.99</v>
      </c>
    </row>
    <row r="89">
      <c r="A89" s="1">
        <f>Hyperlink("https://www.tilemountain.co.uk/p/artiste-cream-wall-tiles-7-5x15cm.html","Product")</f>
        <v/>
      </c>
      <c r="B89" s="1" t="inlineStr">
        <is>
          <t>1007925</t>
        </is>
      </c>
      <c r="C89" s="1" t="inlineStr">
        <is>
          <t>Artiste Cream Wall Tiles</t>
        </is>
      </c>
      <c r="D89" s="1" t="n">
        <v>27.56</v>
      </c>
      <c r="E89" s="1" t="inlineStr">
        <is>
          <t>150x75mm</t>
        </is>
      </c>
      <c r="F89" s="1" t="inlineStr">
        <is>
          <t>m2</t>
        </is>
      </c>
      <c r="G89" s="1" t="inlineStr">
        <is>
          <t>Ceramic</t>
        </is>
      </c>
      <c r="H89" s="1" t="inlineStr">
        <is>
          <t>Gloss</t>
        </is>
      </c>
      <c r="I89" t="n">
        <v>27.56</v>
      </c>
    </row>
    <row r="90">
      <c r="A90" s="1">
        <f>Hyperlink("https://www.tilemountain.co.uk/p/artiste-duck-egg-wall-tiles-7-5x15cm.html","Product")</f>
        <v/>
      </c>
      <c r="B90" s="1" t="inlineStr">
        <is>
          <t>1007935</t>
        </is>
      </c>
      <c r="C90" s="1" t="inlineStr">
        <is>
          <t>Artiste Duck Egg Wall Tiles</t>
        </is>
      </c>
      <c r="D90" s="1" t="n">
        <v>27.56</v>
      </c>
      <c r="E90" s="1" t="inlineStr">
        <is>
          <t>150x75mm</t>
        </is>
      </c>
      <c r="F90" s="1" t="inlineStr">
        <is>
          <t>m2</t>
        </is>
      </c>
      <c r="G90" s="1" t="inlineStr">
        <is>
          <t>Ceramic</t>
        </is>
      </c>
      <c r="H90" s="1" t="inlineStr">
        <is>
          <t>Gloss</t>
        </is>
      </c>
      <c r="I90" t="n">
        <v>27.56</v>
      </c>
    </row>
    <row r="91">
      <c r="A91" s="1">
        <f>Hyperlink("https://www.tilemountain.co.uk/p/artiste-grey-wall-tiles-7-5x15cm.html","Product")</f>
        <v/>
      </c>
      <c r="B91" s="1" t="inlineStr">
        <is>
          <t>1007945</t>
        </is>
      </c>
      <c r="C91" s="1" t="inlineStr">
        <is>
          <t>Artiste Grey Wall Tiles</t>
        </is>
      </c>
      <c r="D91" s="1" t="n">
        <v>27.56</v>
      </c>
      <c r="E91" s="1" t="inlineStr">
        <is>
          <t>150x75mm</t>
        </is>
      </c>
      <c r="F91" s="1" t="inlineStr">
        <is>
          <t>m2</t>
        </is>
      </c>
      <c r="G91" s="1" t="inlineStr">
        <is>
          <t>Ceramic</t>
        </is>
      </c>
      <c r="H91" s="1" t="inlineStr">
        <is>
          <t>Gloss</t>
        </is>
      </c>
      <c r="I91" t="n">
        <v>27.56</v>
      </c>
    </row>
    <row r="92">
      <c r="A92" s="1">
        <f>Hyperlink("https://www.tilemountain.co.uk/p/asp-paving-pedestal-50-70mm.html","Product")</f>
        <v/>
      </c>
      <c r="B92" s="1" t="inlineStr">
        <is>
          <t>442910</t>
        </is>
      </c>
      <c r="C92" s="1" t="inlineStr">
        <is>
          <t>ASP Outdoor Tiles Pedestal 50-70mm</t>
        </is>
      </c>
      <c r="D92" s="1" t="n">
        <v>5.49</v>
      </c>
      <c r="E92" s="1" t="inlineStr">
        <is>
          <t>-</t>
        </is>
      </c>
      <c r="F92" s="1" t="inlineStr">
        <is>
          <t>Qty</t>
        </is>
      </c>
      <c r="G92" s="1" t="inlineStr">
        <is>
          <t>-</t>
        </is>
      </c>
      <c r="H92" s="1" t="inlineStr">
        <is>
          <t>-</t>
        </is>
      </c>
      <c r="I92" t="n">
        <v>5.49</v>
      </c>
    </row>
    <row r="93">
      <c r="A93" s="1">
        <f>Hyperlink("https://www.tilemountain.co.uk/p/asp-pedestal-flat-head.html","Product")</f>
        <v/>
      </c>
      <c r="B93" s="1" t="inlineStr">
        <is>
          <t>451625</t>
        </is>
      </c>
      <c r="C93" s="1" t="inlineStr">
        <is>
          <t>ASP Outdoor Tiles Flat Head Pedestal 50-70mm</t>
        </is>
      </c>
      <c r="D93" s="1" t="n">
        <v>5.49</v>
      </c>
      <c r="E93" s="1" t="inlineStr">
        <is>
          <t>-</t>
        </is>
      </c>
      <c r="F93" s="1" t="inlineStr">
        <is>
          <t>Qty</t>
        </is>
      </c>
      <c r="G93" s="1" t="inlineStr">
        <is>
          <t>-</t>
        </is>
      </c>
      <c r="H93" s="1" t="inlineStr">
        <is>
          <t>-</t>
        </is>
      </c>
      <c r="I93" t="n">
        <v>5.49</v>
      </c>
    </row>
    <row r="94">
      <c r="A94" s="1">
        <f>Hyperlink("https://www.tilemountain.co.uk/p/aspendos-dark-grey-gloss-wall-tile.html","Product")</f>
        <v/>
      </c>
      <c r="B94" s="1" t="inlineStr">
        <is>
          <t>430255</t>
        </is>
      </c>
      <c r="C94" s="1" t="inlineStr">
        <is>
          <t>Aspendos Dark Grey Gloss Wall Tiles</t>
        </is>
      </c>
      <c r="D94" s="1" t="n">
        <v>10.99</v>
      </c>
      <c r="E94" s="1" t="inlineStr">
        <is>
          <t>250x400mm</t>
        </is>
      </c>
      <c r="F94" s="1" t="inlineStr">
        <is>
          <t>m2</t>
        </is>
      </c>
      <c r="G94" s="1" t="inlineStr">
        <is>
          <t>Ceramic</t>
        </is>
      </c>
      <c r="H94" s="1" t="inlineStr">
        <is>
          <t>Gloss</t>
        </is>
      </c>
      <c r="I94" t="n">
        <v>10.99</v>
      </c>
    </row>
    <row r="95">
      <c r="A95" s="1">
        <f>Hyperlink("https://www.tilemountain.co.uk/p/aspendos-light-grey-gloss-wall-tile.html","Product")</f>
        <v/>
      </c>
      <c r="B95" s="1" t="inlineStr">
        <is>
          <t>430250</t>
        </is>
      </c>
      <c r="C95" s="1" t="inlineStr">
        <is>
          <t>Aspendos Light Grey Gloss Wall Tiles</t>
        </is>
      </c>
      <c r="D95" s="1" t="n">
        <v>10.99</v>
      </c>
      <c r="E95" s="1" t="inlineStr">
        <is>
          <t>250x400mm</t>
        </is>
      </c>
      <c r="F95" s="1" t="inlineStr">
        <is>
          <t>m2</t>
        </is>
      </c>
      <c r="G95" s="1" t="inlineStr">
        <is>
          <t>Ceramic</t>
        </is>
      </c>
      <c r="H95" s="1" t="inlineStr">
        <is>
          <t>Gloss</t>
        </is>
      </c>
      <c r="I95" t="n">
        <v>10.99</v>
      </c>
    </row>
    <row r="96">
      <c r="A96" s="1">
        <f>Hyperlink("https://www.tilemountain.co.uk/p/atlantis-beige-wall-and-floor-tile.html","Product")</f>
        <v/>
      </c>
      <c r="B96" s="1" t="inlineStr">
        <is>
          <t>441225</t>
        </is>
      </c>
      <c r="C96" s="1" t="inlineStr">
        <is>
          <t>Atlantis Beige Wood Effect Wall and Floor Tiles</t>
        </is>
      </c>
      <c r="D96" s="1" t="n">
        <v>15.99</v>
      </c>
      <c r="E96" s="1" t="inlineStr">
        <is>
          <t>880x240mm</t>
        </is>
      </c>
      <c r="F96" s="1" t="inlineStr">
        <is>
          <t>m2</t>
        </is>
      </c>
      <c r="G96" s="1" t="inlineStr">
        <is>
          <t>Porcelain</t>
        </is>
      </c>
      <c r="H96" s="1" t="inlineStr">
        <is>
          <t>Matt</t>
        </is>
      </c>
      <c r="I96" t="n">
        <v>15.99</v>
      </c>
    </row>
    <row r="97">
      <c r="A97" s="1">
        <f>Hyperlink("https://www.tilemountain.co.uk/p/atlantis-grey-wall-and-floor-tile.html","Product")</f>
        <v/>
      </c>
      <c r="B97" s="1" t="inlineStr">
        <is>
          <t>441235</t>
        </is>
      </c>
      <c r="C97" s="1" t="inlineStr">
        <is>
          <t>Atlantis Grey Wood Effect Wall and Floor Tiles</t>
        </is>
      </c>
      <c r="D97" s="1" t="n">
        <v>15.99</v>
      </c>
      <c r="E97" s="1" t="inlineStr">
        <is>
          <t>880x240mm</t>
        </is>
      </c>
      <c r="F97" s="1" t="inlineStr">
        <is>
          <t>m2</t>
        </is>
      </c>
      <c r="G97" s="1" t="inlineStr">
        <is>
          <t>Porcelain</t>
        </is>
      </c>
      <c r="H97" s="1" t="inlineStr">
        <is>
          <t>Matt</t>
        </is>
      </c>
      <c r="I97" t="n">
        <v>15.99</v>
      </c>
    </row>
    <row r="98">
      <c r="A98" s="1">
        <f>Hyperlink("https://www.tilemountain.co.uk/p/atlantis-taupe-wall-and-floor-tile.html","Product")</f>
        <v/>
      </c>
      <c r="B98" s="1" t="inlineStr">
        <is>
          <t>441240</t>
        </is>
      </c>
      <c r="C98" s="1" t="inlineStr">
        <is>
          <t>Atlantis Taupe Wood Effect Wall and Floor Tiles</t>
        </is>
      </c>
      <c r="D98" s="1" t="n">
        <v>15.99</v>
      </c>
      <c r="E98" s="1" t="inlineStr">
        <is>
          <t>880x240mm</t>
        </is>
      </c>
      <c r="F98" s="1" t="inlineStr">
        <is>
          <t>m2</t>
        </is>
      </c>
      <c r="G98" s="1" t="inlineStr">
        <is>
          <t>Porcelain</t>
        </is>
      </c>
      <c r="H98" s="1" t="inlineStr">
        <is>
          <t>Matt</t>
        </is>
      </c>
      <c r="I98" t="n">
        <v>15.99</v>
      </c>
    </row>
    <row r="99">
      <c r="A99" s="1">
        <f>Hyperlink("https://www.tilemountain.co.uk/p/atlantis-white-wall-and-floor-tile.html","Product")</f>
        <v/>
      </c>
      <c r="B99" s="1" t="inlineStr">
        <is>
          <t>441230</t>
        </is>
      </c>
      <c r="C99" s="1" t="inlineStr">
        <is>
          <t>Atlantis White Wood Effect Wall and Floor Tiles</t>
        </is>
      </c>
      <c r="D99" s="1" t="n">
        <v>15.99</v>
      </c>
      <c r="E99" s="1" t="inlineStr">
        <is>
          <t>880x240mm</t>
        </is>
      </c>
      <c r="F99" s="1" t="inlineStr">
        <is>
          <t>m2</t>
        </is>
      </c>
      <c r="G99" s="1" t="inlineStr">
        <is>
          <t>Porcelain</t>
        </is>
      </c>
      <c r="H99" s="1" t="inlineStr">
        <is>
          <t>Matt</t>
        </is>
      </c>
      <c r="I99" t="n">
        <v>15.99</v>
      </c>
    </row>
    <row r="100">
      <c r="A100" s="1">
        <f>Hyperlink("https://www.tilemountain.co.uk/p/atlas-aqua-brillo.html","Product")</f>
        <v/>
      </c>
      <c r="B100" s="1" t="inlineStr">
        <is>
          <t>449850</t>
        </is>
      </c>
      <c r="C100" s="1" t="inlineStr">
        <is>
          <t>Hampshire Aqua Blue Gloss Wall Tiles</t>
        </is>
      </c>
      <c r="D100" s="1" t="n">
        <v>22.99</v>
      </c>
      <c r="E100" s="1" t="inlineStr">
        <is>
          <t>150x75mm</t>
        </is>
      </c>
      <c r="F100" s="1" t="inlineStr">
        <is>
          <t>m2</t>
        </is>
      </c>
      <c r="G100" s="1" t="inlineStr">
        <is>
          <t>Ceramic</t>
        </is>
      </c>
      <c r="H100" s="1" t="inlineStr">
        <is>
          <t>Gloss</t>
        </is>
      </c>
      <c r="I100" t="n">
        <v>22.99</v>
      </c>
    </row>
    <row r="101">
      <c r="A101" s="1">
        <f>Hyperlink("https://www.tilemountain.co.uk/p/atlas-ivory-brillo.html","Product")</f>
        <v/>
      </c>
      <c r="B101" s="1" t="inlineStr">
        <is>
          <t>449835</t>
        </is>
      </c>
      <c r="C101" s="1" t="inlineStr">
        <is>
          <t>Hampshire Ivory Gloss Wall Tiles</t>
        </is>
      </c>
      <c r="D101" s="1" t="n">
        <v>22.99</v>
      </c>
      <c r="E101" s="1" t="inlineStr">
        <is>
          <t>150x75mm</t>
        </is>
      </c>
      <c r="F101" s="1" t="inlineStr">
        <is>
          <t>m2</t>
        </is>
      </c>
      <c r="G101" s="1" t="inlineStr">
        <is>
          <t>Ceramic</t>
        </is>
      </c>
      <c r="H101" s="1" t="inlineStr">
        <is>
          <t>Gloss</t>
        </is>
      </c>
      <c r="I101" t="n">
        <v>22.99</v>
      </c>
    </row>
    <row r="102">
      <c r="A102" s="1">
        <f>Hyperlink("https://www.tilemountain.co.uk/p/atlas-jade-brillo.html","Product")</f>
        <v/>
      </c>
      <c r="B102" s="1" t="inlineStr">
        <is>
          <t>449845</t>
        </is>
      </c>
      <c r="C102" s="1" t="inlineStr">
        <is>
          <t>Hampshire Jade Green Gloss Wall Tiles</t>
        </is>
      </c>
      <c r="D102" s="1" t="n">
        <v>22.99</v>
      </c>
      <c r="E102" s="1" t="inlineStr">
        <is>
          <t>150x75mm</t>
        </is>
      </c>
      <c r="F102" s="1" t="inlineStr">
        <is>
          <t>m2</t>
        </is>
      </c>
      <c r="G102" s="1" t="inlineStr">
        <is>
          <t>Ceramic</t>
        </is>
      </c>
      <c r="H102" s="1" t="inlineStr">
        <is>
          <t>Gloss</t>
        </is>
      </c>
      <c r="I102" t="n">
        <v>22.99</v>
      </c>
    </row>
    <row r="103">
      <c r="A103" s="1">
        <f>Hyperlink("https://www.tilemountain.co.uk/p/atlas-pearl-brillo.html","Product")</f>
        <v/>
      </c>
      <c r="B103" s="1" t="inlineStr">
        <is>
          <t>449840</t>
        </is>
      </c>
      <c r="C103" s="1" t="inlineStr">
        <is>
          <t>Hampshire Light Grey Gloss Wall Tiles</t>
        </is>
      </c>
      <c r="D103" s="1" t="n">
        <v>22.99</v>
      </c>
      <c r="E103" s="1" t="inlineStr">
        <is>
          <t>150x75mm</t>
        </is>
      </c>
      <c r="F103" s="1" t="inlineStr">
        <is>
          <t>m2</t>
        </is>
      </c>
      <c r="G103" s="1" t="inlineStr">
        <is>
          <t>Ceramic</t>
        </is>
      </c>
      <c r="H103" s="1" t="inlineStr">
        <is>
          <t>Gloss</t>
        </is>
      </c>
      <c r="I103" t="n">
        <v>22.99</v>
      </c>
    </row>
    <row r="104">
      <c r="A104" s="1">
        <f>Hyperlink("https://www.tilemountain.co.uk/p/atlas-sky-brillo.html","Product")</f>
        <v/>
      </c>
      <c r="B104" s="1" t="inlineStr">
        <is>
          <t>449855</t>
        </is>
      </c>
      <c r="C104" s="1" t="inlineStr">
        <is>
          <t>Hampshire Sky Blue Gloss Wall Tiles</t>
        </is>
      </c>
      <c r="D104" s="1" t="n">
        <v>22.99</v>
      </c>
      <c r="E104" s="1" t="inlineStr">
        <is>
          <t>150x75mm</t>
        </is>
      </c>
      <c r="F104" s="1" t="inlineStr">
        <is>
          <t>m2</t>
        </is>
      </c>
      <c r="G104" s="1" t="inlineStr">
        <is>
          <t>Ceramic</t>
        </is>
      </c>
      <c r="H104" s="1" t="inlineStr">
        <is>
          <t>Gloss</t>
        </is>
      </c>
      <c r="I104" t="n">
        <v>22.99</v>
      </c>
    </row>
    <row r="105">
      <c r="A105" s="1">
        <f>Hyperlink("https://www.tilemountain.co.uk/p/atlas-white-brillo.html","Product")</f>
        <v/>
      </c>
      <c r="B105" s="1" t="inlineStr">
        <is>
          <t>449830</t>
        </is>
      </c>
      <c r="C105" s="1" t="inlineStr">
        <is>
          <t>Hampshire White Gloss Wall Tiles</t>
        </is>
      </c>
      <c r="D105" s="1" t="n">
        <v>22.99</v>
      </c>
      <c r="E105" s="1" t="inlineStr">
        <is>
          <t>150x75mm</t>
        </is>
      </c>
      <c r="F105" s="1" t="inlineStr">
        <is>
          <t>m2</t>
        </is>
      </c>
      <c r="G105" s="1" t="inlineStr">
        <is>
          <t>Ceramic</t>
        </is>
      </c>
      <c r="H105" s="1" t="inlineStr">
        <is>
          <t>Gloss</t>
        </is>
      </c>
      <c r="I105" t="n">
        <v>22.99</v>
      </c>
    </row>
    <row r="106">
      <c r="A106" s="1">
        <f>Hyperlink("https://www.tilemountain.co.uk/p/avignon-wall-floor-tile-25x25cm.html","Product")</f>
        <v/>
      </c>
      <c r="B106" s="1" t="inlineStr">
        <is>
          <t>300435</t>
        </is>
      </c>
      <c r="C106" s="1" t="inlineStr">
        <is>
          <t>Avignon Wall and Floor Tiles</t>
        </is>
      </c>
      <c r="D106" s="1" t="n">
        <v>26.99</v>
      </c>
      <c r="E106" s="1" t="inlineStr">
        <is>
          <t>250x250mm</t>
        </is>
      </c>
      <c r="F106" s="1" t="inlineStr">
        <is>
          <t>m2</t>
        </is>
      </c>
      <c r="G106" s="1" t="inlineStr">
        <is>
          <t>Glazed Porcelain</t>
        </is>
      </c>
      <c r="H106" s="1" t="inlineStr">
        <is>
          <t>Matt</t>
        </is>
      </c>
      <c r="I106" t="n">
        <v>26.99</v>
      </c>
    </row>
    <row r="107">
      <c r="A107" s="1">
        <f>Hyperlink("https://www.tilemountain.co.uk/p/axis-white-outdoor-slab-tile.html","Product")</f>
        <v/>
      </c>
      <c r="B107" s="1" t="inlineStr">
        <is>
          <t>442915</t>
        </is>
      </c>
      <c r="C107" s="1" t="inlineStr">
        <is>
          <t>Axis White Outdoor Slab Tiles</t>
        </is>
      </c>
      <c r="D107" s="1" t="n">
        <v>39.95</v>
      </c>
      <c r="E107" s="1" t="inlineStr">
        <is>
          <t>610x610mm</t>
        </is>
      </c>
      <c r="F107" s="1" t="inlineStr">
        <is>
          <t>m2</t>
        </is>
      </c>
      <c r="G107" s="1" t="inlineStr">
        <is>
          <t>Porcelain</t>
        </is>
      </c>
      <c r="H107" s="1" t="inlineStr">
        <is>
          <t>Matt</t>
        </is>
      </c>
      <c r="I107" t="n">
        <v>39.95</v>
      </c>
    </row>
    <row r="108">
      <c r="A108" s="1">
        <f>Hyperlink("https://www.tilemountain.co.uk/p/azuma-azma-36ag-rm.html","Product")</f>
        <v/>
      </c>
      <c r="B108" s="1" t="inlineStr">
        <is>
          <t>6IMO8970</t>
        </is>
      </c>
      <c r="C108" s="1" t="inlineStr">
        <is>
          <t>Azuma Azma Wall and Floor Tile</t>
        </is>
      </c>
      <c r="D108" s="1" t="n">
        <v>25</v>
      </c>
      <c r="E108" s="1" t="inlineStr">
        <is>
          <t>600x300mm</t>
        </is>
      </c>
      <c r="F108" s="1" t="inlineStr">
        <is>
          <t>m2</t>
        </is>
      </c>
      <c r="G108" s="1" t="inlineStr">
        <is>
          <t>Porcelain</t>
        </is>
      </c>
      <c r="H108" s="1" t="inlineStr">
        <is>
          <t>Matt</t>
        </is>
      </c>
      <c r="I108" t="n">
        <v>25</v>
      </c>
    </row>
    <row r="109">
      <c r="A109" s="1">
        <f>Hyperlink("https://www.tilemountain.co.uk/p/azuma-black-porcelain.html","Product")</f>
        <v/>
      </c>
      <c r="B109" s="1" t="inlineStr">
        <is>
          <t>449240</t>
        </is>
      </c>
      <c r="C109" s="1" t="inlineStr">
        <is>
          <t>Azuma Black Porcelain</t>
        </is>
      </c>
      <c r="D109" s="1" t="n">
        <v>24.94</v>
      </c>
      <c r="E109" s="1" t="inlineStr">
        <is>
          <t>600x300mm</t>
        </is>
      </c>
      <c r="F109" s="1" t="inlineStr">
        <is>
          <t>m2</t>
        </is>
      </c>
      <c r="G109" s="1" t="inlineStr">
        <is>
          <t>Porcelain</t>
        </is>
      </c>
      <c r="H109" s="1" t="inlineStr">
        <is>
          <t>Matt</t>
        </is>
      </c>
      <c r="I109" t="n">
        <v>24.94</v>
      </c>
    </row>
    <row r="110">
      <c r="A110" s="1">
        <f>Hyperlink("https://www.tilemountain.co.uk/p/azuma-grey-porcelain.html","Product")</f>
        <v/>
      </c>
      <c r="B110" s="1" t="inlineStr">
        <is>
          <t>449245</t>
        </is>
      </c>
      <c r="C110" s="1" t="inlineStr">
        <is>
          <t>Azuma Grey Porcelain</t>
        </is>
      </c>
      <c r="D110" s="1" t="n">
        <v>24.44</v>
      </c>
      <c r="E110" s="1" t="inlineStr">
        <is>
          <t>600x300mm</t>
        </is>
      </c>
      <c r="F110" s="1" t="inlineStr">
        <is>
          <t>m2</t>
        </is>
      </c>
      <c r="G110" s="1" t="inlineStr">
        <is>
          <t>Porcelain</t>
        </is>
      </c>
      <c r="H110" s="1" t="inlineStr">
        <is>
          <t>Matt</t>
        </is>
      </c>
      <c r="I110" t="n">
        <v>24.44</v>
      </c>
    </row>
    <row r="111">
      <c r="A111" s="1">
        <f>Hyperlink("https://www.tilemountain.co.uk/p/bally-octagon-black-white-mosaic.html","Product")</f>
        <v/>
      </c>
      <c r="B111" s="1" t="inlineStr">
        <is>
          <t>438545</t>
        </is>
      </c>
      <c r="C111" s="1" t="inlineStr">
        <is>
          <t>Bally Octagon Black White Mosaic</t>
        </is>
      </c>
      <c r="D111" s="1" t="n">
        <v>3.49</v>
      </c>
      <c r="E111" s="1" t="inlineStr">
        <is>
          <t>300x300mm</t>
        </is>
      </c>
      <c r="F111" s="1" t="inlineStr">
        <is>
          <t>sheet</t>
        </is>
      </c>
      <c r="G111" s="1" t="inlineStr">
        <is>
          <t>Ceramic</t>
        </is>
      </c>
      <c r="H111" s="1" t="inlineStr">
        <is>
          <t>Gloss</t>
        </is>
      </c>
      <c r="I111" t="n">
        <v>3.49</v>
      </c>
    </row>
    <row r="112">
      <c r="A112" s="1">
        <f>Hyperlink("https://www.tilemountain.co.uk/p/balmoral-grey-gloss-floor-tile_1.html","Product")</f>
        <v/>
      </c>
      <c r="B112" s="1" t="inlineStr">
        <is>
          <t>445595</t>
        </is>
      </c>
      <c r="C112" s="1" t="inlineStr">
        <is>
          <t>Balmoral Grey Gloss Floor Tiles</t>
        </is>
      </c>
      <c r="D112" s="1" t="n">
        <v>17.98</v>
      </c>
      <c r="E112" s="1" t="inlineStr">
        <is>
          <t>600x600mm</t>
        </is>
      </c>
      <c r="F112" s="1" t="inlineStr">
        <is>
          <t>m2</t>
        </is>
      </c>
      <c r="G112" s="1" t="inlineStr">
        <is>
          <t>Porcelain</t>
        </is>
      </c>
      <c r="H112" s="1" t="inlineStr">
        <is>
          <t>Gloss</t>
        </is>
      </c>
      <c r="I112" t="n">
        <v>17.98</v>
      </c>
    </row>
    <row r="113">
      <c r="A113" s="1">
        <f>Hyperlink("https://www.tilemountain.co.uk/p/balmoral-grey-gloss-wall-tile.html","Product")</f>
        <v/>
      </c>
      <c r="B113" s="1" t="inlineStr">
        <is>
          <t>445590</t>
        </is>
      </c>
      <c r="C113" s="1" t="inlineStr">
        <is>
          <t>Balmoral Grey Gloss Wall Tiles</t>
        </is>
      </c>
      <c r="D113" s="1" t="n">
        <v>17.99</v>
      </c>
      <c r="E113" s="1" t="inlineStr">
        <is>
          <t>900x300mm</t>
        </is>
      </c>
      <c r="F113" s="1" t="inlineStr">
        <is>
          <t>m2</t>
        </is>
      </c>
      <c r="G113" s="1" t="inlineStr">
        <is>
          <t>Ceramic</t>
        </is>
      </c>
      <c r="H113" s="1" t="inlineStr">
        <is>
          <t>Gloss</t>
        </is>
      </c>
      <c r="I113" t="n">
        <v>17.99</v>
      </c>
    </row>
    <row r="114">
      <c r="A114" s="1">
        <f>Hyperlink("https://www.tilemountain.co.uk/p/balmoral-taupe-gloss-floor-tile.html","Product")</f>
        <v/>
      </c>
      <c r="B114" s="1" t="inlineStr">
        <is>
          <t>445605</t>
        </is>
      </c>
      <c r="C114" s="1" t="inlineStr">
        <is>
          <t>Balmoral Taupe Gloss Floor Tiles</t>
        </is>
      </c>
      <c r="D114" s="1" t="n">
        <v>17.98</v>
      </c>
      <c r="E114" s="1" t="inlineStr">
        <is>
          <t>600x600mm</t>
        </is>
      </c>
      <c r="F114" s="1" t="inlineStr">
        <is>
          <t>m2</t>
        </is>
      </c>
      <c r="G114" s="1" t="inlineStr">
        <is>
          <t>Porcelain</t>
        </is>
      </c>
      <c r="H114" s="1" t="inlineStr">
        <is>
          <t>Gloss</t>
        </is>
      </c>
      <c r="I114" t="n">
        <v>17.98</v>
      </c>
    </row>
    <row r="115">
      <c r="A115" s="1">
        <f>Hyperlink("https://www.tilemountain.co.uk/p/balmoral-taupe-gloss-wall-tile.html","Product")</f>
        <v/>
      </c>
      <c r="B115" s="1" t="inlineStr">
        <is>
          <t>445600</t>
        </is>
      </c>
      <c r="C115" s="1" t="inlineStr">
        <is>
          <t>Balmoral Taupe Gloss Wall Tiles</t>
        </is>
      </c>
      <c r="D115" s="1" t="n">
        <v>17.99</v>
      </c>
      <c r="E115" s="1" t="inlineStr">
        <is>
          <t>900x300mm</t>
        </is>
      </c>
      <c r="F115" s="1" t="inlineStr">
        <is>
          <t>m2</t>
        </is>
      </c>
      <c r="G115" s="1" t="inlineStr">
        <is>
          <t>Ceramic</t>
        </is>
      </c>
      <c r="H115" s="1" t="inlineStr">
        <is>
          <t>Gloss</t>
        </is>
      </c>
      <c r="I115" t="n">
        <v>17.99</v>
      </c>
    </row>
    <row r="116">
      <c r="A116" s="1">
        <f>Hyperlink("https://www.tilemountain.co.uk/p/baltimore-beige-wall-and-floor-tile.html","Product")</f>
        <v/>
      </c>
      <c r="B116" s="1" t="inlineStr">
        <is>
          <t>441180</t>
        </is>
      </c>
      <c r="C116" s="1" t="inlineStr">
        <is>
          <t>Baltimore Beige Wood Effect Floor Tiles</t>
        </is>
      </c>
      <c r="D116" s="1" t="n">
        <v>19.99</v>
      </c>
      <c r="E116" s="1" t="inlineStr">
        <is>
          <t>1200x233mm</t>
        </is>
      </c>
      <c r="F116" s="1" t="inlineStr">
        <is>
          <t>m2</t>
        </is>
      </c>
      <c r="G116" s="1" t="inlineStr">
        <is>
          <t>Porcelain</t>
        </is>
      </c>
      <c r="H116" s="1" t="inlineStr">
        <is>
          <t>Matt</t>
        </is>
      </c>
      <c r="I116" t="n">
        <v>19.99</v>
      </c>
    </row>
    <row r="117">
      <c r="A117" s="1">
        <f>Hyperlink("https://www.tilemountain.co.uk/p/baltimore-grey-wall-and-floor-tile.html","Product")</f>
        <v/>
      </c>
      <c r="B117" s="1" t="inlineStr">
        <is>
          <t>441190</t>
        </is>
      </c>
      <c r="C117" s="1" t="inlineStr">
        <is>
          <t>Baltimore Grey Wood Effect Floor Tiles</t>
        </is>
      </c>
      <c r="D117" s="1" t="n">
        <v>19.99</v>
      </c>
      <c r="E117" s="1" t="inlineStr">
        <is>
          <t>1200x233mm</t>
        </is>
      </c>
      <c r="F117" s="1" t="inlineStr">
        <is>
          <t>m2</t>
        </is>
      </c>
      <c r="G117" s="1" t="inlineStr">
        <is>
          <t>Porcelain</t>
        </is>
      </c>
      <c r="H117" s="1" t="inlineStr">
        <is>
          <t>Matt</t>
        </is>
      </c>
      <c r="I117" t="n">
        <v>19.99</v>
      </c>
    </row>
    <row r="118">
      <c r="A118" s="1">
        <f>Hyperlink("https://www.tilemountain.co.uk/p/baltimore-taupe-wall-and-floor-tile.html","Product")</f>
        <v/>
      </c>
      <c r="B118" s="1" t="inlineStr">
        <is>
          <t>441195</t>
        </is>
      </c>
      <c r="C118" s="1" t="inlineStr">
        <is>
          <t>Baltimore Taupe Wood Effect Floor Tiles</t>
        </is>
      </c>
      <c r="D118" s="1" t="n">
        <v>19.99</v>
      </c>
      <c r="E118" s="1" t="inlineStr">
        <is>
          <t>1200x233mm</t>
        </is>
      </c>
      <c r="F118" s="1" t="inlineStr">
        <is>
          <t>m2</t>
        </is>
      </c>
      <c r="G118" s="1" t="inlineStr">
        <is>
          <t>Porcelain</t>
        </is>
      </c>
      <c r="H118" s="1" t="inlineStr">
        <is>
          <t>Matt</t>
        </is>
      </c>
      <c r="I118" t="n">
        <v>19.99</v>
      </c>
    </row>
    <row r="119">
      <c r="A119" s="1">
        <f>Hyperlink("https://www.tilemountain.co.uk/p/baltimore-white-wall-and-floor-tile.html","Product")</f>
        <v/>
      </c>
      <c r="B119" s="1" t="inlineStr">
        <is>
          <t>441185</t>
        </is>
      </c>
      <c r="C119" s="1" t="inlineStr">
        <is>
          <t>Baltimore White Wood Effect Floor Tiles</t>
        </is>
      </c>
      <c r="D119" s="1" t="n">
        <v>19.99</v>
      </c>
      <c r="E119" s="1" t="inlineStr">
        <is>
          <t>1200x233mm</t>
        </is>
      </c>
      <c r="F119" s="1" t="inlineStr">
        <is>
          <t>m2</t>
        </is>
      </c>
      <c r="G119" s="1" t="inlineStr">
        <is>
          <t>Porcelain</t>
        </is>
      </c>
      <c r="H119" s="1" t="inlineStr">
        <is>
          <t>Matt</t>
        </is>
      </c>
      <c r="I119" t="n">
        <v>19.99</v>
      </c>
    </row>
    <row r="120">
      <c r="A120" s="1">
        <f>Hyperlink("https://www.tilemountain.co.uk/p/barbados-white-4482.html","Product")</f>
        <v/>
      </c>
      <c r="B120" s="1" t="inlineStr">
        <is>
          <t>446835</t>
        </is>
      </c>
      <c r="C120" s="1" t="inlineStr">
        <is>
          <t>Barbados White Marble Effect Wall and Floor Tiles</t>
        </is>
      </c>
      <c r="D120" s="1" t="n">
        <v>15.98</v>
      </c>
      <c r="E120" s="1" t="inlineStr">
        <is>
          <t>600x600mm</t>
        </is>
      </c>
      <c r="F120" s="1" t="inlineStr">
        <is>
          <t>m2</t>
        </is>
      </c>
      <c r="G120" s="1" t="inlineStr">
        <is>
          <t>Porcelain</t>
        </is>
      </c>
      <c r="H120" s="1" t="inlineStr">
        <is>
          <t>Gloss</t>
        </is>
      </c>
      <c r="I120" t="n">
        <v>15.98</v>
      </c>
    </row>
    <row r="121">
      <c r="A121" s="1">
        <f>Hyperlink("https://www.tilemountain.co.uk/p/barbados-white-marble-effect-wall-and-floor-tile.html","Product")</f>
        <v/>
      </c>
      <c r="B121" s="1" t="inlineStr">
        <is>
          <t>448930</t>
        </is>
      </c>
      <c r="C121" s="1" t="inlineStr">
        <is>
          <t>Barbados White Marble Effect Wall and Floor Tile</t>
        </is>
      </c>
      <c r="D121" s="1" t="n">
        <v>13.99</v>
      </c>
      <c r="E121" s="1" t="inlineStr">
        <is>
          <t>600x300mm</t>
        </is>
      </c>
      <c r="F121" s="1" t="inlineStr">
        <is>
          <t>m2</t>
        </is>
      </c>
      <c r="G121" s="1" t="inlineStr">
        <is>
          <t>Porcelain</t>
        </is>
      </c>
      <c r="H121" s="1" t="inlineStr">
        <is>
          <t>Gloss</t>
        </is>
      </c>
      <c r="I121" t="n">
        <v>13.99</v>
      </c>
    </row>
    <row r="122">
      <c r="A122" s="1">
        <f>Hyperlink("https://www.tilemountain.co.uk/p/barbados-white.html","Product")</f>
        <v/>
      </c>
      <c r="B122" s="1" t="inlineStr">
        <is>
          <t>446830</t>
        </is>
      </c>
      <c r="C122" s="1" t="inlineStr">
        <is>
          <t>Barbados White Marble Effect Wall and Floor Tile</t>
        </is>
      </c>
      <c r="D122" s="1" t="n">
        <v>25.99</v>
      </c>
      <c r="E122" s="1" t="inlineStr">
        <is>
          <t>1200x600mm</t>
        </is>
      </c>
      <c r="F122" s="1" t="inlineStr">
        <is>
          <t>m2</t>
        </is>
      </c>
      <c r="G122" s="1" t="inlineStr">
        <is>
          <t>Porcelain</t>
        </is>
      </c>
      <c r="H122" s="1" t="inlineStr">
        <is>
          <t>Polished</t>
        </is>
      </c>
      <c r="I122" t="n">
        <v>25.99</v>
      </c>
    </row>
    <row r="123">
      <c r="A123" s="1">
        <f>Hyperlink("https://www.tilemountain.co.uk/p/baroque-hexagon-grey-base-wall-floor-tiles-25x22cm.html","Product")</f>
        <v/>
      </c>
      <c r="B123" s="1" t="inlineStr">
        <is>
          <t>201240</t>
        </is>
      </c>
      <c r="C123" s="1" t="inlineStr">
        <is>
          <t>Baroque Hexagon Grey Base Wall and Floor Tile</t>
        </is>
      </c>
      <c r="D123" s="1" t="n">
        <v>24</v>
      </c>
      <c r="E123" s="1" t="inlineStr">
        <is>
          <t>220x250mm</t>
        </is>
      </c>
      <c r="F123" s="1" t="inlineStr">
        <is>
          <t>m2</t>
        </is>
      </c>
      <c r="G123" s="1" t="inlineStr">
        <is>
          <t>Porcelain</t>
        </is>
      </c>
      <c r="H123" s="1" t="inlineStr">
        <is>
          <t>Matt</t>
        </is>
      </c>
      <c r="I123" t="n">
        <v>24</v>
      </c>
    </row>
    <row r="124">
      <c r="A124" s="1">
        <f>Hyperlink("https://www.tilemountain.co.uk/p/basilea-grey-outdoor-slab-tile.html","Product")</f>
        <v/>
      </c>
      <c r="B124" s="1" t="inlineStr">
        <is>
          <t>446460</t>
        </is>
      </c>
      <c r="C124" s="1" t="inlineStr">
        <is>
          <t>Basilea Grey Outdoor Slab Tiles</t>
        </is>
      </c>
      <c r="D124" s="1" t="n">
        <v>25.99</v>
      </c>
      <c r="E124" s="1" t="inlineStr">
        <is>
          <t>595x595mm</t>
        </is>
      </c>
      <c r="F124" s="1" t="inlineStr">
        <is>
          <t>m2</t>
        </is>
      </c>
      <c r="G124" s="1" t="inlineStr">
        <is>
          <t>Porcelain</t>
        </is>
      </c>
      <c r="H124" s="1" t="inlineStr">
        <is>
          <t>Matt</t>
        </is>
      </c>
      <c r="I124" t="n">
        <v>25.99</v>
      </c>
    </row>
    <row r="125">
      <c r="A125" s="1">
        <f>Hyperlink("https://www.tilemountain.co.uk/p/basilea-grey-rectified-floor-tile.html","Product")</f>
        <v/>
      </c>
      <c r="B125" s="1" t="inlineStr">
        <is>
          <t>446470</t>
        </is>
      </c>
      <c r="C125" s="1" t="inlineStr">
        <is>
          <t>Basilea Grey Rectified Floor Tiles</t>
        </is>
      </c>
      <c r="D125" s="1" t="n">
        <v>16.99</v>
      </c>
      <c r="E125" s="1" t="inlineStr">
        <is>
          <t>600x600mm</t>
        </is>
      </c>
      <c r="F125" s="1" t="inlineStr">
        <is>
          <t>m2</t>
        </is>
      </c>
      <c r="G125" s="1" t="inlineStr">
        <is>
          <t>Porcelain</t>
        </is>
      </c>
      <c r="H125" s="1" t="inlineStr">
        <is>
          <t>Matt</t>
        </is>
      </c>
      <c r="I125" t="n">
        <v>16.99</v>
      </c>
    </row>
    <row r="126">
      <c r="A126" s="1">
        <f>Hyperlink("https://www.tilemountain.co.uk/p/bayeux-blue-glass-mosaic.html","Product")</f>
        <v/>
      </c>
      <c r="B126" s="1" t="inlineStr">
        <is>
          <t>453745</t>
        </is>
      </c>
      <c r="C126" s="1" t="inlineStr">
        <is>
          <t>Bayeux Blue Glass Mosaic</t>
        </is>
      </c>
      <c r="D126" s="1" t="n">
        <v>14.99</v>
      </c>
      <c r="E126" s="1" t="inlineStr">
        <is>
          <t>300x300mm</t>
        </is>
      </c>
      <c r="F126" s="1" t="inlineStr">
        <is>
          <t>sheet</t>
        </is>
      </c>
      <c r="G126" s="1" t="inlineStr">
        <is>
          <t>Glass</t>
        </is>
      </c>
      <c r="H126" s="1" t="inlineStr">
        <is>
          <t>Gloss</t>
        </is>
      </c>
      <c r="I126" t="n">
        <v>14.99</v>
      </c>
    </row>
    <row r="127">
      <c r="A127" s="1">
        <f>Hyperlink("https://www.tilemountain.co.uk/p/bayeux-grey-glass-mosaic-1.html","Product")</f>
        <v/>
      </c>
      <c r="B127" s="1" t="inlineStr">
        <is>
          <t>453750</t>
        </is>
      </c>
      <c r="C127" s="1" t="inlineStr">
        <is>
          <t>Bayeux Grey Glass Mosaic</t>
        </is>
      </c>
      <c r="D127" s="1" t="n">
        <v>14.99</v>
      </c>
      <c r="E127" s="1" t="inlineStr">
        <is>
          <t>300x300mm</t>
        </is>
      </c>
      <c r="F127" s="1" t="inlineStr">
        <is>
          <t>sheet</t>
        </is>
      </c>
      <c r="G127" s="1" t="inlineStr">
        <is>
          <t>Glass</t>
        </is>
      </c>
      <c r="H127" s="1" t="inlineStr">
        <is>
          <t>Gloss</t>
        </is>
      </c>
      <c r="I127" t="n">
        <v>14.99</v>
      </c>
    </row>
    <row r="128">
      <c r="A128" s="1">
        <f>Hyperlink("https://www.tilemountain.co.uk/p/bayona-grey.html","Product")</f>
        <v/>
      </c>
      <c r="B128" s="1" t="inlineStr">
        <is>
          <t>444455</t>
        </is>
      </c>
      <c r="C128" s="1" t="inlineStr">
        <is>
          <t>Bayona Grey Floor Tile</t>
        </is>
      </c>
      <c r="D128" s="1" t="n">
        <v>34.99</v>
      </c>
      <c r="E128" s="1" t="inlineStr">
        <is>
          <t>1200x1200mm</t>
        </is>
      </c>
      <c r="F128" s="1" t="inlineStr">
        <is>
          <t>m2</t>
        </is>
      </c>
      <c r="G128" s="1" t="inlineStr">
        <is>
          <t>Porcelain</t>
        </is>
      </c>
      <c r="H128" s="1" t="inlineStr">
        <is>
          <t>Matt</t>
        </is>
      </c>
      <c r="I128" t="n">
        <v>34.99</v>
      </c>
    </row>
    <row r="129">
      <c r="A129" s="1">
        <f>Hyperlink("https://www.tilemountain.co.uk/p/belize-beige-wall-and-floor-tiles.html","Product")</f>
        <v/>
      </c>
      <c r="B129" s="1" t="inlineStr">
        <is>
          <t>455200</t>
        </is>
      </c>
      <c r="C129" s="1" t="inlineStr">
        <is>
          <t>Belize Beige Matt Porcelain Wall and Floor Tiles</t>
        </is>
      </c>
      <c r="D129" s="1" t="n">
        <v>11.99</v>
      </c>
      <c r="E129" s="1" t="inlineStr">
        <is>
          <t>598x298mm</t>
        </is>
      </c>
      <c r="F129" s="1" t="inlineStr">
        <is>
          <t>m2</t>
        </is>
      </c>
      <c r="G129" s="1" t="inlineStr">
        <is>
          <t>Porcelain</t>
        </is>
      </c>
      <c r="H129" s="1" t="inlineStr">
        <is>
          <t>Matt</t>
        </is>
      </c>
      <c r="I129" t="n">
        <v>11.99</v>
      </c>
    </row>
    <row r="130">
      <c r="A130" s="1">
        <f>Hyperlink("https://www.tilemountain.co.uk/p/belize-grey-wall-and-floor-tiles.html","Product")</f>
        <v/>
      </c>
      <c r="B130" s="1" t="inlineStr">
        <is>
          <t>455205</t>
        </is>
      </c>
      <c r="C130" s="1" t="inlineStr">
        <is>
          <t>Belize Grey Matt Porcelain Wall and Floor Tiles</t>
        </is>
      </c>
      <c r="D130" s="1" t="n">
        <v>11.99</v>
      </c>
      <c r="E130" s="1" t="inlineStr">
        <is>
          <t>598x298mm</t>
        </is>
      </c>
      <c r="F130" s="1" t="inlineStr">
        <is>
          <t>m2</t>
        </is>
      </c>
      <c r="G130" s="1" t="inlineStr">
        <is>
          <t>Porcelain</t>
        </is>
      </c>
      <c r="H130" s="1" t="inlineStr">
        <is>
          <t>Matt</t>
        </is>
      </c>
      <c r="I130" t="n">
        <v>11.99</v>
      </c>
    </row>
    <row r="131">
      <c r="A131" s="1">
        <f>Hyperlink("https://www.tilemountain.co.uk/p/belize-light-grey-wall-and-floor-tiles.html","Product")</f>
        <v/>
      </c>
      <c r="B131" s="1" t="inlineStr">
        <is>
          <t>455210</t>
        </is>
      </c>
      <c r="C131" s="1" t="inlineStr">
        <is>
          <t>Belize Light Grey Matt Porcelain Wall and Floor Tiles</t>
        </is>
      </c>
      <c r="D131" s="1" t="n">
        <v>11.99</v>
      </c>
      <c r="E131" s="1" t="inlineStr">
        <is>
          <t>598x298mm</t>
        </is>
      </c>
      <c r="F131" s="1" t="inlineStr">
        <is>
          <t>m2</t>
        </is>
      </c>
      <c r="G131" s="1" t="inlineStr">
        <is>
          <t>Porcelain</t>
        </is>
      </c>
      <c r="H131" s="1" t="inlineStr">
        <is>
          <t>Matt</t>
        </is>
      </c>
      <c r="I131" t="n">
        <v>11.99</v>
      </c>
    </row>
    <row r="132">
      <c r="A132" s="1">
        <f>Hyperlink("https://www.tilemountain.co.uk/p/bella-craquele-beige-wall-tile.html","Product")</f>
        <v/>
      </c>
      <c r="B132" s="1" t="inlineStr">
        <is>
          <t>453155</t>
        </is>
      </c>
      <c r="C132" s="1" t="inlineStr">
        <is>
          <t>Bella Craquele Beige Wall Tile</t>
        </is>
      </c>
      <c r="D132" s="1" t="n">
        <v>35.99</v>
      </c>
      <c r="E132" s="1" t="inlineStr">
        <is>
          <t>150x75mm</t>
        </is>
      </c>
      <c r="F132" s="1" t="inlineStr">
        <is>
          <t>m2</t>
        </is>
      </c>
      <c r="G132" s="1" t="inlineStr">
        <is>
          <t>Ceramic</t>
        </is>
      </c>
      <c r="H132" s="1" t="inlineStr">
        <is>
          <t>Gloss</t>
        </is>
      </c>
      <c r="I132" t="n">
        <v>35.99</v>
      </c>
    </row>
    <row r="133">
      <c r="A133" s="1">
        <f>Hyperlink("https://www.tilemountain.co.uk/p/bella-craquele-blue-wall-tile.html","Product")</f>
        <v/>
      </c>
      <c r="B133" s="1" t="inlineStr">
        <is>
          <t>453175</t>
        </is>
      </c>
      <c r="C133" s="1" t="inlineStr">
        <is>
          <t>Bella Craquele Blue Wall Tile</t>
        </is>
      </c>
      <c r="D133" s="1" t="n">
        <v>35.99</v>
      </c>
      <c r="E133" s="1" t="inlineStr">
        <is>
          <t>150x75mm</t>
        </is>
      </c>
      <c r="F133" s="1" t="inlineStr">
        <is>
          <t>m2</t>
        </is>
      </c>
      <c r="G133" s="1" t="inlineStr">
        <is>
          <t>Ceramic</t>
        </is>
      </c>
      <c r="H133" s="1" t="inlineStr">
        <is>
          <t>Gloss</t>
        </is>
      </c>
      <c r="I133" t="n">
        <v>35.99</v>
      </c>
    </row>
    <row r="134">
      <c r="A134" s="1">
        <f>Hyperlink("https://www.tilemountain.co.uk/p/bella-craquele-green-wall-tile.html","Product")</f>
        <v/>
      </c>
      <c r="B134" s="1" t="inlineStr">
        <is>
          <t>453170</t>
        </is>
      </c>
      <c r="C134" s="1" t="inlineStr">
        <is>
          <t>Bella Craquele Green Wall Tile</t>
        </is>
      </c>
      <c r="D134" s="1" t="n">
        <v>35.99</v>
      </c>
      <c r="E134" s="1" t="inlineStr">
        <is>
          <t>150x75mm</t>
        </is>
      </c>
      <c r="F134" s="1" t="inlineStr">
        <is>
          <t>m2</t>
        </is>
      </c>
      <c r="G134" s="1" t="inlineStr">
        <is>
          <t>Ceramic</t>
        </is>
      </c>
      <c r="H134" s="1" t="inlineStr">
        <is>
          <t>Gloss</t>
        </is>
      </c>
      <c r="I134" t="n">
        <v>35.99</v>
      </c>
    </row>
    <row r="135">
      <c r="A135" s="1">
        <f>Hyperlink("https://www.tilemountain.co.uk/p/bella-craquele-grey-wall-tile.html","Product")</f>
        <v/>
      </c>
      <c r="B135" s="1" t="inlineStr">
        <is>
          <t>453160</t>
        </is>
      </c>
      <c r="C135" s="1" t="inlineStr">
        <is>
          <t>Bella Craquele Grey Wall Tile</t>
        </is>
      </c>
      <c r="D135" s="1" t="n">
        <v>35.99</v>
      </c>
      <c r="E135" s="1" t="inlineStr">
        <is>
          <t>150x75mm</t>
        </is>
      </c>
      <c r="F135" s="1" t="inlineStr">
        <is>
          <t>m2</t>
        </is>
      </c>
      <c r="G135" s="1" t="inlineStr">
        <is>
          <t>Ceramic</t>
        </is>
      </c>
      <c r="H135" s="1" t="inlineStr">
        <is>
          <t>Gloss</t>
        </is>
      </c>
      <c r="I135" t="n">
        <v>35.99</v>
      </c>
    </row>
    <row r="136">
      <c r="A136" s="1">
        <f>Hyperlink("https://www.tilemountain.co.uk/p/bella-craquele-pink-wall-tile.html","Product")</f>
        <v/>
      </c>
      <c r="B136" s="1" t="inlineStr">
        <is>
          <t>453165</t>
        </is>
      </c>
      <c r="C136" s="1" t="inlineStr">
        <is>
          <t>Bella Craquele Pink Wall Tile</t>
        </is>
      </c>
      <c r="D136" s="1" t="n">
        <v>35.99</v>
      </c>
      <c r="E136" s="1" t="inlineStr">
        <is>
          <t>150x75mm</t>
        </is>
      </c>
      <c r="F136" s="1" t="inlineStr">
        <is>
          <t>m2</t>
        </is>
      </c>
      <c r="G136" s="1" t="inlineStr">
        <is>
          <t>Ceramic</t>
        </is>
      </c>
      <c r="H136" s="1" t="inlineStr">
        <is>
          <t>Gloss</t>
        </is>
      </c>
      <c r="I136" t="n">
        <v>35.99</v>
      </c>
    </row>
    <row r="137">
      <c r="A137" s="1">
        <f>Hyperlink("https://www.tilemountain.co.uk/p/bella-craquele-white-wall-tile.html","Product")</f>
        <v/>
      </c>
      <c r="B137" s="1" t="inlineStr">
        <is>
          <t>453150</t>
        </is>
      </c>
      <c r="C137" s="1" t="inlineStr">
        <is>
          <t>Bella Craquele White Wall Tile</t>
        </is>
      </c>
      <c r="D137" s="1" t="n">
        <v>35.99</v>
      </c>
      <c r="E137" s="1" t="inlineStr">
        <is>
          <t>150x75mm</t>
        </is>
      </c>
      <c r="F137" s="1" t="inlineStr">
        <is>
          <t>m2</t>
        </is>
      </c>
      <c r="G137" s="1" t="inlineStr">
        <is>
          <t>Ceramic</t>
        </is>
      </c>
      <c r="H137" s="1" t="inlineStr">
        <is>
          <t>Gloss</t>
        </is>
      </c>
      <c r="I137" t="n">
        <v>35.99</v>
      </c>
    </row>
    <row r="138">
      <c r="A138" s="1">
        <f>Hyperlink("https://www.tilemountain.co.uk/p/bella-white-matt-wall-tile.html","Product")</f>
        <v/>
      </c>
      <c r="B138" s="1" t="inlineStr">
        <is>
          <t>453145</t>
        </is>
      </c>
      <c r="C138" s="1" t="inlineStr">
        <is>
          <t>Bella White Matt Wall Tile</t>
        </is>
      </c>
      <c r="D138" s="1" t="n">
        <v>35.99</v>
      </c>
      <c r="E138" s="1" t="inlineStr">
        <is>
          <t>150x75mm</t>
        </is>
      </c>
      <c r="F138" s="1" t="inlineStr">
        <is>
          <t>m2</t>
        </is>
      </c>
      <c r="G138" s="1" t="inlineStr">
        <is>
          <t>Ceramic</t>
        </is>
      </c>
      <c r="H138" s="1" t="inlineStr">
        <is>
          <t>Matt</t>
        </is>
      </c>
      <c r="I138" t="n">
        <v>35.99</v>
      </c>
    </row>
    <row r="139">
      <c r="A139" s="1">
        <f>Hyperlink("https://www.tilemountain.co.uk/p/bellevue-graphite.html","Product")</f>
        <v/>
      </c>
      <c r="B139" s="1" t="inlineStr">
        <is>
          <t>454520</t>
        </is>
      </c>
      <c r="C139" s="1" t="inlineStr">
        <is>
          <t>Bellevue Graphite Outdoor Slab</t>
        </is>
      </c>
      <c r="D139" s="1" t="n">
        <v>25.99</v>
      </c>
      <c r="E139" s="1" t="inlineStr">
        <is>
          <t>595x595mm</t>
        </is>
      </c>
      <c r="F139" s="1" t="inlineStr">
        <is>
          <t>m2</t>
        </is>
      </c>
      <c r="G139" s="1" t="inlineStr">
        <is>
          <t>Porcelain</t>
        </is>
      </c>
      <c r="H139" s="1" t="inlineStr">
        <is>
          <t>Matt</t>
        </is>
      </c>
      <c r="I139" t="n">
        <v>25.99</v>
      </c>
    </row>
    <row r="140">
      <c r="A140" s="1">
        <f>Hyperlink("https://www.tilemountain.co.uk/p/bellevue-grey.html","Product")</f>
        <v/>
      </c>
      <c r="B140" s="1" t="inlineStr">
        <is>
          <t>454515</t>
        </is>
      </c>
      <c r="C140" s="1" t="inlineStr">
        <is>
          <t>Bellevue Grey Outdoor Slab</t>
        </is>
      </c>
      <c r="D140" s="1" t="n">
        <v>25.99</v>
      </c>
      <c r="E140" s="1" t="inlineStr">
        <is>
          <t>595x595mm</t>
        </is>
      </c>
      <c r="F140" s="1" t="inlineStr">
        <is>
          <t>m2</t>
        </is>
      </c>
      <c r="G140" s="1" t="inlineStr">
        <is>
          <t>Porcelain</t>
        </is>
      </c>
      <c r="H140" s="1" t="inlineStr">
        <is>
          <t>Matt</t>
        </is>
      </c>
      <c r="I140" t="n">
        <v>25.99</v>
      </c>
    </row>
    <row r="141">
      <c r="A141" s="1">
        <f>Hyperlink("https://www.tilemountain.co.uk/p/bellevue-ivory.html","Product")</f>
        <v/>
      </c>
      <c r="B141" s="1" t="inlineStr">
        <is>
          <t>454525</t>
        </is>
      </c>
      <c r="C141" s="1" t="inlineStr">
        <is>
          <t>Bellevue Ivory Outdoor Slab</t>
        </is>
      </c>
      <c r="D141" s="1" t="n">
        <v>25.99</v>
      </c>
      <c r="E141" s="1" t="inlineStr">
        <is>
          <t>595x595mm</t>
        </is>
      </c>
      <c r="F141" s="1" t="inlineStr">
        <is>
          <t>m2</t>
        </is>
      </c>
      <c r="G141" s="1" t="inlineStr">
        <is>
          <t>Porcelain</t>
        </is>
      </c>
      <c r="H141" s="1" t="inlineStr">
        <is>
          <t>Matt</t>
        </is>
      </c>
      <c r="I141" t="n">
        <v>25.99</v>
      </c>
    </row>
    <row r="142">
      <c r="A142" s="1">
        <f>Hyperlink("https://www.tilemountain.co.uk/p/bellevue-white.html","Product")</f>
        <v/>
      </c>
      <c r="B142" s="1" t="inlineStr">
        <is>
          <t>454530</t>
        </is>
      </c>
      <c r="C142" s="1" t="inlineStr">
        <is>
          <t>Bellevue White Outdoor Slab</t>
        </is>
      </c>
      <c r="D142" s="1" t="n">
        <v>25.99</v>
      </c>
      <c r="E142" s="1" t="inlineStr">
        <is>
          <t>595x595mm</t>
        </is>
      </c>
      <c r="F142" s="1" t="inlineStr">
        <is>
          <t>m2</t>
        </is>
      </c>
      <c r="G142" s="1" t="inlineStr">
        <is>
          <t>Porcelain</t>
        </is>
      </c>
      <c r="H142" s="1" t="inlineStr">
        <is>
          <t>Matt</t>
        </is>
      </c>
      <c r="I142" t="n">
        <v>25.99</v>
      </c>
    </row>
    <row r="143">
      <c r="A143" s="1">
        <f>Hyperlink("https://www.tilemountain.co.uk/p/bengal-beige-mosaic.html","Product")</f>
        <v/>
      </c>
      <c r="B143" s="1" t="inlineStr">
        <is>
          <t>437065</t>
        </is>
      </c>
      <c r="C143" s="1" t="inlineStr">
        <is>
          <t>Bengal Beige Mosaic</t>
        </is>
      </c>
      <c r="D143" s="1" t="n">
        <v>6.99</v>
      </c>
      <c r="E143" s="1" t="inlineStr">
        <is>
          <t>300x300mm</t>
        </is>
      </c>
      <c r="F143" s="1" t="inlineStr">
        <is>
          <t>sheet</t>
        </is>
      </c>
      <c r="G143" s="1" t="inlineStr">
        <is>
          <t>Glazed Porcelain</t>
        </is>
      </c>
      <c r="H143" s="1" t="inlineStr">
        <is>
          <t>Matt</t>
        </is>
      </c>
      <c r="I143" t="n">
        <v>6.99</v>
      </c>
    </row>
    <row r="144">
      <c r="A144" s="1">
        <f>Hyperlink("https://www.tilemountain.co.uk/p/bengal-beige-wall-and-floor-tile.html","Product")</f>
        <v/>
      </c>
      <c r="B144" s="1" t="inlineStr">
        <is>
          <t>437060</t>
        </is>
      </c>
      <c r="C144" s="1" t="inlineStr">
        <is>
          <t>Bengal Beige Wall and Floor Tiles</t>
        </is>
      </c>
      <c r="D144" s="1" t="n">
        <v>18.99</v>
      </c>
      <c r="E144" s="1" t="inlineStr">
        <is>
          <t>300x600mm</t>
        </is>
      </c>
      <c r="F144" s="1" t="inlineStr">
        <is>
          <t>m2</t>
        </is>
      </c>
      <c r="G144" s="1" t="inlineStr">
        <is>
          <t>Glazed Porcelain</t>
        </is>
      </c>
      <c r="H144" s="1" t="inlineStr">
        <is>
          <t>Matt</t>
        </is>
      </c>
      <c r="I144" t="n">
        <v>18.99</v>
      </c>
    </row>
    <row r="145">
      <c r="A145" s="1">
        <f>Hyperlink("https://www.tilemountain.co.uk/p/bengal-grey-mosaic.html","Product")</f>
        <v/>
      </c>
      <c r="B145" s="1" t="inlineStr">
        <is>
          <t>440250</t>
        </is>
      </c>
      <c r="C145" s="1" t="inlineStr">
        <is>
          <t>Bengal Grey Mosaic</t>
        </is>
      </c>
      <c r="D145" s="1" t="n">
        <v>6.99</v>
      </c>
      <c r="E145" s="1" t="inlineStr">
        <is>
          <t>300x300mm</t>
        </is>
      </c>
      <c r="F145" s="1" t="inlineStr">
        <is>
          <t>sheet</t>
        </is>
      </c>
      <c r="G145" s="1" t="inlineStr">
        <is>
          <t>Porcelain</t>
        </is>
      </c>
      <c r="H145" s="1" t="inlineStr">
        <is>
          <t>Matt</t>
        </is>
      </c>
      <c r="I145" t="n">
        <v>6.99</v>
      </c>
    </row>
    <row r="146">
      <c r="A146" s="1">
        <f>Hyperlink("https://www.tilemountain.co.uk/p/bengal-grey-wall-and-floor-tile.html","Product")</f>
        <v/>
      </c>
      <c r="B146" s="1" t="inlineStr">
        <is>
          <t>440245</t>
        </is>
      </c>
      <c r="C146" s="1" t="inlineStr">
        <is>
          <t>Bengal Grey Wall And Floor Tiles</t>
        </is>
      </c>
      <c r="D146" s="1" t="n">
        <v>18.99</v>
      </c>
      <c r="E146" s="1" t="inlineStr">
        <is>
          <t>600x300mm</t>
        </is>
      </c>
      <c r="F146" s="1" t="inlineStr">
        <is>
          <t>m2</t>
        </is>
      </c>
      <c r="G146" s="1" t="inlineStr">
        <is>
          <t>Porcelain</t>
        </is>
      </c>
      <c r="H146" s="1" t="inlineStr">
        <is>
          <t>Matt</t>
        </is>
      </c>
      <c r="I146" t="n">
        <v>18.99</v>
      </c>
    </row>
    <row r="147">
      <c r="A147" s="1">
        <f>Hyperlink("https://www.tilemountain.co.uk/p/bengal-winter-mosaic.html","Product")</f>
        <v/>
      </c>
      <c r="B147" s="1" t="inlineStr">
        <is>
          <t>436595</t>
        </is>
      </c>
      <c r="C147" s="1" t="inlineStr">
        <is>
          <t>Bengal Winter Mosaic</t>
        </is>
      </c>
      <c r="D147" s="1" t="n">
        <v>6.99</v>
      </c>
      <c r="E147" s="1" t="inlineStr">
        <is>
          <t>300x300mm</t>
        </is>
      </c>
      <c r="F147" s="1" t="inlineStr">
        <is>
          <t>sheet</t>
        </is>
      </c>
      <c r="G147" s="1" t="inlineStr">
        <is>
          <t>Glazed Porcelain</t>
        </is>
      </c>
      <c r="H147" s="1" t="inlineStr">
        <is>
          <t>Matt</t>
        </is>
      </c>
      <c r="I147" t="n">
        <v>6.99</v>
      </c>
    </row>
    <row r="148">
      <c r="A148" s="1">
        <f>Hyperlink("https://www.tilemountain.co.uk/p/bengal-winter-wall-and-floor-tile.html","Product")</f>
        <v/>
      </c>
      <c r="B148" s="1" t="inlineStr">
        <is>
          <t>436590</t>
        </is>
      </c>
      <c r="C148" s="1" t="inlineStr">
        <is>
          <t>Bengal Winter Wall and Floor Tiles</t>
        </is>
      </c>
      <c r="D148" s="1" t="n">
        <v>18.99</v>
      </c>
      <c r="E148" s="1" t="inlineStr">
        <is>
          <t>300x600mm</t>
        </is>
      </c>
      <c r="F148" s="1" t="inlineStr">
        <is>
          <t>m2</t>
        </is>
      </c>
      <c r="G148" s="1" t="inlineStr">
        <is>
          <t>Glazed Porcelain</t>
        </is>
      </c>
      <c r="H148" s="1" t="inlineStr">
        <is>
          <t>Matt</t>
        </is>
      </c>
      <c r="I148" t="n">
        <v>18.99</v>
      </c>
    </row>
    <row r="149">
      <c r="A149" s="1">
        <f>Hyperlink("https://www.tilemountain.co.uk/p/beton-grey-outdoor-slab-tiles.html","Product")</f>
        <v/>
      </c>
      <c r="B149" s="1" t="inlineStr">
        <is>
          <t>452215</t>
        </is>
      </c>
      <c r="C149" s="1" t="inlineStr">
        <is>
          <t>Perret Grey Outdoor Slab Tiles</t>
        </is>
      </c>
      <c r="D149" s="1" t="n">
        <v>26.99</v>
      </c>
      <c r="E149" s="1" t="inlineStr">
        <is>
          <t>800x400mm</t>
        </is>
      </c>
      <c r="F149" s="1" t="inlineStr">
        <is>
          <t>m2</t>
        </is>
      </c>
      <c r="G149" s="1" t="inlineStr">
        <is>
          <t>Porcelain</t>
        </is>
      </c>
      <c r="H149" s="1" t="inlineStr">
        <is>
          <t>Matt</t>
        </is>
      </c>
      <c r="I149" t="n">
        <v>26.99</v>
      </c>
    </row>
    <row r="150">
      <c r="A150" s="1">
        <f>Hyperlink("https://www.tilemountain.co.uk/p/beton-soft-mid-outdoor-tile.html","Product")</f>
        <v/>
      </c>
      <c r="B150" s="1" t="inlineStr">
        <is>
          <t>442970</t>
        </is>
      </c>
      <c r="C150" s="1" t="inlineStr">
        <is>
          <t>Beton Soft Mid Outdoor Slab Tiles</t>
        </is>
      </c>
      <c r="D150" s="1" t="n">
        <v>31.99</v>
      </c>
      <c r="E150" s="1" t="inlineStr">
        <is>
          <t>600x600mm</t>
        </is>
      </c>
      <c r="F150" s="1" t="inlineStr">
        <is>
          <t>m2</t>
        </is>
      </c>
      <c r="G150" s="1" t="inlineStr">
        <is>
          <t>Porcelain</t>
        </is>
      </c>
      <c r="H150" s="1" t="inlineStr">
        <is>
          <t>Matt</t>
        </is>
      </c>
      <c r="I150" t="n">
        <v>31.99</v>
      </c>
    </row>
    <row r="151">
      <c r="A151" s="1">
        <f>Hyperlink("https://www.tilemountain.co.uk/p/black-slate-split-face-mosaic-3858.html","Product")</f>
        <v/>
      </c>
      <c r="B151" s="1" t="inlineStr">
        <is>
          <t>445535</t>
        </is>
      </c>
      <c r="C151" s="1" t="inlineStr">
        <is>
          <t>Black Slate Split Face Mosaic</t>
        </is>
      </c>
      <c r="D151" s="1" t="n">
        <v>41.99</v>
      </c>
      <c r="E151" s="1" t="inlineStr">
        <is>
          <t>300x150mm</t>
        </is>
      </c>
      <c r="F151" s="1" t="inlineStr">
        <is>
          <t>m2</t>
        </is>
      </c>
      <c r="G151" s="1" t="inlineStr">
        <is>
          <t>Slate</t>
        </is>
      </c>
      <c r="H151" s="1" t="inlineStr">
        <is>
          <t>Riven</t>
        </is>
      </c>
      <c r="I151" t="n">
        <v>41.99</v>
      </c>
    </row>
    <row r="152">
      <c r="A152" s="1">
        <f>Hyperlink("https://www.tilemountain.co.uk/p/blanco-rectified-gloss-porcelain-floor-tile.html","Product")</f>
        <v/>
      </c>
      <c r="B152" s="1" t="inlineStr">
        <is>
          <t>449915</t>
        </is>
      </c>
      <c r="C152" s="1" t="inlineStr">
        <is>
          <t>Blanco Rectified Gloss Porcelain Floor Tile</t>
        </is>
      </c>
      <c r="D152" s="1" t="n">
        <v>15.99</v>
      </c>
      <c r="E152" s="1" t="inlineStr">
        <is>
          <t>600x600mm</t>
        </is>
      </c>
      <c r="F152" s="1" t="inlineStr">
        <is>
          <t>m2</t>
        </is>
      </c>
      <c r="G152" s="1" t="inlineStr">
        <is>
          <t>Porcelain</t>
        </is>
      </c>
      <c r="H152" s="1" t="inlineStr">
        <is>
          <t>Gloss</t>
        </is>
      </c>
      <c r="I152" t="n">
        <v>15.99</v>
      </c>
    </row>
    <row r="153">
      <c r="A153" s="1">
        <f>Hyperlink("https://www.tilemountain.co.uk/p/blanco-rectified-matt-porcelain-floor-tile.html","Product")</f>
        <v/>
      </c>
      <c r="B153" s="1" t="inlineStr">
        <is>
          <t>449910</t>
        </is>
      </c>
      <c r="C153" s="1" t="inlineStr">
        <is>
          <t>Blanco Rectified Matt Porcelain Floor Tile</t>
        </is>
      </c>
      <c r="D153" s="1" t="n">
        <v>14.99</v>
      </c>
      <c r="E153" s="1" t="inlineStr">
        <is>
          <t>600x600mm</t>
        </is>
      </c>
      <c r="F153" s="1" t="inlineStr">
        <is>
          <t>m2</t>
        </is>
      </c>
      <c r="G153" s="1" t="inlineStr">
        <is>
          <t>Porcelain</t>
        </is>
      </c>
      <c r="H153" s="1" t="inlineStr">
        <is>
          <t>Matt</t>
        </is>
      </c>
      <c r="I153" t="n">
        <v>14.99</v>
      </c>
    </row>
    <row r="154">
      <c r="A154" s="1">
        <f>Hyperlink("https://www.tilemountain.co.uk/p/bluenorte-rectified-outdoor-slab-tile.html","Product")</f>
        <v/>
      </c>
      <c r="B154" s="1" t="inlineStr">
        <is>
          <t>446090</t>
        </is>
      </c>
      <c r="C154" s="1" t="inlineStr">
        <is>
          <t>Bluenorte Outdoor Slabs Tiles</t>
        </is>
      </c>
      <c r="D154" s="1" t="n">
        <v>34.94</v>
      </c>
      <c r="E154" s="1" t="inlineStr">
        <is>
          <t>605x605mm</t>
        </is>
      </c>
      <c r="F154" s="1" t="inlineStr">
        <is>
          <t>m2</t>
        </is>
      </c>
      <c r="G154" s="1" t="inlineStr">
        <is>
          <t>Porcelain</t>
        </is>
      </c>
      <c r="H154" s="1" t="inlineStr">
        <is>
          <t>Matt</t>
        </is>
      </c>
      <c r="I154" t="n">
        <v>34.94</v>
      </c>
    </row>
    <row r="155">
      <c r="A155" s="1">
        <f>Hyperlink("https://www.tilemountain.co.uk/p/botticino-outdoor-grey-porcelain-slab.html","Product")</f>
        <v/>
      </c>
      <c r="B155" s="1" t="inlineStr">
        <is>
          <t>450260</t>
        </is>
      </c>
      <c r="C155" s="1" t="inlineStr">
        <is>
          <t>Botticino Outdoor Grey Porcelain Slab</t>
        </is>
      </c>
      <c r="D155" s="1" t="n">
        <v>26.99</v>
      </c>
      <c r="E155" s="1" t="inlineStr">
        <is>
          <t>600x600mm</t>
        </is>
      </c>
      <c r="F155" s="1" t="inlineStr">
        <is>
          <t>m2</t>
        </is>
      </c>
      <c r="G155" s="1" t="inlineStr">
        <is>
          <t>Porcelain</t>
        </is>
      </c>
      <c r="H155" s="1" t="inlineStr">
        <is>
          <t>Matt</t>
        </is>
      </c>
      <c r="I155" t="n">
        <v>26.99</v>
      </c>
    </row>
    <row r="156">
      <c r="A156" s="1">
        <f>Hyperlink("https://www.tilemountain.co.uk/p/botticino-outdoor-natural-porcelain-slab.html","Product")</f>
        <v/>
      </c>
      <c r="B156" s="1" t="inlineStr">
        <is>
          <t>450255</t>
        </is>
      </c>
      <c r="C156" s="1" t="inlineStr">
        <is>
          <t>Botticino Outdoor Natural Porcelain Slab</t>
        </is>
      </c>
      <c r="D156" s="1" t="n">
        <v>26.99</v>
      </c>
      <c r="E156" s="1" t="inlineStr">
        <is>
          <t>600x600mm</t>
        </is>
      </c>
      <c r="F156" s="1" t="inlineStr">
        <is>
          <t>m2</t>
        </is>
      </c>
      <c r="G156" s="1" t="inlineStr">
        <is>
          <t>Porcelain</t>
        </is>
      </c>
      <c r="H156" s="1" t="inlineStr">
        <is>
          <t>Matt</t>
        </is>
      </c>
      <c r="I156" t="n">
        <v>26.99</v>
      </c>
    </row>
    <row r="157">
      <c r="A157" s="1">
        <f>Hyperlink("https://www.tilemountain.co.uk/p/botticino-outdoor-taupe-porcelain-slab.html","Product")</f>
        <v/>
      </c>
      <c r="B157" s="1" t="inlineStr">
        <is>
          <t>450250</t>
        </is>
      </c>
      <c r="C157" s="1" t="inlineStr">
        <is>
          <t>Botticino Outdoor Taupe Porcelain Slab</t>
        </is>
      </c>
      <c r="D157" s="1" t="n">
        <v>23.99</v>
      </c>
      <c r="E157" s="1" t="inlineStr">
        <is>
          <t>600x600mm</t>
        </is>
      </c>
      <c r="F157" s="1" t="inlineStr">
        <is>
          <t>m2</t>
        </is>
      </c>
      <c r="G157" s="1" t="inlineStr">
        <is>
          <t>Porcelain</t>
        </is>
      </c>
      <c r="H157" s="1" t="inlineStr">
        <is>
          <t>Matt</t>
        </is>
      </c>
      <c r="I157" t="n">
        <v>23.99</v>
      </c>
    </row>
    <row r="158">
      <c r="A158" s="1">
        <f>Hyperlink("https://www.tilemountain.co.uk/p/bowers-rock-taupe-matt-porcelain-modular-floor-tile.html","Product")</f>
        <v/>
      </c>
      <c r="B158" s="1" t="inlineStr">
        <is>
          <t>442725</t>
        </is>
      </c>
      <c r="C158" s="1" t="inlineStr">
        <is>
          <t>Bowers Rock Taupe Matt Porcelain Modular Tiles</t>
        </is>
      </c>
      <c r="D158" s="1" t="n">
        <v>34.82</v>
      </c>
      <c r="E158" s="1" t="inlineStr">
        <is>
          <t>1000x1080mm</t>
        </is>
      </c>
      <c r="F158" s="1" t="inlineStr">
        <is>
          <t>m2</t>
        </is>
      </c>
      <c r="G158" s="1" t="inlineStr">
        <is>
          <t>Porcelain</t>
        </is>
      </c>
      <c r="H158" s="1" t="inlineStr">
        <is>
          <t>Matt</t>
        </is>
      </c>
      <c r="I158" t="n">
        <v>34.82</v>
      </c>
    </row>
    <row r="159">
      <c r="A159" s="1">
        <f>Hyperlink("https://www.tilemountain.co.uk/p/brancato-brown-matt-decor.html","Product")</f>
        <v/>
      </c>
      <c r="B159" s="1" t="inlineStr">
        <is>
          <t>434835</t>
        </is>
      </c>
      <c r="C159" s="1" t="inlineStr">
        <is>
          <t>Brancato Brown Matt Decor</t>
        </is>
      </c>
      <c r="D159" s="1" t="n">
        <v>24.48</v>
      </c>
      <c r="E159" s="1" t="inlineStr">
        <is>
          <t>300x900mm</t>
        </is>
      </c>
      <c r="F159" s="1" t="inlineStr">
        <is>
          <t>m2</t>
        </is>
      </c>
      <c r="G159" s="1" t="inlineStr">
        <is>
          <t>Ceramic</t>
        </is>
      </c>
      <c r="H159" s="1" t="inlineStr">
        <is>
          <t>Matt</t>
        </is>
      </c>
      <c r="I159" t="n">
        <v>24.48</v>
      </c>
    </row>
    <row r="160">
      <c r="A160" s="1">
        <f>Hyperlink("https://www.tilemountain.co.uk/p/brancato-grey-matt-decor.html","Product")</f>
        <v/>
      </c>
      <c r="B160" s="1" t="inlineStr">
        <is>
          <t>434830</t>
        </is>
      </c>
      <c r="C160" s="1" t="inlineStr">
        <is>
          <t>Brancato Grey Matt Decor</t>
        </is>
      </c>
      <c r="D160" s="1" t="n">
        <v>24.48</v>
      </c>
      <c r="E160" s="1" t="inlineStr">
        <is>
          <t>300x900mm</t>
        </is>
      </c>
      <c r="F160" s="1" t="inlineStr">
        <is>
          <t>m2</t>
        </is>
      </c>
      <c r="G160" s="1" t="inlineStr">
        <is>
          <t>Ceramic</t>
        </is>
      </c>
      <c r="H160" s="1" t="inlineStr">
        <is>
          <t>Matt</t>
        </is>
      </c>
      <c r="I160" t="n">
        <v>24.48</v>
      </c>
    </row>
    <row r="161">
      <c r="A161" s="1">
        <f>Hyperlink("https://www.tilemountain.co.uk/p/breeze-cream-floor.html","Product")</f>
        <v/>
      </c>
      <c r="B161" s="1" t="inlineStr">
        <is>
          <t>448610</t>
        </is>
      </c>
      <c r="C161" s="1" t="inlineStr">
        <is>
          <t>Arkesia Cream Floor Tile</t>
        </is>
      </c>
      <c r="D161" s="1" t="n">
        <v>17.99</v>
      </c>
      <c r="E161" s="1" t="inlineStr">
        <is>
          <t>600x600mm</t>
        </is>
      </c>
      <c r="F161" s="1" t="inlineStr">
        <is>
          <t>m2</t>
        </is>
      </c>
      <c r="G161" s="1" t="inlineStr">
        <is>
          <t>Porcelain</t>
        </is>
      </c>
      <c r="H161" s="1" t="inlineStr">
        <is>
          <t>Matt</t>
        </is>
      </c>
      <c r="I161" t="n">
        <v>17.99</v>
      </c>
    </row>
    <row r="162">
      <c r="A162" s="1">
        <f>Hyperlink("https://www.tilemountain.co.uk/p/breeze-cream-rectified-wall-feature.html","Product")</f>
        <v/>
      </c>
      <c r="B162" s="1" t="inlineStr">
        <is>
          <t>448605</t>
        </is>
      </c>
      <c r="C162" s="1" t="inlineStr">
        <is>
          <t>Arkesia Cream Wall Tile</t>
        </is>
      </c>
      <c r="D162" s="1" t="n">
        <v>16.99</v>
      </c>
      <c r="E162" s="1" t="inlineStr">
        <is>
          <t>600x300mm</t>
        </is>
      </c>
      <c r="F162" s="1" t="inlineStr">
        <is>
          <t>m2</t>
        </is>
      </c>
      <c r="G162" s="1" t="inlineStr">
        <is>
          <t>Ceramic</t>
        </is>
      </c>
      <c r="H162" s="1" t="inlineStr">
        <is>
          <t>Matt</t>
        </is>
      </c>
      <c r="I162" t="n">
        <v>16.99</v>
      </c>
    </row>
    <row r="163">
      <c r="A163" s="1">
        <f>Hyperlink("https://www.tilemountain.co.uk/p/breeze-cream-rectified-wall.html","Product")</f>
        <v/>
      </c>
      <c r="B163" s="1" t="inlineStr">
        <is>
          <t>448600</t>
        </is>
      </c>
      <c r="C163" s="1" t="inlineStr">
        <is>
          <t>Arkesia Ivory Wall Tile</t>
        </is>
      </c>
      <c r="D163" s="1" t="n">
        <v>16.99</v>
      </c>
      <c r="E163" s="1" t="inlineStr">
        <is>
          <t>600x300mm</t>
        </is>
      </c>
      <c r="F163" s="1" t="inlineStr">
        <is>
          <t>m2</t>
        </is>
      </c>
      <c r="G163" s="1" t="inlineStr">
        <is>
          <t>Ceramic</t>
        </is>
      </c>
      <c r="H163" s="1" t="inlineStr">
        <is>
          <t>Matt</t>
        </is>
      </c>
      <c r="I163" t="n">
        <v>16.99</v>
      </c>
    </row>
    <row r="164">
      <c r="A164" s="1">
        <f>Hyperlink("https://www.tilemountain.co.uk/p/brighton-blue-pattern-porcelain-floor-tile.html","Product")</f>
        <v/>
      </c>
      <c r="B164" s="1" t="inlineStr">
        <is>
          <t>445475</t>
        </is>
      </c>
      <c r="C164" s="1" t="inlineStr">
        <is>
          <t>Brighton Blue Pattern Porcelain Floor Tiles</t>
        </is>
      </c>
      <c r="D164" s="1" t="n">
        <v>17.99</v>
      </c>
      <c r="E164" s="1" t="inlineStr">
        <is>
          <t>450x450mm</t>
        </is>
      </c>
      <c r="F164" s="1" t="inlineStr">
        <is>
          <t>m2</t>
        </is>
      </c>
      <c r="G164" s="1" t="inlineStr">
        <is>
          <t>Porcelain</t>
        </is>
      </c>
      <c r="H164" s="1" t="inlineStr">
        <is>
          <t>Matt</t>
        </is>
      </c>
      <c r="I164" t="n">
        <v>17.99</v>
      </c>
    </row>
    <row r="165">
      <c r="A165" s="1">
        <f>Hyperlink("https://www.tilemountain.co.uk/p/brighton-grey-pattern-porcelain-floor-tile.html","Product")</f>
        <v/>
      </c>
      <c r="B165" s="1" t="inlineStr">
        <is>
          <t>445480</t>
        </is>
      </c>
      <c r="C165" s="1" t="inlineStr">
        <is>
          <t>Brighton Grey Pattern Porcelain Floor Tiles</t>
        </is>
      </c>
      <c r="D165" s="1" t="n">
        <v>17.99</v>
      </c>
      <c r="E165" s="1" t="inlineStr">
        <is>
          <t>450x450mm</t>
        </is>
      </c>
      <c r="F165" s="1" t="inlineStr">
        <is>
          <t>m2</t>
        </is>
      </c>
      <c r="G165" s="1" t="inlineStr">
        <is>
          <t>Porcelain</t>
        </is>
      </c>
      <c r="H165" s="1" t="inlineStr">
        <is>
          <t>Matt</t>
        </is>
      </c>
      <c r="I165" t="n">
        <v>17.99</v>
      </c>
    </row>
    <row r="166">
      <c r="A166" s="1">
        <f>Hyperlink("https://www.tilemountain.co.uk/p/broadway-grey-glossy-wall-tile.html","Product")</f>
        <v/>
      </c>
      <c r="B166" s="1" t="inlineStr">
        <is>
          <t>441160</t>
        </is>
      </c>
      <c r="C166" s="1" t="inlineStr">
        <is>
          <t>Broadway Grey Glossy Wall Tiles</t>
        </is>
      </c>
      <c r="D166" s="1" t="n">
        <v>9</v>
      </c>
      <c r="E166" s="1" t="inlineStr">
        <is>
          <t>600x200mm</t>
        </is>
      </c>
      <c r="F166" s="1" t="inlineStr">
        <is>
          <t>m2</t>
        </is>
      </c>
      <c r="G166" s="1" t="inlineStr">
        <is>
          <t>-</t>
        </is>
      </c>
      <c r="H166" s="1" t="inlineStr">
        <is>
          <t>-</t>
        </is>
      </c>
      <c r="I166" t="n">
        <v>9</v>
      </c>
    </row>
    <row r="167">
      <c r="A167" s="1">
        <f>Hyperlink("https://www.tilemountain.co.uk/p/broadway-pearl-glossy-wall-tile.html","Product")</f>
        <v/>
      </c>
      <c r="B167" s="1" t="inlineStr">
        <is>
          <t>441165</t>
        </is>
      </c>
      <c r="C167" s="1" t="inlineStr">
        <is>
          <t>Broadway Pearl Glossy Wall Tiles</t>
        </is>
      </c>
      <c r="D167" s="1" t="n">
        <v>9</v>
      </c>
      <c r="E167" s="1" t="inlineStr">
        <is>
          <t>600x200mm</t>
        </is>
      </c>
      <c r="F167" s="1" t="inlineStr">
        <is>
          <t>m2</t>
        </is>
      </c>
      <c r="G167" s="1" t="inlineStr">
        <is>
          <t>Ceramic</t>
        </is>
      </c>
      <c r="H167" s="1" t="inlineStr">
        <is>
          <t>Gloss</t>
        </is>
      </c>
      <c r="I167" t="n">
        <v>9</v>
      </c>
    </row>
    <row r="168">
      <c r="A168" s="1">
        <f>Hyperlink("https://www.tilemountain.co.uk/p/calacatta-gold-gloss-marble-effect-porcelain-floor-tile.html","Product")</f>
        <v/>
      </c>
      <c r="B168" s="1" t="inlineStr">
        <is>
          <t>448945</t>
        </is>
      </c>
      <c r="C168" s="1" t="inlineStr">
        <is>
          <t>Carrara Gold Gloss Marble Effect Porcelain Floor Tile</t>
        </is>
      </c>
      <c r="D168" s="1" t="n">
        <v>14.99</v>
      </c>
      <c r="E168" s="1" t="inlineStr">
        <is>
          <t>605x605mm</t>
        </is>
      </c>
      <c r="F168" s="1" t="inlineStr">
        <is>
          <t>m2</t>
        </is>
      </c>
      <c r="G168" s="1" t="inlineStr">
        <is>
          <t>Porcelain</t>
        </is>
      </c>
      <c r="H168" s="1" t="inlineStr">
        <is>
          <t>Gloss</t>
        </is>
      </c>
      <c r="I168" t="n">
        <v>14.99</v>
      </c>
    </row>
    <row r="169">
      <c r="A169" s="1">
        <f>Hyperlink("https://www.tilemountain.co.uk/p/calacatta-gold-gloss-marble-effect-porcelain-wall-floor-tile.html","Product")</f>
        <v/>
      </c>
      <c r="B169" s="1" t="inlineStr">
        <is>
          <t>448935</t>
        </is>
      </c>
      <c r="C169" s="1" t="inlineStr">
        <is>
          <t>Carrara Gold Gloss Marble Effect Porcelain Wall &amp; Floor Tile</t>
        </is>
      </c>
      <c r="D169" s="1" t="n">
        <v>13.99</v>
      </c>
      <c r="E169" s="1" t="inlineStr">
        <is>
          <t>600x300mm</t>
        </is>
      </c>
      <c r="F169" s="1" t="inlineStr">
        <is>
          <t>m2</t>
        </is>
      </c>
      <c r="G169" s="1" t="inlineStr">
        <is>
          <t>Porcelain</t>
        </is>
      </c>
      <c r="H169" s="1" t="inlineStr">
        <is>
          <t>Gloss</t>
        </is>
      </c>
      <c r="I169" t="n">
        <v>13.99</v>
      </c>
    </row>
    <row r="170">
      <c r="A170" s="1">
        <f>Hyperlink("https://www.tilemountain.co.uk/p/calacatta-gold-gloss-wall-tile.html","Product")</f>
        <v/>
      </c>
      <c r="B170" s="1" t="inlineStr">
        <is>
          <t>451560</t>
        </is>
      </c>
      <c r="C170" s="1" t="inlineStr">
        <is>
          <t>Calacatta Gold Gloss Wall Tile</t>
        </is>
      </c>
      <c r="D170" s="1" t="n">
        <v>19.99</v>
      </c>
      <c r="E170" s="1" t="inlineStr">
        <is>
          <t>400x150mm</t>
        </is>
      </c>
      <c r="F170" s="1" t="inlineStr">
        <is>
          <t>m2</t>
        </is>
      </c>
      <c r="G170" s="1" t="inlineStr">
        <is>
          <t>Ceramic</t>
        </is>
      </c>
      <c r="H170" s="1" t="inlineStr">
        <is>
          <t>Gloss</t>
        </is>
      </c>
      <c r="I170" t="n">
        <v>19.99</v>
      </c>
    </row>
    <row r="171">
      <c r="A171" s="1">
        <f>Hyperlink("https://www.tilemountain.co.uk/p/calacatta-gold-matt-marble-effect-porcelain-floor-tile.html","Product")</f>
        <v/>
      </c>
      <c r="B171" s="1" t="inlineStr">
        <is>
          <t>448950</t>
        </is>
      </c>
      <c r="C171" s="1" t="inlineStr">
        <is>
          <t>Carrara Gold Matt Marble Effect Porcelain Floor Tile</t>
        </is>
      </c>
      <c r="D171" s="1" t="n">
        <v>14.99</v>
      </c>
      <c r="E171" s="1" t="inlineStr">
        <is>
          <t>605x605mm</t>
        </is>
      </c>
      <c r="F171" s="1" t="inlineStr">
        <is>
          <t>m2</t>
        </is>
      </c>
      <c r="G171" s="1" t="inlineStr">
        <is>
          <t>Porcelain</t>
        </is>
      </c>
      <c r="H171" s="1" t="inlineStr">
        <is>
          <t>Matt</t>
        </is>
      </c>
      <c r="I171" t="n">
        <v>14.99</v>
      </c>
    </row>
    <row r="172">
      <c r="A172" s="1">
        <f>Hyperlink("https://www.tilemountain.co.uk/p/calacatta-gold-matt-marble-effect-porcelain-wall-floor-tile.html","Product")</f>
        <v/>
      </c>
      <c r="B172" s="1" t="inlineStr">
        <is>
          <t>448940</t>
        </is>
      </c>
      <c r="C172" s="1" t="inlineStr">
        <is>
          <t>Carrara Gold Matt Marble Effect Porcelain Wall &amp; Floor Tile</t>
        </is>
      </c>
      <c r="D172" s="1" t="n">
        <v>13.99</v>
      </c>
      <c r="E172" s="1" t="inlineStr">
        <is>
          <t>600x300mm</t>
        </is>
      </c>
      <c r="F172" s="1" t="inlineStr">
        <is>
          <t>m2</t>
        </is>
      </c>
      <c r="G172" s="1" t="inlineStr">
        <is>
          <t>Porcelain</t>
        </is>
      </c>
      <c r="H172" s="1" t="inlineStr">
        <is>
          <t>Matt</t>
        </is>
      </c>
      <c r="I172" t="n">
        <v>13.99</v>
      </c>
    </row>
    <row r="173">
      <c r="A173" s="1">
        <f>Hyperlink("https://www.tilemountain.co.uk/p/calacatta-gold-polished-marble-effect-xl-porcelain-floor-tile.html","Product")</f>
        <v/>
      </c>
      <c r="B173" s="1" t="inlineStr">
        <is>
          <t>449305</t>
        </is>
      </c>
      <c r="C173" s="1" t="inlineStr">
        <is>
          <t>Carrara Gold Polished Marble Effect Porcelain Floor Tile</t>
        </is>
      </c>
      <c r="D173" s="1" t="n">
        <v>21.99</v>
      </c>
      <c r="E173" s="1" t="inlineStr">
        <is>
          <t>800x800mm</t>
        </is>
      </c>
      <c r="F173" s="1" t="inlineStr">
        <is>
          <t>m2</t>
        </is>
      </c>
      <c r="G173" s="1" t="inlineStr">
        <is>
          <t>Porcelain</t>
        </is>
      </c>
      <c r="H173" s="1" t="inlineStr">
        <is>
          <t>Polished</t>
        </is>
      </c>
      <c r="I173" t="n">
        <v>21.99</v>
      </c>
    </row>
    <row r="174">
      <c r="A174" s="1">
        <f>Hyperlink("https://www.tilemountain.co.uk/p/calacatta-white-marble-effect-xl-matt-porcelain-floor-tile-800x800.html","Product")</f>
        <v/>
      </c>
      <c r="B174" s="1" t="inlineStr">
        <is>
          <t>449285</t>
        </is>
      </c>
      <c r="C174" s="1" t="inlineStr">
        <is>
          <t>Carrara White Marble Effect Matt Floor Tile</t>
        </is>
      </c>
      <c r="D174" s="1" t="n">
        <v>20.99</v>
      </c>
      <c r="E174" s="1" t="inlineStr">
        <is>
          <t>800x800mm</t>
        </is>
      </c>
      <c r="F174" s="1" t="inlineStr">
        <is>
          <t>m2</t>
        </is>
      </c>
      <c r="G174" s="1" t="inlineStr">
        <is>
          <t>Porcelain</t>
        </is>
      </c>
      <c r="H174" s="1" t="inlineStr">
        <is>
          <t>Matt</t>
        </is>
      </c>
      <c r="I174" t="n">
        <v>20.99</v>
      </c>
    </row>
    <row r="175">
      <c r="A175" s="1">
        <f>Hyperlink("https://www.tilemountain.co.uk/p/calacatta-white-marble-effect-xl-polished-porcelain-floor-tile-800x800.html","Product")</f>
        <v/>
      </c>
      <c r="B175" s="1" t="inlineStr">
        <is>
          <t>448960</t>
        </is>
      </c>
      <c r="C175" s="1" t="inlineStr">
        <is>
          <t>Carrara White Marble Effect Polished Floor Tile</t>
        </is>
      </c>
      <c r="D175" s="1" t="n">
        <v>21.99</v>
      </c>
      <c r="E175" s="1" t="inlineStr">
        <is>
          <t>800x800mm</t>
        </is>
      </c>
      <c r="F175" s="1" t="inlineStr">
        <is>
          <t>m2</t>
        </is>
      </c>
      <c r="G175" s="1" t="inlineStr">
        <is>
          <t>Porcelain</t>
        </is>
      </c>
      <c r="H175" s="1" t="inlineStr">
        <is>
          <t>Polished</t>
        </is>
      </c>
      <c r="I175" t="n">
        <v>21.99</v>
      </c>
    </row>
    <row r="176">
      <c r="A176" s="1">
        <f>Hyperlink("https://www.tilemountain.co.uk/p/carrara-gloss-brick-75x150mm_1.html","Product")</f>
        <v/>
      </c>
      <c r="B176" s="1" t="inlineStr">
        <is>
          <t>454685</t>
        </is>
      </c>
      <c r="C176" s="1" t="inlineStr">
        <is>
          <t>Carrara White Marble Effect Gloss Brick Wall Tile</t>
        </is>
      </c>
      <c r="D176" s="1" t="n">
        <v>29.99</v>
      </c>
      <c r="E176" s="1" t="inlineStr">
        <is>
          <t>150x75mm</t>
        </is>
      </c>
      <c r="F176" s="1" t="inlineStr">
        <is>
          <t>m2</t>
        </is>
      </c>
      <c r="G176" s="1" t="inlineStr">
        <is>
          <t>Ceramic</t>
        </is>
      </c>
      <c r="H176" s="1" t="inlineStr">
        <is>
          <t>Gloss</t>
        </is>
      </c>
      <c r="I176" t="n">
        <v>29.99</v>
      </c>
    </row>
    <row r="177">
      <c r="A177" s="1">
        <f>Hyperlink("https://www.tilemountain.co.uk/p/carrara-gloss-brick-75x300mm.html","Product")</f>
        <v/>
      </c>
      <c r="B177" s="1" t="inlineStr">
        <is>
          <t>454695</t>
        </is>
      </c>
      <c r="C177" s="1" t="inlineStr">
        <is>
          <t>Carrara White Marble Effect Gloss Brick Wall Tile</t>
        </is>
      </c>
      <c r="D177" s="1" t="n">
        <v>28.99</v>
      </c>
      <c r="E177" s="1" t="inlineStr">
        <is>
          <t>300x75mm</t>
        </is>
      </c>
      <c r="F177" s="1" t="inlineStr">
        <is>
          <t>m2</t>
        </is>
      </c>
      <c r="G177" s="1" t="inlineStr">
        <is>
          <t>Ceramic</t>
        </is>
      </c>
      <c r="H177" s="1" t="inlineStr">
        <is>
          <t>Gloss</t>
        </is>
      </c>
      <c r="I177" t="n">
        <v>28.99</v>
      </c>
    </row>
    <row r="178">
      <c r="A178" s="1">
        <f>Hyperlink("https://www.tilemountain.co.uk/p/carrara-gloss-skirting_1.html","Product")</f>
        <v/>
      </c>
      <c r="B178" s="1" t="inlineStr">
        <is>
          <t>454715</t>
        </is>
      </c>
      <c r="C178" s="1" t="inlineStr">
        <is>
          <t>Carrara White Marble Effect Gloss Skirting Wall Tiles</t>
        </is>
      </c>
      <c r="D178" s="1" t="n">
        <v>4.99</v>
      </c>
      <c r="E178" s="1" t="inlineStr">
        <is>
          <t>150x150mm</t>
        </is>
      </c>
      <c r="F178" s="1" t="inlineStr">
        <is>
          <t>Qty</t>
        </is>
      </c>
      <c r="G178" s="1" t="inlineStr">
        <is>
          <t>Ceramic</t>
        </is>
      </c>
      <c r="H178" s="1" t="inlineStr">
        <is>
          <t>Gloss</t>
        </is>
      </c>
      <c r="I178" t="n">
        <v>4.99</v>
      </c>
    </row>
    <row r="179">
      <c r="A179" s="1">
        <f>Hyperlink("https://www.tilemountain.co.uk/p/carrara-gloss-wall-tile.html","Product")</f>
        <v/>
      </c>
      <c r="B179" s="1" t="inlineStr">
        <is>
          <t>451555</t>
        </is>
      </c>
      <c r="C179" s="1" t="inlineStr">
        <is>
          <t>Calacatta Grey Gloss Wall Tile</t>
        </is>
      </c>
      <c r="D179" s="1" t="n">
        <v>19.99</v>
      </c>
      <c r="E179" s="1" t="inlineStr">
        <is>
          <t>400x150mm</t>
        </is>
      </c>
      <c r="F179" s="1" t="inlineStr">
        <is>
          <t>m2</t>
        </is>
      </c>
      <c r="G179" s="1" t="inlineStr">
        <is>
          <t>Ceramic</t>
        </is>
      </c>
      <c r="H179" s="1" t="inlineStr">
        <is>
          <t>Gloss</t>
        </is>
      </c>
      <c r="I179" t="n">
        <v>19.99</v>
      </c>
    </row>
    <row r="180">
      <c r="A180" s="1">
        <f>Hyperlink("https://www.tilemountain.co.uk/p/carrara-london-dado-gloss_1.html","Product")</f>
        <v/>
      </c>
      <c r="B180" s="1" t="inlineStr">
        <is>
          <t>454705</t>
        </is>
      </c>
      <c r="C180" s="1" t="inlineStr">
        <is>
          <t>Carrara White Marble Effect London Dado Gloss Wall Tile</t>
        </is>
      </c>
      <c r="D180" s="1" t="n">
        <v>3.99</v>
      </c>
      <c r="E180" s="1" t="inlineStr">
        <is>
          <t>300x5mm</t>
        </is>
      </c>
      <c r="F180" s="1" t="inlineStr">
        <is>
          <t>Qty</t>
        </is>
      </c>
      <c r="G180" s="1" t="inlineStr">
        <is>
          <t>Ceramic</t>
        </is>
      </c>
      <c r="H180" s="1" t="inlineStr">
        <is>
          <t>Gloss</t>
        </is>
      </c>
      <c r="I180" t="n">
        <v>3.99</v>
      </c>
    </row>
    <row r="181">
      <c r="A181" s="1">
        <f>Hyperlink("https://www.tilemountain.co.uk/p/carrara-london-dado-matt_1.html","Product")</f>
        <v/>
      </c>
      <c r="B181" s="1" t="inlineStr">
        <is>
          <t>454710</t>
        </is>
      </c>
      <c r="C181" s="1" t="inlineStr">
        <is>
          <t>Carrara White Marble Effect London Dado Matt Wall Tile</t>
        </is>
      </c>
      <c r="D181" s="1" t="n">
        <v>3.99</v>
      </c>
      <c r="E181" s="1" t="inlineStr">
        <is>
          <t>300x5mm</t>
        </is>
      </c>
      <c r="F181" s="1" t="inlineStr">
        <is>
          <t>Qty</t>
        </is>
      </c>
      <c r="G181" s="1" t="inlineStr">
        <is>
          <t>Ceramic</t>
        </is>
      </c>
      <c r="H181" s="1" t="inlineStr">
        <is>
          <t>Matt</t>
        </is>
      </c>
      <c r="I181" t="n">
        <v>3.99</v>
      </c>
    </row>
    <row r="182">
      <c r="A182" s="1">
        <f>Hyperlink("https://www.tilemountain.co.uk/p/carrara-marble-matt-wall-tile.html","Product")</f>
        <v/>
      </c>
      <c r="B182" s="1" t="inlineStr">
        <is>
          <t>439610</t>
        </is>
      </c>
      <c r="C182" s="1" t="inlineStr">
        <is>
          <t>Paros Marble Effect Matt Wall Tiles</t>
        </is>
      </c>
      <c r="D182" s="1" t="n">
        <v>39.99</v>
      </c>
      <c r="E182" s="1" t="inlineStr">
        <is>
          <t>150x75mm</t>
        </is>
      </c>
      <c r="F182" s="1" t="inlineStr">
        <is>
          <t>m2</t>
        </is>
      </c>
      <c r="G182" s="1" t="inlineStr">
        <is>
          <t>Porcelain</t>
        </is>
      </c>
      <c r="H182" s="1" t="inlineStr">
        <is>
          <t>Matt</t>
        </is>
      </c>
      <c r="I182" t="n">
        <v>39.99</v>
      </c>
    </row>
    <row r="183">
      <c r="A183" s="1">
        <f>Hyperlink("https://www.tilemountain.co.uk/p/carrara-matt-brick-75x150mm.html","Product")</f>
        <v/>
      </c>
      <c r="B183" s="1" t="inlineStr">
        <is>
          <t>454690</t>
        </is>
      </c>
      <c r="C183" s="1" t="inlineStr">
        <is>
          <t>Carrara White Marble Effect Matt Brick Wall Tile</t>
        </is>
      </c>
      <c r="D183" s="1" t="n">
        <v>29.99</v>
      </c>
      <c r="E183" s="1" t="inlineStr">
        <is>
          <t>150x75mm</t>
        </is>
      </c>
      <c r="F183" s="1" t="inlineStr">
        <is>
          <t>m2</t>
        </is>
      </c>
      <c r="G183" s="1" t="inlineStr">
        <is>
          <t>Ceramic</t>
        </is>
      </c>
      <c r="H183" s="1" t="inlineStr">
        <is>
          <t>Matt</t>
        </is>
      </c>
      <c r="I183" t="n">
        <v>29.99</v>
      </c>
    </row>
    <row r="184">
      <c r="A184" s="1">
        <f>Hyperlink("https://www.tilemountain.co.uk/p/carrara-matt-brick-75x300mm.html","Product")</f>
        <v/>
      </c>
      <c r="B184" s="1" t="inlineStr">
        <is>
          <t>454700</t>
        </is>
      </c>
      <c r="C184" s="1" t="inlineStr">
        <is>
          <t>Carrara White Marble Effect Matt Brick Wall Tile</t>
        </is>
      </c>
      <c r="D184" s="1" t="n">
        <v>28.99</v>
      </c>
      <c r="E184" s="1" t="inlineStr">
        <is>
          <t>300x75mm</t>
        </is>
      </c>
      <c r="F184" s="1" t="inlineStr">
        <is>
          <t>m2</t>
        </is>
      </c>
      <c r="G184" s="1" t="inlineStr">
        <is>
          <t>Ceramic</t>
        </is>
      </c>
      <c r="H184" s="1" t="inlineStr">
        <is>
          <t>Matt</t>
        </is>
      </c>
      <c r="I184" t="n">
        <v>28.99</v>
      </c>
    </row>
    <row r="185">
      <c r="A185" s="1">
        <f>Hyperlink("https://www.tilemountain.co.uk/p/carrara-matt-skirting_1.html","Product")</f>
        <v/>
      </c>
      <c r="B185" s="1" t="inlineStr">
        <is>
          <t>454720</t>
        </is>
      </c>
      <c r="C185" s="1" t="inlineStr">
        <is>
          <t>Carrara White Marble Effect Matt Skirting Wall Tiles</t>
        </is>
      </c>
      <c r="D185" s="1" t="n">
        <v>4.99</v>
      </c>
      <c r="E185" s="1" t="inlineStr">
        <is>
          <t>150x150mm</t>
        </is>
      </c>
      <c r="F185" s="1" t="inlineStr">
        <is>
          <t>Qty</t>
        </is>
      </c>
      <c r="G185" s="1" t="inlineStr">
        <is>
          <t>Ceramic</t>
        </is>
      </c>
      <c r="H185" s="1" t="inlineStr">
        <is>
          <t>Matt</t>
        </is>
      </c>
      <c r="I185" t="n">
        <v>4.99</v>
      </c>
    </row>
    <row r="186">
      <c r="A186" s="1">
        <f>Hyperlink("https://www.tilemountain.co.uk/p/carrara-matt-white-wall-tile.html","Product")</f>
        <v/>
      </c>
      <c r="B186" s="1" t="inlineStr">
        <is>
          <t>445515</t>
        </is>
      </c>
      <c r="C186" s="1" t="inlineStr">
        <is>
          <t>Carrara White Matt Marble Porcelain Wall and Floor Tile</t>
        </is>
      </c>
      <c r="D186" s="1" t="n">
        <v>13.99</v>
      </c>
      <c r="E186" s="1" t="inlineStr">
        <is>
          <t>600x300mm</t>
        </is>
      </c>
      <c r="F186" s="1" t="inlineStr">
        <is>
          <t>m2</t>
        </is>
      </c>
      <c r="G186" s="1" t="inlineStr">
        <is>
          <t>Porcelain</t>
        </is>
      </c>
      <c r="H186" s="1" t="inlineStr">
        <is>
          <t>Matt</t>
        </is>
      </c>
      <c r="I186" t="n">
        <v>13.99</v>
      </c>
    </row>
    <row r="187">
      <c r="A187" s="1">
        <f>Hyperlink("https://www.tilemountain.co.uk/p/carrara-white-gloss-ceramic-floor-tile.html","Product")</f>
        <v/>
      </c>
      <c r="B187" s="1" t="inlineStr">
        <is>
          <t>446235</t>
        </is>
      </c>
      <c r="C187" s="1" t="inlineStr">
        <is>
          <t>Carrara White Gloss Marble Effect  Ceramic Floor Tile</t>
        </is>
      </c>
      <c r="D187" s="1" t="n">
        <v>10.99</v>
      </c>
      <c r="E187" s="1" t="inlineStr">
        <is>
          <t>450x450mm</t>
        </is>
      </c>
      <c r="F187" s="1" t="inlineStr">
        <is>
          <t>m2</t>
        </is>
      </c>
      <c r="G187" s="1" t="inlineStr">
        <is>
          <t>Ceramic</t>
        </is>
      </c>
      <c r="H187" s="1" t="inlineStr">
        <is>
          <t>Gloss</t>
        </is>
      </c>
      <c r="I187" t="n">
        <v>10.99</v>
      </c>
    </row>
    <row r="188">
      <c r="A188" s="1">
        <f>Hyperlink("https://www.tilemountain.co.uk/p/carrara-white-gloss-ceramic-wall-tile.html","Product")</f>
        <v/>
      </c>
      <c r="B188" s="1" t="inlineStr">
        <is>
          <t>453205</t>
        </is>
      </c>
      <c r="C188" s="1" t="inlineStr">
        <is>
          <t>Carrara White Gloss Ceramic Wall Tile</t>
        </is>
      </c>
      <c r="D188" s="1" t="n">
        <v>10.99</v>
      </c>
      <c r="E188" s="1" t="inlineStr">
        <is>
          <t>600x300mm</t>
        </is>
      </c>
      <c r="F188" s="1" t="inlineStr">
        <is>
          <t>m2</t>
        </is>
      </c>
      <c r="G188" s="1" t="inlineStr">
        <is>
          <t>Ceramic</t>
        </is>
      </c>
      <c r="H188" s="1" t="inlineStr">
        <is>
          <t>Gloss</t>
        </is>
      </c>
      <c r="I188" t="n">
        <v>10.99</v>
      </c>
    </row>
    <row r="189">
      <c r="A189" s="1">
        <f>Hyperlink("https://www.tilemountain.co.uk/p/carrara-white-gloss-floor-tile.html","Product")</f>
        <v/>
      </c>
      <c r="B189" s="1" t="inlineStr">
        <is>
          <t>441360</t>
        </is>
      </c>
      <c r="C189" s="1" t="inlineStr">
        <is>
          <t>Carrara White Gloss Marble Effect  Porcelain Floor Tile</t>
        </is>
      </c>
      <c r="D189" s="1" t="n">
        <v>14.99</v>
      </c>
      <c r="E189" s="1" t="inlineStr">
        <is>
          <t>600x600mm</t>
        </is>
      </c>
      <c r="F189" s="1" t="inlineStr">
        <is>
          <t>m2</t>
        </is>
      </c>
      <c r="G189" s="1" t="inlineStr">
        <is>
          <t>Porcelain</t>
        </is>
      </c>
      <c r="H189" s="1" t="inlineStr">
        <is>
          <t>Gloss</t>
        </is>
      </c>
      <c r="I189" t="n">
        <v>14.99</v>
      </c>
    </row>
    <row r="190">
      <c r="A190" s="1">
        <f>Hyperlink("https://www.tilemountain.co.uk/p/carrara-white-matt-ceramic-wall-tile.html","Product")</f>
        <v/>
      </c>
      <c r="B190" s="1" t="inlineStr">
        <is>
          <t>453210</t>
        </is>
      </c>
      <c r="C190" s="1" t="inlineStr">
        <is>
          <t>Carrara White Matt Ceramic Wall Tile</t>
        </is>
      </c>
      <c r="D190" s="1" t="n">
        <v>10.99</v>
      </c>
      <c r="E190" s="1" t="inlineStr">
        <is>
          <t>300x600mm</t>
        </is>
      </c>
      <c r="F190" s="1" t="inlineStr">
        <is>
          <t>m2</t>
        </is>
      </c>
      <c r="G190" s="1" t="inlineStr">
        <is>
          <t>Ceramic</t>
        </is>
      </c>
      <c r="H190" s="1" t="inlineStr">
        <is>
          <t>Matt</t>
        </is>
      </c>
      <c r="I190" t="n">
        <v>10.99</v>
      </c>
    </row>
    <row r="191">
      <c r="A191" s="1">
        <f>Hyperlink("https://www.tilemountain.co.uk/p/carrara-white-matt-marble-porcelain-floor-tile-5366.html","Product")</f>
        <v/>
      </c>
      <c r="B191" s="1" t="inlineStr">
        <is>
          <t>450430</t>
        </is>
      </c>
      <c r="C191" s="1" t="inlineStr">
        <is>
          <t>Carrara White Matt Marble Porcelain Floor Tile</t>
        </is>
      </c>
      <c r="D191" s="1" t="n">
        <v>29.99</v>
      </c>
      <c r="E191" s="1" t="inlineStr">
        <is>
          <t>1200x1200mm</t>
        </is>
      </c>
      <c r="F191" s="1" t="inlineStr">
        <is>
          <t>m2</t>
        </is>
      </c>
      <c r="G191" s="1" t="inlineStr">
        <is>
          <t>Porcelain</t>
        </is>
      </c>
      <c r="H191" s="1" t="inlineStr">
        <is>
          <t>Matt</t>
        </is>
      </c>
      <c r="I191" t="n">
        <v>29.99</v>
      </c>
    </row>
    <row r="192">
      <c r="A192" s="1">
        <f>Hyperlink("https://www.tilemountain.co.uk/p/carrara-white-matt-marble-porcelain-floor-tile.html","Product")</f>
        <v/>
      </c>
      <c r="B192" s="1" t="inlineStr">
        <is>
          <t>450420</t>
        </is>
      </c>
      <c r="C192" s="1" t="inlineStr">
        <is>
          <t>Carrara White Matt Marble Porcelain Floor Tile</t>
        </is>
      </c>
      <c r="D192" s="1" t="n">
        <v>19.99</v>
      </c>
      <c r="E192" s="1" t="inlineStr">
        <is>
          <t>1200x600mm</t>
        </is>
      </c>
      <c r="F192" s="1" t="inlineStr">
        <is>
          <t>m2</t>
        </is>
      </c>
      <c r="G192" s="1" t="inlineStr">
        <is>
          <t>Porcelain</t>
        </is>
      </c>
      <c r="H192" s="1" t="inlineStr">
        <is>
          <t>Matt</t>
        </is>
      </c>
      <c r="I192" t="n">
        <v>19.99</v>
      </c>
    </row>
    <row r="193">
      <c r="A193" s="1">
        <f>Hyperlink("https://www.tilemountain.co.uk/p/carrara-white-polished-marble-porcelain-floor-tile-5367.html","Product")</f>
        <v/>
      </c>
      <c r="B193" s="1" t="inlineStr">
        <is>
          <t>450435</t>
        </is>
      </c>
      <c r="C193" s="1" t="inlineStr">
        <is>
          <t>Carrara White Polished Marble Porcelain Floor Tile</t>
        </is>
      </c>
      <c r="D193" s="1" t="n">
        <v>29.99</v>
      </c>
      <c r="E193" s="1" t="inlineStr">
        <is>
          <t>1200x1200mm</t>
        </is>
      </c>
      <c r="F193" s="1" t="inlineStr">
        <is>
          <t>m2</t>
        </is>
      </c>
      <c r="G193" s="1" t="inlineStr">
        <is>
          <t>Porcelain</t>
        </is>
      </c>
      <c r="H193" s="1" t="inlineStr">
        <is>
          <t>Polished</t>
        </is>
      </c>
      <c r="I193" t="n">
        <v>29.99</v>
      </c>
    </row>
    <row r="194">
      <c r="A194" s="1">
        <f>Hyperlink("https://www.tilemountain.co.uk/p/carrara-white-polished-marble-porcelain-floor-tile.html","Product")</f>
        <v/>
      </c>
      <c r="B194" s="1" t="inlineStr">
        <is>
          <t>450425</t>
        </is>
      </c>
      <c r="C194" s="1" t="inlineStr">
        <is>
          <t>Carrara White Polished Marble Porcelain Floor Tile</t>
        </is>
      </c>
      <c r="D194" s="1" t="n">
        <v>22.99</v>
      </c>
      <c r="E194" s="1" t="inlineStr">
        <is>
          <t>1200x600mm</t>
        </is>
      </c>
      <c r="F194" s="1" t="inlineStr">
        <is>
          <t>m2</t>
        </is>
      </c>
      <c r="G194" s="1" t="inlineStr">
        <is>
          <t>Porcelain</t>
        </is>
      </c>
      <c r="H194" s="1" t="inlineStr">
        <is>
          <t>Polished</t>
        </is>
      </c>
      <c r="I194" t="n">
        <v>22.99</v>
      </c>
    </row>
    <row r="195">
      <c r="A195" s="1">
        <f>Hyperlink("https://www.tilemountain.co.uk/p/castilla-teja-floor-tile.html","Product")</f>
        <v/>
      </c>
      <c r="B195" s="1" t="inlineStr">
        <is>
          <t>443105</t>
        </is>
      </c>
      <c r="C195" s="1" t="inlineStr">
        <is>
          <t>Castilla Teja Floor Tiles</t>
        </is>
      </c>
      <c r="D195" s="1" t="n">
        <v>9.99</v>
      </c>
      <c r="E195" s="1" t="inlineStr">
        <is>
          <t>333x333mm</t>
        </is>
      </c>
      <c r="F195" s="1" t="inlineStr">
        <is>
          <t>m2</t>
        </is>
      </c>
      <c r="G195" s="1" t="inlineStr">
        <is>
          <t>Porcelain</t>
        </is>
      </c>
      <c r="H195" s="1" t="inlineStr">
        <is>
          <t>Matt</t>
        </is>
      </c>
      <c r="I195" t="n">
        <v>9.99</v>
      </c>
    </row>
    <row r="196">
      <c r="A196" s="1">
        <f>Hyperlink("https://www.tilemountain.co.uk/p/chess-black-floor-tile.html","Product")</f>
        <v/>
      </c>
      <c r="B196" s="1" t="inlineStr">
        <is>
          <t>433320</t>
        </is>
      </c>
      <c r="C196" s="1" t="inlineStr">
        <is>
          <t>Chess Black Floor Tiles</t>
        </is>
      </c>
      <c r="D196" s="1" t="n">
        <v>9.99</v>
      </c>
      <c r="E196" s="1" t="inlineStr">
        <is>
          <t>338x338mm</t>
        </is>
      </c>
      <c r="F196" s="1" t="inlineStr">
        <is>
          <t>m2</t>
        </is>
      </c>
      <c r="G196" s="1" t="inlineStr">
        <is>
          <t>Ceramic</t>
        </is>
      </c>
      <c r="H196" s="1" t="inlineStr">
        <is>
          <t>Matt</t>
        </is>
      </c>
      <c r="I196" t="n">
        <v>9.99</v>
      </c>
    </row>
    <row r="197">
      <c r="A197" s="1">
        <f>Hyperlink("https://www.tilemountain.co.uk/p/chess-white-floor-tile.html","Product")</f>
        <v/>
      </c>
      <c r="B197" s="1" t="inlineStr">
        <is>
          <t>433315</t>
        </is>
      </c>
      <c r="C197" s="1" t="inlineStr">
        <is>
          <t>Chess White Floor Tiles</t>
        </is>
      </c>
      <c r="D197" s="1" t="n">
        <v>9.99</v>
      </c>
      <c r="E197" s="1" t="inlineStr">
        <is>
          <t>338x338mm</t>
        </is>
      </c>
      <c r="F197" s="1" t="inlineStr">
        <is>
          <t>m2</t>
        </is>
      </c>
      <c r="G197" s="1" t="inlineStr">
        <is>
          <t>Ceramic</t>
        </is>
      </c>
      <c r="H197" s="1" t="inlineStr">
        <is>
          <t>Matt</t>
        </is>
      </c>
      <c r="I197" t="n">
        <v>9.99</v>
      </c>
    </row>
    <row r="198">
      <c r="A198" s="1">
        <f>Hyperlink("https://www.tilemountain.co.uk/p/chevron-wood-walnut-wall-and-floor-tiles-11x54cm.html","Product")</f>
        <v/>
      </c>
      <c r="B198" s="1" t="inlineStr">
        <is>
          <t>400095</t>
        </is>
      </c>
      <c r="C198" s="1" t="inlineStr">
        <is>
          <t>Chevron Wood Walnut Wall and Floor Tiles</t>
        </is>
      </c>
      <c r="D198" s="1" t="n">
        <v>26.99</v>
      </c>
      <c r="E198" s="1" t="inlineStr">
        <is>
          <t>540x110mm</t>
        </is>
      </c>
      <c r="F198" s="1" t="inlineStr">
        <is>
          <t>m2</t>
        </is>
      </c>
      <c r="G198" s="1" t="inlineStr">
        <is>
          <t>Porcelain</t>
        </is>
      </c>
      <c r="H198" s="1" t="inlineStr">
        <is>
          <t>Matt</t>
        </is>
      </c>
      <c r="I198" t="n">
        <v>26.99</v>
      </c>
    </row>
    <row r="199">
      <c r="A199" s="1">
        <f>Hyperlink("https://www.tilemountain.co.uk/p/chic-blanco-decor-tile.html","Product")</f>
        <v/>
      </c>
      <c r="B199" s="1" t="inlineStr">
        <is>
          <t>446145</t>
        </is>
      </c>
      <c r="C199" s="1" t="inlineStr">
        <is>
          <t>Chic Blanco Decor Wall Tiles</t>
        </is>
      </c>
      <c r="D199" s="1" t="n">
        <v>25.99</v>
      </c>
      <c r="E199" s="1" t="inlineStr">
        <is>
          <t>900x300mm</t>
        </is>
      </c>
      <c r="F199" s="1" t="inlineStr">
        <is>
          <t>m2</t>
        </is>
      </c>
      <c r="G199" s="1" t="inlineStr">
        <is>
          <t>Ceramic</t>
        </is>
      </c>
      <c r="H199" s="1" t="inlineStr">
        <is>
          <t>Matt</t>
        </is>
      </c>
      <c r="I199" t="n">
        <v>25.99</v>
      </c>
    </row>
    <row r="200">
      <c r="A200" s="1">
        <f>Hyperlink("https://www.tilemountain.co.uk/p/chic-blanco-matt-wall-tile.html","Product")</f>
        <v/>
      </c>
      <c r="B200" s="1" t="inlineStr">
        <is>
          <t>446140</t>
        </is>
      </c>
      <c r="C200" s="1" t="inlineStr">
        <is>
          <t>Chic Blanco Matt Wall Tiles</t>
        </is>
      </c>
      <c r="D200" s="1" t="n">
        <v>23.99</v>
      </c>
      <c r="E200" s="1" t="inlineStr">
        <is>
          <t>900x300mm</t>
        </is>
      </c>
      <c r="F200" s="1" t="inlineStr">
        <is>
          <t>m2</t>
        </is>
      </c>
      <c r="G200" s="1" t="inlineStr">
        <is>
          <t>Ceramic</t>
        </is>
      </c>
      <c r="H200" s="1" t="inlineStr">
        <is>
          <t>Matt</t>
        </is>
      </c>
      <c r="I200" t="n">
        <v>23.99</v>
      </c>
    </row>
    <row r="201">
      <c r="A201" s="1">
        <f>Hyperlink("https://www.tilemountain.co.uk/p/chic-blue-decor-tile.html","Product")</f>
        <v/>
      </c>
      <c r="B201" s="1" t="inlineStr">
        <is>
          <t>446155</t>
        </is>
      </c>
      <c r="C201" s="1" t="inlineStr">
        <is>
          <t>Chic Blue Decor Wall Tiles</t>
        </is>
      </c>
      <c r="D201" s="1" t="n">
        <v>25.99</v>
      </c>
      <c r="E201" s="1" t="inlineStr">
        <is>
          <t>900x300mm</t>
        </is>
      </c>
      <c r="F201" s="1" t="inlineStr">
        <is>
          <t>m2</t>
        </is>
      </c>
      <c r="G201" s="1" t="inlineStr">
        <is>
          <t>Ceramic</t>
        </is>
      </c>
      <c r="H201" s="1" t="inlineStr">
        <is>
          <t>Matt</t>
        </is>
      </c>
      <c r="I201" t="n">
        <v>25.99</v>
      </c>
    </row>
    <row r="202">
      <c r="A202" s="1">
        <f>Hyperlink("https://www.tilemountain.co.uk/p/chic-grey-decor-tile.html","Product")</f>
        <v/>
      </c>
      <c r="B202" s="1" t="inlineStr">
        <is>
          <t>446150</t>
        </is>
      </c>
      <c r="C202" s="1" t="inlineStr">
        <is>
          <t>Chic Grey Decor Wall Tiles</t>
        </is>
      </c>
      <c r="D202" s="1" t="n">
        <v>25.99</v>
      </c>
      <c r="E202" s="1" t="inlineStr">
        <is>
          <t>900x300mm</t>
        </is>
      </c>
      <c r="F202" s="1" t="inlineStr">
        <is>
          <t>m2</t>
        </is>
      </c>
      <c r="G202" s="1" t="inlineStr">
        <is>
          <t>Ceramic</t>
        </is>
      </c>
      <c r="H202" s="1" t="inlineStr">
        <is>
          <t>Matt</t>
        </is>
      </c>
      <c r="I202" t="n">
        <v>25.99</v>
      </c>
    </row>
    <row r="203">
      <c r="A203" s="1">
        <f>Hyperlink("https://www.tilemountain.co.uk/p/clay-blossom.html","Product")</f>
        <v/>
      </c>
      <c r="B203" s="1" t="inlineStr">
        <is>
          <t>454465</t>
        </is>
      </c>
      <c r="C203" s="1" t="inlineStr">
        <is>
          <t>Clay Blossom Floor Tile</t>
        </is>
      </c>
      <c r="D203" s="1" t="n">
        <v>22.99</v>
      </c>
      <c r="E203" s="1" t="inlineStr">
        <is>
          <t>450x450mm</t>
        </is>
      </c>
      <c r="F203" s="1" t="inlineStr">
        <is>
          <t>m2</t>
        </is>
      </c>
      <c r="G203" s="1" t="inlineStr">
        <is>
          <t>Ceramic</t>
        </is>
      </c>
      <c r="H203" s="1" t="inlineStr">
        <is>
          <t>Matt</t>
        </is>
      </c>
      <c r="I203" t="n">
        <v>22.99</v>
      </c>
    </row>
    <row r="204">
      <c r="A204" s="1">
        <f>Hyperlink("https://www.tilemountain.co.uk/p/clay-chequer-silver.html","Product")</f>
        <v/>
      </c>
      <c r="B204" s="1" t="inlineStr">
        <is>
          <t>454480</t>
        </is>
      </c>
      <c r="C204" s="1" t="inlineStr">
        <is>
          <t>Clay Chequer Silver Floor Tile</t>
        </is>
      </c>
      <c r="D204" s="1" t="n">
        <v>22.99</v>
      </c>
      <c r="E204" s="1" t="inlineStr">
        <is>
          <t>450x450mm</t>
        </is>
      </c>
      <c r="F204" s="1" t="inlineStr">
        <is>
          <t>m2</t>
        </is>
      </c>
      <c r="G204" s="1" t="inlineStr">
        <is>
          <t>Ceramic</t>
        </is>
      </c>
      <c r="H204" s="1" t="inlineStr">
        <is>
          <t>Matt</t>
        </is>
      </c>
      <c r="I204" t="n">
        <v>22.99</v>
      </c>
    </row>
    <row r="205">
      <c r="A205" s="1">
        <f>Hyperlink("https://www.tilemountain.co.uk/p/clay-cocoa.html","Product")</f>
        <v/>
      </c>
      <c r="B205" s="1" t="inlineStr">
        <is>
          <t>454460</t>
        </is>
      </c>
      <c r="C205" s="1" t="inlineStr">
        <is>
          <t>Clay Cocoa Wall Tile</t>
        </is>
      </c>
      <c r="D205" s="1" t="n">
        <v>26.99</v>
      </c>
      <c r="E205" s="1" t="inlineStr">
        <is>
          <t>400x200mm</t>
        </is>
      </c>
      <c r="F205" s="1" t="inlineStr">
        <is>
          <t>m2</t>
        </is>
      </c>
      <c r="G205" s="1" t="inlineStr">
        <is>
          <t>Ceramic</t>
        </is>
      </c>
      <c r="H205" s="1" t="inlineStr">
        <is>
          <t>Matt</t>
        </is>
      </c>
      <c r="I205" t="n">
        <v>26.99</v>
      </c>
    </row>
    <row r="206">
      <c r="A206" s="1">
        <f>Hyperlink("https://www.tilemountain.co.uk/p/clay-seal.html","Product")</f>
        <v/>
      </c>
      <c r="B206" s="1" t="inlineStr">
        <is>
          <t>454470</t>
        </is>
      </c>
      <c r="C206" s="1" t="inlineStr">
        <is>
          <t>Clay Seal Floor Tile</t>
        </is>
      </c>
      <c r="D206" s="1" t="n">
        <v>22.99</v>
      </c>
      <c r="E206" s="1" t="inlineStr">
        <is>
          <t>450x450mm</t>
        </is>
      </c>
      <c r="F206" s="1" t="inlineStr">
        <is>
          <t>m2</t>
        </is>
      </c>
      <c r="G206" s="1" t="inlineStr">
        <is>
          <t>Ceramic</t>
        </is>
      </c>
      <c r="H206" s="1" t="inlineStr">
        <is>
          <t>Matt</t>
        </is>
      </c>
      <c r="I206" t="n">
        <v>22.99</v>
      </c>
    </row>
    <row r="207">
      <c r="A207" s="1">
        <f>Hyperlink("https://www.tilemountain.co.uk/p/cleveland-oak.html","Product")</f>
        <v/>
      </c>
      <c r="B207" s="1" t="inlineStr">
        <is>
          <t>445330</t>
        </is>
      </c>
      <c r="C207" s="1" t="inlineStr">
        <is>
          <t>Cleveland Oak Luxury Vinyl Tiles</t>
        </is>
      </c>
      <c r="D207" s="1" t="n">
        <v>20.99</v>
      </c>
      <c r="E207" s="1" t="inlineStr">
        <is>
          <t>1316x191x4mm</t>
        </is>
      </c>
      <c r="F207" s="1" t="inlineStr">
        <is>
          <t>m2</t>
        </is>
      </c>
      <c r="G207" s="1" t="inlineStr">
        <is>
          <t>LVT</t>
        </is>
      </c>
      <c r="H207" s="1" t="inlineStr">
        <is>
          <t>Matt</t>
        </is>
      </c>
      <c r="I207" t="n">
        <v>20.99</v>
      </c>
    </row>
    <row r="208">
      <c r="A208" s="1">
        <f>Hyperlink("https://www.tilemountain.co.uk/p/cliff-beige_1.html","Product")</f>
        <v/>
      </c>
      <c r="B208" s="1" t="inlineStr">
        <is>
          <t>446840</t>
        </is>
      </c>
      <c r="C208" s="1" t="inlineStr">
        <is>
          <t>Cliff Grafite Grey Porcelain Wall And Floor Tiles</t>
        </is>
      </c>
      <c r="D208" s="1" t="n">
        <v>13.99</v>
      </c>
      <c r="E208" s="1" t="inlineStr">
        <is>
          <t>600x300mm</t>
        </is>
      </c>
      <c r="F208" s="1" t="inlineStr">
        <is>
          <t>m2</t>
        </is>
      </c>
      <c r="G208" s="1" t="inlineStr">
        <is>
          <t>Porcelain</t>
        </is>
      </c>
      <c r="H208" s="1" t="inlineStr">
        <is>
          <t>Matt</t>
        </is>
      </c>
      <c r="I208" t="n">
        <v>13.99</v>
      </c>
    </row>
    <row r="209">
      <c r="A209" s="1">
        <f>Hyperlink("https://www.tilemountain.co.uk/p/cliff-grafito_1.html","Product")</f>
        <v/>
      </c>
      <c r="B209" s="1" t="inlineStr">
        <is>
          <t>446845</t>
        </is>
      </c>
      <c r="C209" s="1" t="inlineStr">
        <is>
          <t>Cliff Grey Porcelain Wall And Floor Tiles</t>
        </is>
      </c>
      <c r="D209" s="1" t="n">
        <v>13.99</v>
      </c>
      <c r="E209" s="1" t="inlineStr">
        <is>
          <t>600x300mm</t>
        </is>
      </c>
      <c r="F209" s="1" t="inlineStr">
        <is>
          <t>m2</t>
        </is>
      </c>
      <c r="G209" s="1" t="inlineStr">
        <is>
          <t>Porcelain</t>
        </is>
      </c>
      <c r="H209" s="1" t="inlineStr">
        <is>
          <t>Matt</t>
        </is>
      </c>
      <c r="I209" t="n">
        <v>13.99</v>
      </c>
    </row>
    <row r="210">
      <c r="A210" s="1">
        <f>Hyperlink("https://www.tilemountain.co.uk/p/cliff-gris_1.html","Product")</f>
        <v/>
      </c>
      <c r="B210" s="1" t="inlineStr">
        <is>
          <t>446850</t>
        </is>
      </c>
      <c r="C210" s="1" t="inlineStr">
        <is>
          <t>Cliff Grey Decor Porcelain Wall Tile</t>
        </is>
      </c>
      <c r="D210" s="1" t="n">
        <v>13.99</v>
      </c>
      <c r="E210" s="1" t="inlineStr">
        <is>
          <t>600x300mm</t>
        </is>
      </c>
      <c r="F210" s="1" t="inlineStr">
        <is>
          <t>m2</t>
        </is>
      </c>
      <c r="G210" s="1" t="inlineStr">
        <is>
          <t>Porcelain</t>
        </is>
      </c>
      <c r="H210" s="1" t="inlineStr">
        <is>
          <t>Matt</t>
        </is>
      </c>
      <c r="I210" t="n">
        <v>13.99</v>
      </c>
    </row>
    <row r="211">
      <c r="A211" s="1">
        <f>Hyperlink("https://www.tilemountain.co.uk/p/coast-ondas-perla-gloss-wave-feature-wall-tile.html","Product")</f>
        <v/>
      </c>
      <c r="B211" s="1" t="inlineStr">
        <is>
          <t>448835</t>
        </is>
      </c>
      <c r="C211" s="1" t="inlineStr">
        <is>
          <t>Coast Ondas Perla Gloss Wave Feature Wall Tile</t>
        </is>
      </c>
      <c r="D211" s="1" t="n">
        <v>12.99</v>
      </c>
      <c r="E211" s="1" t="inlineStr">
        <is>
          <t>550x330mm</t>
        </is>
      </c>
      <c r="F211" s="1" t="inlineStr">
        <is>
          <t>m2</t>
        </is>
      </c>
      <c r="G211" s="1" t="inlineStr">
        <is>
          <t>Ceramic</t>
        </is>
      </c>
      <c r="H211" s="1" t="inlineStr">
        <is>
          <t>Gloss</t>
        </is>
      </c>
      <c r="I211" t="n">
        <v>12.99</v>
      </c>
    </row>
    <row r="212">
      <c r="A212" s="1">
        <f>Hyperlink("https://www.tilemountain.co.uk/p/coast-ondas-taupe-gloss-wave-feature-wall-tile.html","Product")</f>
        <v/>
      </c>
      <c r="B212" s="1" t="inlineStr">
        <is>
          <t>448855</t>
        </is>
      </c>
      <c r="C212" s="1" t="inlineStr">
        <is>
          <t>Coast Ondas Taupe Gloss Wave Feature Wall Tile</t>
        </is>
      </c>
      <c r="D212" s="1" t="n">
        <v>12.99</v>
      </c>
      <c r="E212" s="1" t="inlineStr">
        <is>
          <t>550x330mm</t>
        </is>
      </c>
      <c r="F212" s="1" t="inlineStr">
        <is>
          <t>m2</t>
        </is>
      </c>
      <c r="G212" s="1" t="inlineStr">
        <is>
          <t>Ceramic</t>
        </is>
      </c>
      <c r="H212" s="1" t="inlineStr">
        <is>
          <t>Gloss</t>
        </is>
      </c>
      <c r="I212" t="n">
        <v>12.99</v>
      </c>
    </row>
    <row r="213">
      <c r="A213" s="1">
        <f>Hyperlink("https://www.tilemountain.co.uk/p/coast-perla-gloss-floor-tile_1.html","Product")</f>
        <v/>
      </c>
      <c r="B213" s="1" t="inlineStr">
        <is>
          <t>448860</t>
        </is>
      </c>
      <c r="C213" s="1" t="inlineStr">
        <is>
          <t>Coast Perla Gloss Floor Tile</t>
        </is>
      </c>
      <c r="D213" s="1" t="n">
        <v>10.99</v>
      </c>
      <c r="E213" s="1" t="inlineStr">
        <is>
          <t>450x450mm</t>
        </is>
      </c>
      <c r="F213" s="1" t="inlineStr">
        <is>
          <t>m2</t>
        </is>
      </c>
      <c r="G213" s="1" t="inlineStr">
        <is>
          <t>Ceramic</t>
        </is>
      </c>
      <c r="H213" s="1" t="inlineStr">
        <is>
          <t>Gloss</t>
        </is>
      </c>
      <c r="I213" t="n">
        <v>10.99</v>
      </c>
    </row>
    <row r="214">
      <c r="A214" s="1">
        <f>Hyperlink("https://www.tilemountain.co.uk/p/coast-perla-gloss-wall-tile.html","Product")</f>
        <v/>
      </c>
      <c r="B214" s="1" t="inlineStr">
        <is>
          <t>448830</t>
        </is>
      </c>
      <c r="C214" s="1" t="inlineStr">
        <is>
          <t>Coast Perla Gloss Wall Tile</t>
        </is>
      </c>
      <c r="D214" s="1" t="n">
        <v>10.99</v>
      </c>
      <c r="E214" s="1" t="inlineStr">
        <is>
          <t>550x330mm</t>
        </is>
      </c>
      <c r="F214" s="1" t="inlineStr">
        <is>
          <t>m2</t>
        </is>
      </c>
      <c r="G214" s="1" t="inlineStr">
        <is>
          <t>Ceramic</t>
        </is>
      </c>
      <c r="H214" s="1" t="inlineStr">
        <is>
          <t>Gloss</t>
        </is>
      </c>
      <c r="I214" t="n">
        <v>10.99</v>
      </c>
    </row>
    <row r="215">
      <c r="A215" s="1">
        <f>Hyperlink("https://www.tilemountain.co.uk/p/coast-taupe-gloss-floor-tile.html","Product")</f>
        <v/>
      </c>
      <c r="B215" s="1" t="inlineStr">
        <is>
          <t>448870</t>
        </is>
      </c>
      <c r="C215" s="1" t="inlineStr">
        <is>
          <t>Coast Taupe Gloss Floor Tile</t>
        </is>
      </c>
      <c r="D215" s="1" t="n">
        <v>10.99</v>
      </c>
      <c r="E215" s="1" t="inlineStr">
        <is>
          <t>450x450mm</t>
        </is>
      </c>
      <c r="F215" s="1" t="inlineStr">
        <is>
          <t>m2</t>
        </is>
      </c>
      <c r="G215" s="1" t="inlineStr">
        <is>
          <t>Ceramic</t>
        </is>
      </c>
      <c r="H215" s="1" t="inlineStr">
        <is>
          <t>Gloss</t>
        </is>
      </c>
      <c r="I215" t="n">
        <v>10.99</v>
      </c>
    </row>
    <row r="216">
      <c r="A216" s="1">
        <f>Hyperlink("https://www.tilemountain.co.uk/p/coast-taupe-gloss-wall-tile.html","Product")</f>
        <v/>
      </c>
      <c r="B216" s="1" t="inlineStr">
        <is>
          <t>448850</t>
        </is>
      </c>
      <c r="C216" s="1" t="inlineStr">
        <is>
          <t>Coast Taupe Gloss Wall Tile</t>
        </is>
      </c>
      <c r="D216" s="1" t="n">
        <v>10.99</v>
      </c>
      <c r="E216" s="1" t="inlineStr">
        <is>
          <t>550x330mm</t>
        </is>
      </c>
      <c r="F216" s="1" t="inlineStr">
        <is>
          <t>m2</t>
        </is>
      </c>
      <c r="G216" s="1" t="inlineStr">
        <is>
          <t>Ceramic</t>
        </is>
      </c>
      <c r="H216" s="1" t="inlineStr">
        <is>
          <t>Gloss</t>
        </is>
      </c>
      <c r="I216" t="n">
        <v>10.99</v>
      </c>
    </row>
    <row r="217">
      <c r="A217" s="1">
        <f>Hyperlink("https://www.tilemountain.co.uk/p/coda-black-decor-tile.html","Product")</f>
        <v/>
      </c>
      <c r="B217" s="1" t="inlineStr">
        <is>
          <t>444355</t>
        </is>
      </c>
      <c r="C217" s="1" t="inlineStr">
        <is>
          <t>Coda Black Decor Tiles</t>
        </is>
      </c>
      <c r="D217" s="1" t="n">
        <v>21.99</v>
      </c>
      <c r="E217" s="1" t="inlineStr">
        <is>
          <t>310x560mm</t>
        </is>
      </c>
      <c r="F217" s="1" t="inlineStr">
        <is>
          <t>m2</t>
        </is>
      </c>
      <c r="G217" s="1" t="inlineStr">
        <is>
          <t>Porcelain</t>
        </is>
      </c>
      <c r="H217" s="1" t="inlineStr">
        <is>
          <t>Matt</t>
        </is>
      </c>
      <c r="I217" t="n">
        <v>21.99</v>
      </c>
    </row>
    <row r="218">
      <c r="A218" s="1">
        <f>Hyperlink("https://www.tilemountain.co.uk/p/coda-black-wall-and-floor-tile.html","Product")</f>
        <v/>
      </c>
      <c r="B218" s="1" t="inlineStr">
        <is>
          <t>444340</t>
        </is>
      </c>
      <c r="C218" s="1" t="inlineStr">
        <is>
          <t>Coda Black Wall And Floor Tiles</t>
        </is>
      </c>
      <c r="D218" s="1" t="n">
        <v>18.99</v>
      </c>
      <c r="E218" s="1" t="inlineStr">
        <is>
          <t>310x560mm</t>
        </is>
      </c>
      <c r="F218" s="1" t="inlineStr">
        <is>
          <t>m2</t>
        </is>
      </c>
      <c r="G218" s="1" t="inlineStr">
        <is>
          <t>Porcelain</t>
        </is>
      </c>
      <c r="H218" s="1" t="inlineStr">
        <is>
          <t>Matt</t>
        </is>
      </c>
      <c r="I218" t="n">
        <v>18.99</v>
      </c>
    </row>
    <row r="219">
      <c r="A219" s="1">
        <f>Hyperlink("https://www.tilemountain.co.uk/p/coda-grey-decor-tile.html","Product")</f>
        <v/>
      </c>
      <c r="B219" s="1" t="inlineStr">
        <is>
          <t>444350</t>
        </is>
      </c>
      <c r="C219" s="1" t="inlineStr">
        <is>
          <t>Coda Grey Decor Tiles</t>
        </is>
      </c>
      <c r="D219" s="1" t="n">
        <v>21.99</v>
      </c>
      <c r="E219" s="1" t="inlineStr">
        <is>
          <t>310x560mm</t>
        </is>
      </c>
      <c r="F219" s="1" t="inlineStr">
        <is>
          <t>m2</t>
        </is>
      </c>
      <c r="G219" s="1" t="inlineStr">
        <is>
          <t>Porcelain</t>
        </is>
      </c>
      <c r="H219" s="1" t="inlineStr">
        <is>
          <t>Matt</t>
        </is>
      </c>
      <c r="I219" t="n">
        <v>21.99</v>
      </c>
    </row>
    <row r="220">
      <c r="A220" s="1">
        <f>Hyperlink("https://www.tilemountain.co.uk/p/coda-grey-wall-and-floor-tile.html","Product")</f>
        <v/>
      </c>
      <c r="B220" s="1" t="inlineStr">
        <is>
          <t>444335</t>
        </is>
      </c>
      <c r="C220" s="1" t="inlineStr">
        <is>
          <t>Coda Grey Wall And Floor Tiles</t>
        </is>
      </c>
      <c r="D220" s="1" t="n">
        <v>18.99</v>
      </c>
      <c r="E220" s="1" t="inlineStr">
        <is>
          <t>310x560mm</t>
        </is>
      </c>
      <c r="F220" s="1" t="inlineStr">
        <is>
          <t>m2</t>
        </is>
      </c>
      <c r="G220" s="1" t="inlineStr">
        <is>
          <t>Porcelain</t>
        </is>
      </c>
      <c r="H220" s="1" t="inlineStr">
        <is>
          <t>Matt</t>
        </is>
      </c>
      <c r="I220" t="n">
        <v>18.99</v>
      </c>
    </row>
    <row r="221">
      <c r="A221" s="1">
        <f>Hyperlink("https://www.tilemountain.co.uk/p/coda-ivory-wall-and-floor-tile.html","Product")</f>
        <v/>
      </c>
      <c r="B221" s="1" t="inlineStr">
        <is>
          <t>444330</t>
        </is>
      </c>
      <c r="C221" s="1" t="inlineStr">
        <is>
          <t>Coda Ivory Wall And Floor Tiles</t>
        </is>
      </c>
      <c r="D221" s="1" t="n">
        <v>18.99</v>
      </c>
      <c r="E221" s="1" t="inlineStr">
        <is>
          <t>310x560mm</t>
        </is>
      </c>
      <c r="F221" s="1" t="inlineStr">
        <is>
          <t>m2</t>
        </is>
      </c>
      <c r="G221" s="1" t="inlineStr">
        <is>
          <t>Porcelain</t>
        </is>
      </c>
      <c r="H221" s="1" t="inlineStr">
        <is>
          <t>Matt</t>
        </is>
      </c>
      <c r="I221" t="n">
        <v>18.99</v>
      </c>
    </row>
    <row r="222">
      <c r="A222" s="1">
        <f>Hyperlink("https://www.tilemountain.co.uk/p/coda-steel-decor-tile.html","Product")</f>
        <v/>
      </c>
      <c r="B222" s="1" t="inlineStr">
        <is>
          <t>446635</t>
        </is>
      </c>
      <c r="C222" s="1" t="inlineStr">
        <is>
          <t>Coda Steel Decor Tiles</t>
        </is>
      </c>
      <c r="D222" s="1" t="n">
        <v>21.99</v>
      </c>
      <c r="E222" s="1" t="inlineStr">
        <is>
          <t>560x310mm</t>
        </is>
      </c>
      <c r="F222" s="1" t="inlineStr">
        <is>
          <t>m2</t>
        </is>
      </c>
      <c r="G222" s="1" t="inlineStr">
        <is>
          <t>-</t>
        </is>
      </c>
      <c r="H222" s="1" t="inlineStr">
        <is>
          <t>-</t>
        </is>
      </c>
      <c r="I222" t="n">
        <v>21.99</v>
      </c>
    </row>
    <row r="223">
      <c r="A223" s="1">
        <f>Hyperlink("https://www.tilemountain.co.uk/p/colorado-oak-3823.html","Product")</f>
        <v/>
      </c>
      <c r="B223" s="1" t="inlineStr">
        <is>
          <t>445345</t>
        </is>
      </c>
      <c r="C223" s="1" t="inlineStr">
        <is>
          <t>Colorado Oak Luxury Vinyl Tiles</t>
        </is>
      </c>
      <c r="D223" s="1" t="n">
        <v>20.99</v>
      </c>
      <c r="E223" s="1" t="inlineStr">
        <is>
          <t>1316x191x4mm</t>
        </is>
      </c>
      <c r="F223" s="1" t="inlineStr">
        <is>
          <t>m2</t>
        </is>
      </c>
      <c r="G223" s="1" t="inlineStr">
        <is>
          <t>LVT</t>
        </is>
      </c>
      <c r="H223" s="1" t="inlineStr">
        <is>
          <t>Matt</t>
        </is>
      </c>
      <c r="I223" t="n">
        <v>20.99</v>
      </c>
    </row>
    <row r="224">
      <c r="A224" s="1">
        <f>Hyperlink("https://www.tilemountain.co.uk/p/comet-grey-square-stone-mosaic.html","Product")</f>
        <v/>
      </c>
      <c r="B224" s="1" t="inlineStr">
        <is>
          <t>450040</t>
        </is>
      </c>
      <c r="C224" s="1" t="inlineStr">
        <is>
          <t>Comet Grey Square Stone Mosaic 300x300</t>
        </is>
      </c>
      <c r="D224" s="1" t="n">
        <v>15.49</v>
      </c>
      <c r="E224" s="1" t="inlineStr">
        <is>
          <t>300x300mm</t>
        </is>
      </c>
      <c r="F224" s="1" t="inlineStr">
        <is>
          <t>sheet</t>
        </is>
      </c>
      <c r="G224" s="1" t="inlineStr">
        <is>
          <t>Stone</t>
        </is>
      </c>
      <c r="H224" s="1" t="inlineStr">
        <is>
          <t>Gloss</t>
        </is>
      </c>
      <c r="I224" t="n">
        <v>15.49</v>
      </c>
    </row>
    <row r="225">
      <c r="A225" s="1">
        <f>Hyperlink("https://www.tilemountain.co.uk/p/comet-rose-square-stone-mosaic.html","Product")</f>
        <v/>
      </c>
      <c r="B225" s="1" t="inlineStr">
        <is>
          <t>450045</t>
        </is>
      </c>
      <c r="C225" s="1" t="inlineStr">
        <is>
          <t>Comet Rose Square Stone Mosaic 300x300</t>
        </is>
      </c>
      <c r="D225" s="1" t="n">
        <v>15.49</v>
      </c>
      <c r="E225" s="1" t="inlineStr">
        <is>
          <t>300x300mm</t>
        </is>
      </c>
      <c r="F225" s="1" t="inlineStr">
        <is>
          <t>sheet</t>
        </is>
      </c>
      <c r="G225" s="1" t="inlineStr">
        <is>
          <t>Stone</t>
        </is>
      </c>
      <c r="H225" s="1" t="inlineStr">
        <is>
          <t>Gloss</t>
        </is>
      </c>
      <c r="I225" t="n">
        <v>15.49</v>
      </c>
    </row>
    <row r="226">
      <c r="A226" s="1">
        <f>Hyperlink("https://www.tilemountain.co.uk/p/comet-white-square-stone-mosaic.html","Product")</f>
        <v/>
      </c>
      <c r="B226" s="1" t="inlineStr">
        <is>
          <t>450050</t>
        </is>
      </c>
      <c r="C226" s="1" t="inlineStr">
        <is>
          <t>Comet White Square Stone Mosaic 300x300</t>
        </is>
      </c>
      <c r="D226" s="1" t="n">
        <v>15.49</v>
      </c>
      <c r="E226" s="1" t="inlineStr">
        <is>
          <t>300x300mm</t>
        </is>
      </c>
      <c r="F226" s="1" t="inlineStr">
        <is>
          <t>sheet</t>
        </is>
      </c>
      <c r="G226" s="1" t="inlineStr">
        <is>
          <t>Stone</t>
        </is>
      </c>
      <c r="H226" s="1" t="inlineStr">
        <is>
          <t>Gloss</t>
        </is>
      </c>
      <c r="I226" t="n">
        <v>15.49</v>
      </c>
    </row>
    <row r="227">
      <c r="A227" s="1">
        <f>Hyperlink("https://www.tilemountain.co.uk/p/comfort-grip-tile-nippers.html","Product")</f>
        <v/>
      </c>
      <c r="B227" s="1" t="inlineStr">
        <is>
          <t>434200</t>
        </is>
      </c>
      <c r="C227" s="1" t="inlineStr">
        <is>
          <t>Comfort Grip Tile Nippers</t>
        </is>
      </c>
      <c r="D227" s="1" t="n">
        <v>13.99</v>
      </c>
      <c r="E227" s="1" t="inlineStr">
        <is>
          <t>-</t>
        </is>
      </c>
      <c r="F227" s="1" t="inlineStr">
        <is>
          <t>Qty</t>
        </is>
      </c>
      <c r="G227" s="1" t="inlineStr">
        <is>
          <t>-</t>
        </is>
      </c>
      <c r="H227" s="1" t="inlineStr">
        <is>
          <t>-</t>
        </is>
      </c>
      <c r="I227" t="n">
        <v>13.99</v>
      </c>
    </row>
    <row r="228">
      <c r="A228" s="1">
        <f>Hyperlink("https://www.tilemountain.co.uk/p/concrete-black-decor-tile.html","Product")</f>
        <v/>
      </c>
      <c r="B228" s="1" t="inlineStr">
        <is>
          <t>446515</t>
        </is>
      </c>
      <c r="C228" s="1" t="inlineStr">
        <is>
          <t>Concretia Grey Decor Outdoor Slab Tiles</t>
        </is>
      </c>
      <c r="D228" s="1" t="n">
        <v>42.99</v>
      </c>
      <c r="E228" s="1" t="inlineStr">
        <is>
          <t>600x600mm</t>
        </is>
      </c>
      <c r="F228" s="1" t="inlineStr">
        <is>
          <t>m2</t>
        </is>
      </c>
      <c r="G228" s="1" t="inlineStr">
        <is>
          <t>Porcelain</t>
        </is>
      </c>
      <c r="H228" s="1" t="inlineStr">
        <is>
          <t>Matt</t>
        </is>
      </c>
      <c r="I228" t="n">
        <v>42.99</v>
      </c>
    </row>
    <row r="229">
      <c r="A229" s="1">
        <f>Hyperlink("https://www.tilemountain.co.uk/p/concrete-black.html","Product")</f>
        <v/>
      </c>
      <c r="B229" s="1" t="inlineStr">
        <is>
          <t>446500</t>
        </is>
      </c>
      <c r="C229" s="1" t="inlineStr">
        <is>
          <t>Concretia Black Outdoor Slab Tiles</t>
        </is>
      </c>
      <c r="D229" s="1" t="n">
        <v>39.99</v>
      </c>
      <c r="E229" s="1" t="inlineStr">
        <is>
          <t>600x600mm</t>
        </is>
      </c>
      <c r="F229" s="1" t="inlineStr">
        <is>
          <t>m2</t>
        </is>
      </c>
      <c r="G229" s="1" t="inlineStr">
        <is>
          <t>Porcelain</t>
        </is>
      </c>
      <c r="H229" s="1" t="inlineStr">
        <is>
          <t>Matt</t>
        </is>
      </c>
      <c r="I229" t="n">
        <v>39.99</v>
      </c>
    </row>
    <row r="230">
      <c r="A230" s="1">
        <f>Hyperlink("https://www.tilemountain.co.uk/p/concrete-grey-decor-tile.html","Product")</f>
        <v/>
      </c>
      <c r="B230" s="1" t="inlineStr">
        <is>
          <t>446510</t>
        </is>
      </c>
      <c r="C230" s="1" t="inlineStr">
        <is>
          <t>Concretia Black Decor Outdoor Slab Tiles</t>
        </is>
      </c>
      <c r="D230" s="1" t="n">
        <v>42.99</v>
      </c>
      <c r="E230" s="1" t="inlineStr">
        <is>
          <t>600x600mm</t>
        </is>
      </c>
      <c r="F230" s="1" t="inlineStr">
        <is>
          <t>m2</t>
        </is>
      </c>
      <c r="G230" s="1" t="inlineStr">
        <is>
          <t>Porcelain</t>
        </is>
      </c>
      <c r="H230" s="1" t="inlineStr">
        <is>
          <t>Matt</t>
        </is>
      </c>
      <c r="I230" t="n">
        <v>42.99</v>
      </c>
    </row>
    <row r="231">
      <c r="A231" s="1">
        <f>Hyperlink("https://www.tilemountain.co.uk/p/concrete-grey.html","Product")</f>
        <v/>
      </c>
      <c r="B231" s="1" t="inlineStr">
        <is>
          <t>446495</t>
        </is>
      </c>
      <c r="C231" s="1" t="inlineStr">
        <is>
          <t>Concretia Grey Outdoor Slab Tiles</t>
        </is>
      </c>
      <c r="D231" s="1" t="n">
        <v>39.99</v>
      </c>
      <c r="E231" s="1" t="inlineStr">
        <is>
          <t>600x600mm</t>
        </is>
      </c>
      <c r="F231" s="1" t="inlineStr">
        <is>
          <t>m2</t>
        </is>
      </c>
      <c r="G231" s="1" t="inlineStr">
        <is>
          <t>Porcelain</t>
        </is>
      </c>
      <c r="H231" s="1" t="inlineStr">
        <is>
          <t>Matt</t>
        </is>
      </c>
      <c r="I231" t="n">
        <v>39.99</v>
      </c>
    </row>
    <row r="232">
      <c r="A232" s="1">
        <f>Hyperlink("https://www.tilemountain.co.uk/p/concrete-project-conproj-36dg.html","Product")</f>
        <v/>
      </c>
      <c r="B232" s="1" t="inlineStr">
        <is>
          <t>441600</t>
        </is>
      </c>
      <c r="C232" s="1" t="inlineStr">
        <is>
          <t>Concrete Dark Grey Matt Floor Tiles</t>
        </is>
      </c>
      <c r="D232" s="1" t="n">
        <v>36.99</v>
      </c>
      <c r="E232" s="1" t="inlineStr">
        <is>
          <t>600x300mm</t>
        </is>
      </c>
      <c r="F232" s="1" t="inlineStr">
        <is>
          <t>m2</t>
        </is>
      </c>
      <c r="G232" s="1" t="inlineStr">
        <is>
          <t>Porcelain</t>
        </is>
      </c>
      <c r="H232" s="1" t="inlineStr">
        <is>
          <t>Matt</t>
        </is>
      </c>
      <c r="I232" t="n">
        <v>36.99</v>
      </c>
    </row>
    <row r="233">
      <c r="A233" s="1">
        <f>Hyperlink("https://www.tilemountain.co.uk/p/concrete-project-conproj-36g.html","Product")</f>
        <v/>
      </c>
      <c r="B233" s="1" t="inlineStr">
        <is>
          <t>441605</t>
        </is>
      </c>
      <c r="C233" s="1" t="inlineStr">
        <is>
          <t>Concrete Grey Matt Floor Tiles</t>
        </is>
      </c>
      <c r="D233" s="1" t="n">
        <v>36.99</v>
      </c>
      <c r="E233" s="1" t="inlineStr">
        <is>
          <t>600x300mm</t>
        </is>
      </c>
      <c r="F233" s="1" t="inlineStr">
        <is>
          <t>m2</t>
        </is>
      </c>
      <c r="G233" s="1" t="inlineStr">
        <is>
          <t>Porcelain</t>
        </is>
      </c>
      <c r="H233" s="1" t="inlineStr">
        <is>
          <t>Matt</t>
        </is>
      </c>
      <c r="I233" t="n">
        <v>36.99</v>
      </c>
    </row>
    <row r="234">
      <c r="A234" s="1">
        <f>Hyperlink("https://www.tilemountain.co.uk/p/concrete-project-conproj-60dg.html","Product")</f>
        <v/>
      </c>
      <c r="B234" s="1" t="inlineStr">
        <is>
          <t>441510</t>
        </is>
      </c>
      <c r="C234" s="1" t="inlineStr">
        <is>
          <t>Concrete Dark Grey Matt Floor Tiles</t>
        </is>
      </c>
      <c r="D234" s="1" t="n">
        <v>39.99</v>
      </c>
      <c r="E234" s="1" t="inlineStr">
        <is>
          <t>600x600mm</t>
        </is>
      </c>
      <c r="F234" s="1" t="inlineStr">
        <is>
          <t>m2</t>
        </is>
      </c>
      <c r="G234" s="1" t="inlineStr">
        <is>
          <t>Porcelain</t>
        </is>
      </c>
      <c r="H234" s="1" t="inlineStr">
        <is>
          <t>Matt</t>
        </is>
      </c>
      <c r="I234" t="n">
        <v>39.99</v>
      </c>
    </row>
    <row r="235">
      <c r="A235" s="1">
        <f>Hyperlink("https://www.tilemountain.co.uk/p/concrete-project-conproj-60g.html","Product")</f>
        <v/>
      </c>
      <c r="B235" s="1" t="inlineStr">
        <is>
          <t>441515</t>
        </is>
      </c>
      <c r="C235" s="1" t="inlineStr">
        <is>
          <t>Concrete Grey Matt Floor Tiles</t>
        </is>
      </c>
      <c r="D235" s="1" t="n">
        <v>39.99</v>
      </c>
      <c r="E235" s="1" t="inlineStr">
        <is>
          <t>600x600mm</t>
        </is>
      </c>
      <c r="F235" s="1" t="inlineStr">
        <is>
          <t>m2</t>
        </is>
      </c>
      <c r="G235" s="1" t="inlineStr">
        <is>
          <t>Porcelain</t>
        </is>
      </c>
      <c r="H235" s="1" t="inlineStr">
        <is>
          <t>Matt</t>
        </is>
      </c>
      <c r="I235" t="n">
        <v>39.99</v>
      </c>
    </row>
    <row r="236">
      <c r="A236" s="1">
        <f>Hyperlink("https://www.tilemountain.co.uk/p/concrete-white-decor-tile.html","Product")</f>
        <v/>
      </c>
      <c r="B236" s="1" t="inlineStr">
        <is>
          <t>446505</t>
        </is>
      </c>
      <c r="C236" s="1" t="inlineStr">
        <is>
          <t>Concretia White Decor Outdoor Slab Tiles</t>
        </is>
      </c>
      <c r="D236" s="1" t="n">
        <v>42.99</v>
      </c>
      <c r="E236" s="1" t="inlineStr">
        <is>
          <t>600x600mm</t>
        </is>
      </c>
      <c r="F236" s="1" t="inlineStr">
        <is>
          <t>m2</t>
        </is>
      </c>
      <c r="G236" s="1" t="inlineStr">
        <is>
          <t>Porcelain</t>
        </is>
      </c>
      <c r="H236" s="1" t="inlineStr">
        <is>
          <t>Matt</t>
        </is>
      </c>
      <c r="I236" t="n">
        <v>42.99</v>
      </c>
    </row>
    <row r="237">
      <c r="A237" s="1">
        <f>Hyperlink("https://www.tilemountain.co.uk/p/contemporary-wood-classic-wall-floor-tile-22-5x120cm.html","Product")</f>
        <v/>
      </c>
      <c r="B237" s="1" t="inlineStr">
        <is>
          <t>300410</t>
        </is>
      </c>
      <c r="C237" s="1" t="inlineStr">
        <is>
          <t>Contemporary Wood Classic Wall &amp; Floor Tiles</t>
        </is>
      </c>
      <c r="D237" s="1" t="n">
        <v>23</v>
      </c>
      <c r="E237" s="1" t="inlineStr">
        <is>
          <t>1200x225mm</t>
        </is>
      </c>
      <c r="F237" s="1" t="inlineStr">
        <is>
          <t>m2</t>
        </is>
      </c>
      <c r="G237" s="1" t="inlineStr">
        <is>
          <t>Porcelain</t>
        </is>
      </c>
      <c r="H237" s="1" t="inlineStr">
        <is>
          <t>Matt</t>
        </is>
      </c>
      <c r="I237" t="n">
        <v>23</v>
      </c>
    </row>
    <row r="238">
      <c r="A238" s="1">
        <f>Hyperlink("https://www.tilemountain.co.uk/p/coolwood-grey-wood-effect-rectified-porcelain-tile.html","Product")</f>
        <v/>
      </c>
      <c r="B238" s="1" t="inlineStr">
        <is>
          <t>449785</t>
        </is>
      </c>
      <c r="C238" s="1" t="inlineStr">
        <is>
          <t>Coolwood Grey Wood Effect Rectified Porcelain Floor Tile</t>
        </is>
      </c>
      <c r="D238" s="1" t="n">
        <v>17.99</v>
      </c>
      <c r="E238" s="1" t="inlineStr">
        <is>
          <t>1200x230mm</t>
        </is>
      </c>
      <c r="F238" s="1" t="inlineStr">
        <is>
          <t>m2</t>
        </is>
      </c>
      <c r="G238" s="1" t="inlineStr">
        <is>
          <t>Porcelain</t>
        </is>
      </c>
      <c r="H238" s="1" t="inlineStr">
        <is>
          <t>Matt</t>
        </is>
      </c>
      <c r="I238" t="n">
        <v>17.99</v>
      </c>
    </row>
    <row r="239">
      <c r="A239" s="1">
        <f>Hyperlink("https://www.tilemountain.co.uk/p/coolwood-natural-wood-effect-rectified-porcelain-tile.html","Product")</f>
        <v/>
      </c>
      <c r="B239" s="1" t="inlineStr">
        <is>
          <t>449790</t>
        </is>
      </c>
      <c r="C239" s="1" t="inlineStr">
        <is>
          <t>Coolwood Natural Wood Effect Rectified Porcelain Floor Tile</t>
        </is>
      </c>
      <c r="D239" s="1" t="n">
        <v>17.99</v>
      </c>
      <c r="E239" s="1" t="inlineStr">
        <is>
          <t>1200x230mm</t>
        </is>
      </c>
      <c r="F239" s="1" t="inlineStr">
        <is>
          <t>m2</t>
        </is>
      </c>
      <c r="G239" s="1" t="inlineStr">
        <is>
          <t>Porcelain</t>
        </is>
      </c>
      <c r="H239" s="1" t="inlineStr">
        <is>
          <t>Matt</t>
        </is>
      </c>
      <c r="I239" t="n">
        <v>17.99</v>
      </c>
    </row>
    <row r="240">
      <c r="A240" s="1">
        <f>Hyperlink("https://www.tilemountain.co.uk/p/country-honey-floor-tile.html","Product")</f>
        <v/>
      </c>
      <c r="B240" s="1" t="inlineStr">
        <is>
          <t>435315</t>
        </is>
      </c>
      <c r="C240" s="1" t="inlineStr">
        <is>
          <t>Country Honey Wood Effect Wall and Floor Tiles</t>
        </is>
      </c>
      <c r="D240" s="1" t="n">
        <v>20.99</v>
      </c>
      <c r="E240" s="1" t="inlineStr">
        <is>
          <t>900x147mm</t>
        </is>
      </c>
      <c r="F240" s="1" t="inlineStr">
        <is>
          <t>m2</t>
        </is>
      </c>
      <c r="G240" s="1" t="inlineStr">
        <is>
          <t>Porcelain</t>
        </is>
      </c>
      <c r="H240" s="1" t="inlineStr">
        <is>
          <t>Matt</t>
        </is>
      </c>
      <c r="I240" t="n">
        <v>20.99</v>
      </c>
    </row>
    <row r="241">
      <c r="A241" s="1">
        <f>Hyperlink("https://www.tilemountain.co.uk/p/crackle-biscuit-liso-gloss-cream-75x150.html","Product")</f>
        <v/>
      </c>
      <c r="B241" s="1" t="inlineStr">
        <is>
          <t>449630</t>
        </is>
      </c>
      <c r="C241" s="1" t="inlineStr">
        <is>
          <t>Crackle Biscuit Liso Gloss Cream</t>
        </is>
      </c>
      <c r="D241" s="1" t="n">
        <v>32.89</v>
      </c>
      <c r="E241" s="1" t="inlineStr">
        <is>
          <t>150x75mm</t>
        </is>
      </c>
      <c r="F241" s="1" t="inlineStr">
        <is>
          <t>m2</t>
        </is>
      </c>
      <c r="G241" s="1" t="inlineStr">
        <is>
          <t>Ceramic</t>
        </is>
      </c>
      <c r="H241" s="1" t="inlineStr">
        <is>
          <t>Gloss</t>
        </is>
      </c>
      <c r="I241" t="n">
        <v>32.89</v>
      </c>
    </row>
    <row r="242">
      <c r="A242" s="1">
        <f>Hyperlink("https://www.tilemountain.co.uk/p/crackle-glaze-abbey-road-wall-floor-tiles-7-5x15cm.html","Product")</f>
        <v/>
      </c>
      <c r="B242" s="1" t="inlineStr">
        <is>
          <t>200785</t>
        </is>
      </c>
      <c r="C242" s="1" t="inlineStr">
        <is>
          <t>Crackle Glaze Abbey Road Wall Tiles</t>
        </is>
      </c>
      <c r="D242" s="1" t="n">
        <v>34.67</v>
      </c>
      <c r="E242" s="1" t="inlineStr">
        <is>
          <t>150x75mm</t>
        </is>
      </c>
      <c r="F242" s="1" t="inlineStr">
        <is>
          <t>m2</t>
        </is>
      </c>
      <c r="G242" s="1" t="inlineStr">
        <is>
          <t>Ceramic</t>
        </is>
      </c>
      <c r="H242" s="1" t="inlineStr">
        <is>
          <t>Gloss</t>
        </is>
      </c>
      <c r="I242" t="n">
        <v>34.67</v>
      </c>
    </row>
    <row r="243">
      <c r="A243" s="1">
        <f>Hyperlink("https://www.tilemountain.co.uk/p/crackle-glaze-camberwell-wall-tiles-7-5x15cm.html","Product")</f>
        <v/>
      </c>
      <c r="B243" s="1" t="inlineStr">
        <is>
          <t>200790</t>
        </is>
      </c>
      <c r="C243" s="1" t="inlineStr">
        <is>
          <t>Crackle Glaze Camberwell Wall Tiles</t>
        </is>
      </c>
      <c r="D243" s="1" t="n">
        <v>34.67</v>
      </c>
      <c r="E243" s="1" t="inlineStr">
        <is>
          <t>150x75mm</t>
        </is>
      </c>
      <c r="F243" s="1" t="inlineStr">
        <is>
          <t>m2</t>
        </is>
      </c>
      <c r="G243" s="1" t="inlineStr">
        <is>
          <t>Ceramic</t>
        </is>
      </c>
      <c r="H243" s="1" t="inlineStr">
        <is>
          <t>Gloss</t>
        </is>
      </c>
      <c r="I243" t="n">
        <v>34.67</v>
      </c>
    </row>
    <row r="244">
      <c r="A244" s="1">
        <f>Hyperlink("https://www.tilemountain.co.uk/p/crackle-glaze-greenwich-park-subway-wall-tiles-7-5x15cm.html","Product")</f>
        <v/>
      </c>
      <c r="B244" s="1" t="inlineStr">
        <is>
          <t>1000340</t>
        </is>
      </c>
      <c r="C244" s="1" t="inlineStr">
        <is>
          <t>Crackle Glaze Greenwich Park subway Wall Tiles</t>
        </is>
      </c>
      <c r="D244" s="1" t="n">
        <v>51.56</v>
      </c>
      <c r="E244" s="1" t="inlineStr">
        <is>
          <t>150x75mm</t>
        </is>
      </c>
      <c r="F244" s="1" t="inlineStr">
        <is>
          <t>m2</t>
        </is>
      </c>
      <c r="G244" s="1" t="inlineStr">
        <is>
          <t>Ceramic</t>
        </is>
      </c>
      <c r="H244" s="1" t="inlineStr">
        <is>
          <t>Gloss</t>
        </is>
      </c>
      <c r="I244" t="n">
        <v>51.56</v>
      </c>
    </row>
    <row r="245">
      <c r="A245" s="1">
        <f>Hyperlink("https://www.tilemountain.co.uk/p/crackle-glaze-hyde-park-green-subway-wall-tiles-7-5x15cm_1.html","Product")</f>
        <v/>
      </c>
      <c r="B245" s="1" t="inlineStr">
        <is>
          <t>1000360</t>
        </is>
      </c>
      <c r="C245" s="1" t="inlineStr">
        <is>
          <t>Crackle Glaze Hyde Park Green subway Wall Tiles</t>
        </is>
      </c>
      <c r="D245" s="1" t="n">
        <v>42.99</v>
      </c>
      <c r="E245" s="1" t="inlineStr">
        <is>
          <t>150x75mm</t>
        </is>
      </c>
      <c r="F245" s="1" t="inlineStr">
        <is>
          <t>m2</t>
        </is>
      </c>
      <c r="G245" s="1" t="inlineStr">
        <is>
          <t>Ceramic</t>
        </is>
      </c>
      <c r="H245" s="1" t="inlineStr">
        <is>
          <t>Gloss</t>
        </is>
      </c>
      <c r="I245" t="n">
        <v>42.99</v>
      </c>
    </row>
    <row r="246">
      <c r="A246" s="1">
        <f>Hyperlink("https://www.tilemountain.co.uk/p/crackle-glaze-maida-vale-xl-wall-tiles-10x30cm.html","Product")</f>
        <v/>
      </c>
      <c r="B246" s="1" t="inlineStr">
        <is>
          <t>1006410</t>
        </is>
      </c>
      <c r="C246" s="1" t="inlineStr">
        <is>
          <t>Crackle Glaze Maida Vale XL Wall Tiles</t>
        </is>
      </c>
      <c r="D246" s="1" t="n">
        <v>45</v>
      </c>
      <c r="E246" s="1" t="inlineStr">
        <is>
          <t>300x100mm</t>
        </is>
      </c>
      <c r="F246" s="1" t="inlineStr">
        <is>
          <t>m2</t>
        </is>
      </c>
      <c r="G246" s="1" t="inlineStr">
        <is>
          <t>Ceramic</t>
        </is>
      </c>
      <c r="H246" s="1" t="inlineStr">
        <is>
          <t>Gloss</t>
        </is>
      </c>
      <c r="I246" t="n">
        <v>45</v>
      </c>
    </row>
    <row r="247">
      <c r="A247" s="1">
        <f>Hyperlink("https://www.tilemountain.co.uk/p/crackle-glaze-peacock-subway-wall-tiles-7-5x15cm.html","Product")</f>
        <v/>
      </c>
      <c r="B247" s="1" t="inlineStr">
        <is>
          <t>1008175</t>
        </is>
      </c>
      <c r="C247" s="1" t="inlineStr">
        <is>
          <t>Crackle Glaze Peacock Subway Wall Tiles</t>
        </is>
      </c>
      <c r="D247" s="1" t="n">
        <v>51.56</v>
      </c>
      <c r="E247" s="1" t="inlineStr">
        <is>
          <t>150x75mm</t>
        </is>
      </c>
      <c r="F247" s="1" t="inlineStr">
        <is>
          <t>m2</t>
        </is>
      </c>
      <c r="G247" s="1" t="inlineStr">
        <is>
          <t>Ceramic</t>
        </is>
      </c>
      <c r="H247" s="1" t="inlineStr">
        <is>
          <t>Gloss</t>
        </is>
      </c>
      <c r="I247" t="n">
        <v>51.56</v>
      </c>
    </row>
    <row r="248">
      <c r="A248" s="1">
        <f>Hyperlink("https://www.tilemountain.co.uk/p/crackle-glaze-snow-subway-wall-tiles-7-5x15cm.html","Product")</f>
        <v/>
      </c>
      <c r="B248" s="1" t="inlineStr">
        <is>
          <t>1008245</t>
        </is>
      </c>
      <c r="C248" s="1" t="inlineStr">
        <is>
          <t>Crackle Glaze Snow Subway Wall Tiles</t>
        </is>
      </c>
      <c r="D248" s="1" t="n">
        <v>34.67</v>
      </c>
      <c r="E248" s="1" t="inlineStr">
        <is>
          <t>150x75mm</t>
        </is>
      </c>
      <c r="F248" s="1" t="inlineStr">
        <is>
          <t>m2</t>
        </is>
      </c>
      <c r="G248" s="1" t="inlineStr">
        <is>
          <t>Ceramic</t>
        </is>
      </c>
      <c r="H248" s="1" t="inlineStr">
        <is>
          <t>Gloss</t>
        </is>
      </c>
      <c r="I248" t="n">
        <v>34.67</v>
      </c>
    </row>
    <row r="249">
      <c r="A249" s="1">
        <f>Hyperlink("https://www.tilemountain.co.uk/p/crackle-glaze-white-chapel-subway-wall-tiles-7-5x15cm.html","Product")</f>
        <v/>
      </c>
      <c r="B249" s="1" t="inlineStr">
        <is>
          <t>1000390</t>
        </is>
      </c>
      <c r="C249" s="1" t="inlineStr">
        <is>
          <t>Crackle Glaze White Chapel subway Wall Tiles</t>
        </is>
      </c>
      <c r="D249" s="1" t="n">
        <v>51.56</v>
      </c>
      <c r="E249" s="1" t="inlineStr">
        <is>
          <t>150x75mm</t>
        </is>
      </c>
      <c r="F249" s="1" t="inlineStr">
        <is>
          <t>m2</t>
        </is>
      </c>
      <c r="G249" s="1" t="inlineStr">
        <is>
          <t>Ceramic</t>
        </is>
      </c>
      <c r="H249" s="1" t="inlineStr">
        <is>
          <t>Gloss</t>
        </is>
      </c>
      <c r="I249" t="n">
        <v>51.56</v>
      </c>
    </row>
    <row r="250">
      <c r="A250" s="1">
        <f>Hyperlink("https://www.tilemountain.co.uk/p/crackle-glaze-white-chapel-xl-wall-tile-10x30cm_1.html","Product")</f>
        <v/>
      </c>
      <c r="B250" s="1" t="inlineStr">
        <is>
          <t>1006405</t>
        </is>
      </c>
      <c r="C250" s="1" t="inlineStr">
        <is>
          <t>Crackle Glaze White Chapel XL Wall Tiles</t>
        </is>
      </c>
      <c r="D250" s="1" t="n">
        <v>48</v>
      </c>
      <c r="E250" s="1" t="inlineStr">
        <is>
          <t>300x100mm</t>
        </is>
      </c>
      <c r="F250" s="1" t="inlineStr">
        <is>
          <t>m2</t>
        </is>
      </c>
      <c r="G250" s="1" t="inlineStr">
        <is>
          <t>Ceramic</t>
        </is>
      </c>
      <c r="H250" s="1" t="inlineStr">
        <is>
          <t>Gloss</t>
        </is>
      </c>
      <c r="I250" t="n">
        <v>48</v>
      </c>
    </row>
    <row r="251">
      <c r="A251" s="1">
        <f>Hyperlink("https://www.tilemountain.co.uk/p/cracovia-grey.html","Product")</f>
        <v/>
      </c>
      <c r="B251" s="1" t="inlineStr">
        <is>
          <t>454795</t>
        </is>
      </c>
      <c r="C251" s="1" t="inlineStr">
        <is>
          <t>Cracovia Grey Outdoor Matt Porcelain Slab Tiles</t>
        </is>
      </c>
      <c r="D251" s="1" t="n">
        <v>28.99</v>
      </c>
      <c r="E251" s="1" t="inlineStr">
        <is>
          <t>600x600mm</t>
        </is>
      </c>
      <c r="F251" s="1" t="inlineStr">
        <is>
          <t>m2</t>
        </is>
      </c>
      <c r="G251" s="1" t="inlineStr">
        <is>
          <t>Porcelain</t>
        </is>
      </c>
      <c r="H251" s="1" t="inlineStr">
        <is>
          <t>Matt</t>
        </is>
      </c>
      <c r="I251" t="n">
        <v>28.99</v>
      </c>
    </row>
    <row r="252">
      <c r="A252" s="1">
        <f>Hyperlink("https://www.tilemountain.co.uk/p/craquele-bone-wall-tile.html","Product")</f>
        <v/>
      </c>
      <c r="B252" s="1" t="inlineStr">
        <is>
          <t>436180</t>
        </is>
      </c>
      <c r="C252" s="1" t="inlineStr">
        <is>
          <t>Craquele Bone Wall Tiles</t>
        </is>
      </c>
      <c r="D252" s="1" t="n">
        <v>34.99</v>
      </c>
      <c r="E252" s="1" t="inlineStr">
        <is>
          <t>150x75mm</t>
        </is>
      </c>
      <c r="F252" s="1" t="inlineStr">
        <is>
          <t>m2</t>
        </is>
      </c>
      <c r="G252" s="1" t="inlineStr">
        <is>
          <t>Ceramic</t>
        </is>
      </c>
      <c r="H252" s="1" t="inlineStr">
        <is>
          <t>Gloss</t>
        </is>
      </c>
      <c r="I252" t="n">
        <v>34.99</v>
      </c>
    </row>
    <row r="253">
      <c r="A253" s="1">
        <f>Hyperlink("https://www.tilemountain.co.uk/p/craquele-cream-wall-tile.html","Product")</f>
        <v/>
      </c>
      <c r="B253" s="1" t="inlineStr">
        <is>
          <t>436175</t>
        </is>
      </c>
      <c r="C253" s="1" t="inlineStr">
        <is>
          <t>Craquele Cream Wall Tiles</t>
        </is>
      </c>
      <c r="D253" s="1" t="n">
        <v>34.99</v>
      </c>
      <c r="E253" s="1" t="inlineStr">
        <is>
          <t>150x75mm</t>
        </is>
      </c>
      <c r="F253" s="1" t="inlineStr">
        <is>
          <t>m2</t>
        </is>
      </c>
      <c r="G253" s="1" t="inlineStr">
        <is>
          <t>Ceramic</t>
        </is>
      </c>
      <c r="H253" s="1" t="inlineStr">
        <is>
          <t>Gloss</t>
        </is>
      </c>
      <c r="I253" t="n">
        <v>34.99</v>
      </c>
    </row>
    <row r="254">
      <c r="A254" s="1">
        <f>Hyperlink("https://www.tilemountain.co.uk/p/craquele-dove-wall-tile.html","Product")</f>
        <v/>
      </c>
      <c r="B254" s="1" t="inlineStr">
        <is>
          <t>439540</t>
        </is>
      </c>
      <c r="C254" s="1" t="inlineStr">
        <is>
          <t>Craquele Dove Wall Tiles</t>
        </is>
      </c>
      <c r="D254" s="1" t="n">
        <v>34.99</v>
      </c>
      <c r="E254" s="1" t="inlineStr">
        <is>
          <t>150x75mm</t>
        </is>
      </c>
      <c r="F254" s="1" t="inlineStr">
        <is>
          <t>m2</t>
        </is>
      </c>
      <c r="G254" s="1" t="inlineStr">
        <is>
          <t>Ceramic</t>
        </is>
      </c>
      <c r="H254" s="1" t="inlineStr">
        <is>
          <t>Gloss</t>
        </is>
      </c>
      <c r="I254" t="n">
        <v>34.99</v>
      </c>
    </row>
    <row r="255">
      <c r="A255" s="1">
        <f>Hyperlink("https://www.tilemountain.co.uk/p/craquele-grey-wall-tile.html","Product")</f>
        <v/>
      </c>
      <c r="B255" s="1" t="inlineStr">
        <is>
          <t>436185</t>
        </is>
      </c>
      <c r="C255" s="1" t="inlineStr">
        <is>
          <t>Craquele Grey Wall Tiles</t>
        </is>
      </c>
      <c r="D255" s="1" t="n">
        <v>34.99</v>
      </c>
      <c r="E255" s="1" t="inlineStr">
        <is>
          <t>150x75mm</t>
        </is>
      </c>
      <c r="F255" s="1" t="inlineStr">
        <is>
          <t>m2</t>
        </is>
      </c>
      <c r="G255" s="1" t="inlineStr">
        <is>
          <t>Ceramic</t>
        </is>
      </c>
      <c r="H255" s="1" t="inlineStr">
        <is>
          <t>Gloss</t>
        </is>
      </c>
      <c r="I255" t="n">
        <v>34.99</v>
      </c>
    </row>
    <row r="256">
      <c r="A256" s="1">
        <f>Hyperlink("https://www.tilemountain.co.uk/p/craquele-mint-wall-tile.html","Product")</f>
        <v/>
      </c>
      <c r="B256" s="1" t="inlineStr">
        <is>
          <t>439530</t>
        </is>
      </c>
      <c r="C256" s="1" t="inlineStr">
        <is>
          <t>Craquele Mint Wall Tiles</t>
        </is>
      </c>
      <c r="D256" s="1" t="n">
        <v>34.99</v>
      </c>
      <c r="E256" s="1" t="inlineStr">
        <is>
          <t>150x75mm</t>
        </is>
      </c>
      <c r="F256" s="1" t="inlineStr">
        <is>
          <t>m2</t>
        </is>
      </c>
      <c r="G256" s="1" t="inlineStr">
        <is>
          <t>Ceramic</t>
        </is>
      </c>
      <c r="H256" s="1" t="inlineStr">
        <is>
          <t>Gloss</t>
        </is>
      </c>
      <c r="I256" t="n">
        <v>34.99</v>
      </c>
    </row>
    <row r="257">
      <c r="A257" s="1">
        <f>Hyperlink("https://www.tilemountain.co.uk/p/craquele-olive-wall-tile.html","Product")</f>
        <v/>
      </c>
      <c r="B257" s="1" t="inlineStr">
        <is>
          <t>439535</t>
        </is>
      </c>
      <c r="C257" s="1" t="inlineStr">
        <is>
          <t>Craquele Olive Wall Tiles</t>
        </is>
      </c>
      <c r="D257" s="1" t="n">
        <v>34.99</v>
      </c>
      <c r="E257" s="1" t="inlineStr">
        <is>
          <t>150x75mm</t>
        </is>
      </c>
      <c r="F257" s="1" t="inlineStr">
        <is>
          <t>m2</t>
        </is>
      </c>
      <c r="G257" s="1" t="inlineStr">
        <is>
          <t>Ceramic</t>
        </is>
      </c>
      <c r="H257" s="1" t="inlineStr">
        <is>
          <t>Gloss</t>
        </is>
      </c>
      <c r="I257" t="n">
        <v>34.99</v>
      </c>
    </row>
    <row r="258">
      <c r="A258" s="1">
        <f>Hyperlink("https://www.tilemountain.co.uk/p/craquele-white-wall-tile.html","Product")</f>
        <v/>
      </c>
      <c r="B258" s="1" t="inlineStr">
        <is>
          <t>436190</t>
        </is>
      </c>
      <c r="C258" s="1" t="inlineStr">
        <is>
          <t>Craquele White Wall Tiles</t>
        </is>
      </c>
      <c r="D258" s="1" t="n">
        <v>34.99</v>
      </c>
      <c r="E258" s="1" t="inlineStr">
        <is>
          <t>150x75mm</t>
        </is>
      </c>
      <c r="F258" s="1" t="inlineStr">
        <is>
          <t>m2</t>
        </is>
      </c>
      <c r="G258" s="1" t="inlineStr">
        <is>
          <t>Ceramic</t>
        </is>
      </c>
      <c r="H258" s="1" t="inlineStr">
        <is>
          <t>Gloss</t>
        </is>
      </c>
      <c r="I258" t="n">
        <v>34.99</v>
      </c>
    </row>
    <row r="259">
      <c r="A259" s="1">
        <f>Hyperlink("https://www.tilemountain.co.uk/p/cumulus-grey-matt-porcelain-floor-tile_1.html","Product")</f>
        <v/>
      </c>
      <c r="B259" s="1" t="inlineStr">
        <is>
          <t>448430</t>
        </is>
      </c>
      <c r="C259" s="1" t="inlineStr">
        <is>
          <t>Cumulus Grey Matt Porcelain Floor Tile</t>
        </is>
      </c>
      <c r="D259" s="1" t="n">
        <v>20.99</v>
      </c>
      <c r="E259" s="1" t="inlineStr">
        <is>
          <t>800x800mm</t>
        </is>
      </c>
      <c r="F259" s="1" t="inlineStr">
        <is>
          <t>m2</t>
        </is>
      </c>
      <c r="G259" s="1" t="inlineStr">
        <is>
          <t>Porcelain</t>
        </is>
      </c>
      <c r="H259" s="1" t="inlineStr">
        <is>
          <t>Matt</t>
        </is>
      </c>
      <c r="I259" t="n">
        <v>20.99</v>
      </c>
    </row>
    <row r="260">
      <c r="A260" s="1">
        <f>Hyperlink("https://www.tilemountain.co.uk/p/cupid-cream-polished-wall-and-floor-tile_1.html","Product")</f>
        <v/>
      </c>
      <c r="B260" s="1" t="inlineStr">
        <is>
          <t>455465</t>
        </is>
      </c>
      <c r="C260" s="1" t="inlineStr">
        <is>
          <t>Cupid Cream Polished Wall and Floor Tile</t>
        </is>
      </c>
      <c r="D260" s="1" t="n">
        <v>29.99</v>
      </c>
      <c r="E260" s="1" t="inlineStr">
        <is>
          <t>1200x600mm</t>
        </is>
      </c>
      <c r="F260" s="1" t="inlineStr">
        <is>
          <t>m2</t>
        </is>
      </c>
      <c r="G260" s="1" t="inlineStr">
        <is>
          <t>Porcelain</t>
        </is>
      </c>
      <c r="H260" s="1" t="inlineStr">
        <is>
          <t>Polished</t>
        </is>
      </c>
      <c r="I260" t="n">
        <v>29.99</v>
      </c>
    </row>
    <row r="261">
      <c r="A261" s="1">
        <f>Hyperlink("https://www.tilemountain.co.uk/p/cupid-pearl-polished-wall-and-floor-tile_1.html","Product")</f>
        <v/>
      </c>
      <c r="B261" s="1" t="inlineStr">
        <is>
          <t>455470</t>
        </is>
      </c>
      <c r="C261" s="1" t="inlineStr">
        <is>
          <t>Cupid Pearl Polished Wall and Floor Tile</t>
        </is>
      </c>
      <c r="D261" s="1" t="n">
        <v>29.99</v>
      </c>
      <c r="E261" s="1" t="inlineStr">
        <is>
          <t>1200x600mm</t>
        </is>
      </c>
      <c r="F261" s="1" t="inlineStr">
        <is>
          <t>m2</t>
        </is>
      </c>
      <c r="G261" s="1" t="inlineStr">
        <is>
          <t>Porcelain</t>
        </is>
      </c>
      <c r="H261" s="1" t="inlineStr">
        <is>
          <t>Polished</t>
        </is>
      </c>
      <c r="I261" t="n">
        <v>29.99</v>
      </c>
    </row>
    <row r="262">
      <c r="A262" s="1">
        <f>Hyperlink("https://www.tilemountain.co.uk/p/dakota-dark-grey-outdoor-riven-porcelain-slab-tile.html","Product")</f>
        <v/>
      </c>
      <c r="B262" s="1" t="inlineStr">
        <is>
          <t>442870</t>
        </is>
      </c>
      <c r="C262" s="1" t="inlineStr">
        <is>
          <t>Dakota Dark Grey Outdoor Riven Porcelain Slab Tiles</t>
        </is>
      </c>
      <c r="D262" s="1" t="n">
        <v>30.99</v>
      </c>
      <c r="E262" s="1" t="inlineStr">
        <is>
          <t>600x600mm</t>
        </is>
      </c>
      <c r="F262" s="1" t="inlineStr">
        <is>
          <t>m2</t>
        </is>
      </c>
      <c r="G262" s="1" t="inlineStr">
        <is>
          <t>Porcelain</t>
        </is>
      </c>
      <c r="H262" s="1" t="inlineStr">
        <is>
          <t>Riven</t>
        </is>
      </c>
      <c r="I262" t="n">
        <v>30.99</v>
      </c>
    </row>
    <row r="263">
      <c r="A263" s="1">
        <f>Hyperlink("https://www.tilemountain.co.uk/p/dakota-light-grey-outdoor-riven-porcelain-slab-tile.html","Product")</f>
        <v/>
      </c>
      <c r="B263" s="1" t="inlineStr">
        <is>
          <t>442875</t>
        </is>
      </c>
      <c r="C263" s="1" t="inlineStr">
        <is>
          <t>Dakota Light Grey Outdoor Riven Porcelain Slab Tiles</t>
        </is>
      </c>
      <c r="D263" s="1" t="n">
        <v>30.99</v>
      </c>
      <c r="E263" s="1" t="inlineStr">
        <is>
          <t>600x600mm</t>
        </is>
      </c>
      <c r="F263" s="1" t="inlineStr">
        <is>
          <t>m2</t>
        </is>
      </c>
      <c r="G263" s="1" t="inlineStr">
        <is>
          <t>Porcelain</t>
        </is>
      </c>
      <c r="H263" s="1" t="inlineStr">
        <is>
          <t>Riven</t>
        </is>
      </c>
      <c r="I263" t="n">
        <v>30.99</v>
      </c>
    </row>
    <row r="264">
      <c r="A264" s="1">
        <f>Hyperlink("https://www.tilemountain.co.uk/p/decape-dark-brick-wall-and-floor-tile.html","Product")</f>
        <v/>
      </c>
      <c r="B264" s="1" t="inlineStr">
        <is>
          <t>440130</t>
        </is>
      </c>
      <c r="C264" s="1" t="inlineStr">
        <is>
          <t>Decape Dark Brick Wall And Floor Tiles</t>
        </is>
      </c>
      <c r="D264" s="1" t="n">
        <v>24.99</v>
      </c>
      <c r="E264" s="1" t="inlineStr">
        <is>
          <t>75x280mm</t>
        </is>
      </c>
      <c r="F264" s="1" t="inlineStr">
        <is>
          <t>m2</t>
        </is>
      </c>
      <c r="G264" s="1" t="inlineStr">
        <is>
          <t>Porcelain</t>
        </is>
      </c>
      <c r="H264" s="1" t="inlineStr">
        <is>
          <t>Matt</t>
        </is>
      </c>
      <c r="I264" t="n">
        <v>24.99</v>
      </c>
    </row>
    <row r="265">
      <c r="A265" s="1">
        <f>Hyperlink("https://www.tilemountain.co.uk/p/decape-rustic-brick-wall-and-floor-tile.html","Product")</f>
        <v/>
      </c>
      <c r="B265" s="1" t="inlineStr">
        <is>
          <t>440135</t>
        </is>
      </c>
      <c r="C265" s="1" t="inlineStr">
        <is>
          <t>Decape Rustic Brick Wall And Floor Tiles</t>
        </is>
      </c>
      <c r="D265" s="1" t="n">
        <v>24.99</v>
      </c>
      <c r="E265" s="1" t="inlineStr">
        <is>
          <t>75x280mm</t>
        </is>
      </c>
      <c r="F265" s="1" t="inlineStr">
        <is>
          <t>m2</t>
        </is>
      </c>
      <c r="G265" s="1" t="inlineStr">
        <is>
          <t>Porcelain</t>
        </is>
      </c>
      <c r="H265" s="1" t="inlineStr">
        <is>
          <t>Matt</t>
        </is>
      </c>
      <c r="I265" t="n">
        <v>24.99</v>
      </c>
    </row>
    <row r="266">
      <c r="A266" s="1">
        <f>Hyperlink("https://www.tilemountain.co.uk/p/demi-bullnose-white-listello.html","Product")</f>
        <v/>
      </c>
      <c r="B266" s="1" t="inlineStr">
        <is>
          <t>453185</t>
        </is>
      </c>
      <c r="C266" s="1" t="inlineStr">
        <is>
          <t>Bella White Pencil Border 15x300</t>
        </is>
      </c>
      <c r="D266" s="1" t="n">
        <v>2.99</v>
      </c>
      <c r="E266" s="1" t="inlineStr">
        <is>
          <t>15x300mm</t>
        </is>
      </c>
      <c r="F266" s="1" t="inlineStr">
        <is>
          <t>Qty</t>
        </is>
      </c>
      <c r="G266" s="1" t="inlineStr">
        <is>
          <t>Ceramic</t>
        </is>
      </c>
      <c r="H266" s="1" t="inlineStr">
        <is>
          <t>Gloss</t>
        </is>
      </c>
      <c r="I266" t="n">
        <v>2.99</v>
      </c>
    </row>
    <row r="267">
      <c r="A267" s="1">
        <f>Hyperlink("https://www.tilemountain.co.uk/p/derby-pattern-porcelain-floor-tile.html","Product")</f>
        <v/>
      </c>
      <c r="B267" s="1" t="inlineStr">
        <is>
          <t>445470</t>
        </is>
      </c>
      <c r="C267" s="1" t="inlineStr">
        <is>
          <t>Derby Pattern Porcelain Floor Tiles</t>
        </is>
      </c>
      <c r="D267" s="1" t="n">
        <v>17.99</v>
      </c>
      <c r="E267" s="1" t="inlineStr">
        <is>
          <t>450x450mm</t>
        </is>
      </c>
      <c r="F267" s="1" t="inlineStr">
        <is>
          <t>m2</t>
        </is>
      </c>
      <c r="G267" s="1" t="inlineStr">
        <is>
          <t>-</t>
        </is>
      </c>
      <c r="H267" s="1" t="inlineStr">
        <is>
          <t>-</t>
        </is>
      </c>
      <c r="I267" t="n">
        <v>17.99</v>
      </c>
    </row>
    <row r="268">
      <c r="A268" s="1">
        <f>Hyperlink("https://www.tilemountain.co.uk/p/derwent.html","Product")</f>
        <v/>
      </c>
      <c r="B268" s="1" t="inlineStr">
        <is>
          <t>443175</t>
        </is>
      </c>
      <c r="C268" s="1" t="inlineStr">
        <is>
          <t>Derwent Beige Matt Wall And Floor Tiles</t>
        </is>
      </c>
      <c r="D268" s="1" t="n">
        <v>13.99</v>
      </c>
      <c r="E268" s="1" t="inlineStr">
        <is>
          <t>600x400mm</t>
        </is>
      </c>
      <c r="F268" s="1" t="inlineStr">
        <is>
          <t>m2</t>
        </is>
      </c>
      <c r="G268" s="1" t="inlineStr">
        <is>
          <t>Porcelain</t>
        </is>
      </c>
      <c r="H268" s="1" t="inlineStr">
        <is>
          <t>Matt</t>
        </is>
      </c>
      <c r="I268" t="n">
        <v>13.99</v>
      </c>
    </row>
    <row r="269">
      <c r="A269" s="1">
        <f>Hyperlink("https://www.tilemountain.co.uk/p/deterdek-residue-remover-5-litre.html","Product")</f>
        <v/>
      </c>
      <c r="B269" s="1" t="inlineStr">
        <is>
          <t>442855</t>
        </is>
      </c>
      <c r="C269" s="1" t="inlineStr">
        <is>
          <t>Deterdek Pro 5 Ltr - End of Work Cleaning</t>
        </is>
      </c>
      <c r="D269" s="1" t="n">
        <v>34.99</v>
      </c>
      <c r="E269" s="1" t="inlineStr">
        <is>
          <t>-</t>
        </is>
      </c>
      <c r="F269" s="1" t="inlineStr">
        <is>
          <t>Qty</t>
        </is>
      </c>
      <c r="G269" s="1" t="inlineStr">
        <is>
          <t>-</t>
        </is>
      </c>
      <c r="H269" s="1" t="inlineStr">
        <is>
          <t>-</t>
        </is>
      </c>
      <c r="I269" t="n">
        <v>34.99</v>
      </c>
    </row>
    <row r="270">
      <c r="A270" s="1">
        <f>Hyperlink("https://www.tilemountain.co.uk/p/devonstyle-black-pattern-wall-and-floor-tile.html","Product")</f>
        <v/>
      </c>
      <c r="B270" s="1" t="inlineStr">
        <is>
          <t>448990</t>
        </is>
      </c>
      <c r="C270" s="1" t="inlineStr">
        <is>
          <t>Devonstyle Black Pattern Wall and Floor Tile</t>
        </is>
      </c>
      <c r="D270" s="1" t="n">
        <v>13.99</v>
      </c>
      <c r="E270" s="1" t="inlineStr">
        <is>
          <t>330x330mm</t>
        </is>
      </c>
      <c r="F270" s="1" t="inlineStr">
        <is>
          <t>m2</t>
        </is>
      </c>
      <c r="G270" s="1" t="inlineStr">
        <is>
          <t>Porcelain</t>
        </is>
      </c>
      <c r="H270" s="1" t="inlineStr">
        <is>
          <t>Matt</t>
        </is>
      </c>
      <c r="I270" t="n">
        <v>13.99</v>
      </c>
    </row>
    <row r="271">
      <c r="A271" s="1">
        <f>Hyperlink("https://www.tilemountain.co.uk/p/devonstyle-grey-pattern-wall-and-floor-tile_1.html","Product")</f>
        <v/>
      </c>
      <c r="B271" s="1" t="inlineStr">
        <is>
          <t>448985</t>
        </is>
      </c>
      <c r="C271" s="1" t="inlineStr">
        <is>
          <t>Devonstyle Grey Pattern Wall and Floor Tile</t>
        </is>
      </c>
      <c r="D271" s="1" t="n">
        <v>13.99</v>
      </c>
      <c r="E271" s="1" t="inlineStr">
        <is>
          <t>330x330mm</t>
        </is>
      </c>
      <c r="F271" s="1" t="inlineStr">
        <is>
          <t>m2</t>
        </is>
      </c>
      <c r="G271" s="1" t="inlineStr">
        <is>
          <t>Porcelain</t>
        </is>
      </c>
      <c r="H271" s="1" t="inlineStr">
        <is>
          <t>Matt</t>
        </is>
      </c>
      <c r="I271" t="n">
        <v>13.99</v>
      </c>
    </row>
    <row r="272">
      <c r="A272" s="1">
        <f>Hyperlink("https://www.tilemountain.co.uk/p/diesel-brick-glass-mosaic-438515.html","Product")</f>
        <v/>
      </c>
      <c r="B272" s="1" t="inlineStr">
        <is>
          <t>438515</t>
        </is>
      </c>
      <c r="C272" s="1" t="inlineStr">
        <is>
          <t>Diesel Brick Glass Mosaic</t>
        </is>
      </c>
      <c r="D272" s="1" t="n">
        <v>6.99</v>
      </c>
      <c r="E272" s="1" t="inlineStr">
        <is>
          <t>306x306mm</t>
        </is>
      </c>
      <c r="F272" s="1" t="inlineStr">
        <is>
          <t>sheet</t>
        </is>
      </c>
      <c r="G272" s="1" t="inlineStr">
        <is>
          <t>Glass</t>
        </is>
      </c>
      <c r="H272" s="1" t="inlineStr">
        <is>
          <t>Gloss</t>
        </is>
      </c>
      <c r="I272" t="n">
        <v>6.99</v>
      </c>
    </row>
    <row r="273">
      <c r="A273" s="1">
        <f>Hyperlink("https://www.tilemountain.co.uk/p/diesel-glass-mosaic-40x40mm.html","Product")</f>
        <v/>
      </c>
      <c r="B273" s="1" t="inlineStr">
        <is>
          <t>430825</t>
        </is>
      </c>
      <c r="C273" s="1" t="inlineStr">
        <is>
          <t>Diesel Glass Mosaic 40x40mm</t>
        </is>
      </c>
      <c r="D273" s="1" t="n">
        <v>6.99</v>
      </c>
      <c r="E273" s="1" t="inlineStr">
        <is>
          <t>306x306mm</t>
        </is>
      </c>
      <c r="F273" s="1" t="inlineStr">
        <is>
          <t>sheet</t>
        </is>
      </c>
      <c r="G273" s="1" t="inlineStr">
        <is>
          <t>Glass</t>
        </is>
      </c>
      <c r="H273" s="1" t="inlineStr">
        <is>
          <t>Gloss</t>
        </is>
      </c>
      <c r="I273" t="n">
        <v>6.99</v>
      </c>
    </row>
    <row r="274">
      <c r="A274" s="1">
        <f>Hyperlink("https://www.tilemountain.co.uk/p/digital-art-ecru-300x600.html","Product")</f>
        <v/>
      </c>
      <c r="B274" s="1" t="inlineStr">
        <is>
          <t>449530</t>
        </is>
      </c>
      <c r="C274" s="1" t="inlineStr">
        <is>
          <t>Digital Art Ecru</t>
        </is>
      </c>
      <c r="D274" s="1" t="n">
        <v>25</v>
      </c>
      <c r="E274" s="1" t="inlineStr">
        <is>
          <t>600x300mm</t>
        </is>
      </c>
      <c r="F274" s="1" t="inlineStr">
        <is>
          <t>m2</t>
        </is>
      </c>
      <c r="G274" s="1" t="inlineStr">
        <is>
          <t>Porcelain</t>
        </is>
      </c>
      <c r="H274" s="1" t="inlineStr">
        <is>
          <t>Matt</t>
        </is>
      </c>
      <c r="I274" t="n">
        <v>25</v>
      </c>
    </row>
    <row r="275">
      <c r="A275" s="1">
        <f>Hyperlink("https://www.tilemountain.co.uk/p/dk-briana-maine-floor-tile.html","Product")</f>
        <v/>
      </c>
      <c r="B275" s="1" t="inlineStr">
        <is>
          <t>446450</t>
        </is>
      </c>
      <c r="C275" s="1" t="inlineStr">
        <is>
          <t>Briana Marine Floor Tiles</t>
        </is>
      </c>
      <c r="D275" s="1" t="n">
        <v>16.99</v>
      </c>
      <c r="E275" s="1" t="inlineStr">
        <is>
          <t>450x450mm</t>
        </is>
      </c>
      <c r="F275" s="1" t="inlineStr">
        <is>
          <t>m2</t>
        </is>
      </c>
      <c r="G275" s="1" t="inlineStr">
        <is>
          <t>Porcelain</t>
        </is>
      </c>
      <c r="H275" s="1" t="inlineStr">
        <is>
          <t>Matt</t>
        </is>
      </c>
      <c r="I275" t="n">
        <v>16.99</v>
      </c>
    </row>
    <row r="276">
      <c r="A276" s="1">
        <f>Hyperlink("https://www.tilemountain.co.uk/p/dk-briana-rose-floor-tile.html","Product")</f>
        <v/>
      </c>
      <c r="B276" s="1" t="inlineStr">
        <is>
          <t>446455</t>
        </is>
      </c>
      <c r="C276" s="1" t="inlineStr">
        <is>
          <t>Briana Rose Floor Tiles</t>
        </is>
      </c>
      <c r="D276" s="1" t="n">
        <v>16.99</v>
      </c>
      <c r="E276" s="1" t="inlineStr">
        <is>
          <t>450x450mm</t>
        </is>
      </c>
      <c r="F276" s="1" t="inlineStr">
        <is>
          <t>m2</t>
        </is>
      </c>
      <c r="G276" s="1" t="inlineStr">
        <is>
          <t>Porcelain</t>
        </is>
      </c>
      <c r="H276" s="1" t="inlineStr">
        <is>
          <t>Matt</t>
        </is>
      </c>
      <c r="I276" t="n">
        <v>16.99</v>
      </c>
    </row>
    <row r="277">
      <c r="A277" s="1">
        <f>Hyperlink("https://www.tilemountain.co.uk/p/dk-lester-blue-floor-tile.html","Product")</f>
        <v/>
      </c>
      <c r="B277" s="1" t="inlineStr">
        <is>
          <t>446440</t>
        </is>
      </c>
      <c r="C277" s="1" t="inlineStr">
        <is>
          <t>Lester Blue Floor Tiles</t>
        </is>
      </c>
      <c r="D277" s="1" t="n">
        <v>16.99</v>
      </c>
      <c r="E277" s="1" t="inlineStr">
        <is>
          <t>450x450mm</t>
        </is>
      </c>
      <c r="F277" s="1" t="inlineStr">
        <is>
          <t>m2</t>
        </is>
      </c>
      <c r="G277" s="1" t="inlineStr">
        <is>
          <t>Porcelain</t>
        </is>
      </c>
      <c r="H277" s="1" t="inlineStr">
        <is>
          <t>Matt</t>
        </is>
      </c>
      <c r="I277" t="n">
        <v>16.99</v>
      </c>
    </row>
    <row r="278">
      <c r="A278" s="1">
        <f>Hyperlink("https://www.tilemountain.co.uk/p/dk-leyton-terra-floor-tile.html","Product")</f>
        <v/>
      </c>
      <c r="B278" s="1" t="inlineStr">
        <is>
          <t>446445</t>
        </is>
      </c>
      <c r="C278" s="1" t="inlineStr">
        <is>
          <t>Leyton Terra Floor Tiles</t>
        </is>
      </c>
      <c r="D278" s="1" t="n">
        <v>16.99</v>
      </c>
      <c r="E278" s="1" t="inlineStr">
        <is>
          <t>450x450mm</t>
        </is>
      </c>
      <c r="F278" s="1" t="inlineStr">
        <is>
          <t>m2</t>
        </is>
      </c>
      <c r="G278" s="1" t="inlineStr">
        <is>
          <t>Porcelain</t>
        </is>
      </c>
      <c r="H278" s="1" t="inlineStr">
        <is>
          <t>Matt</t>
        </is>
      </c>
      <c r="I278" t="n">
        <v>16.99</v>
      </c>
    </row>
    <row r="279">
      <c r="A279" s="1">
        <f>Hyperlink("https://www.tilemountain.co.uk/p/doblo-black-polished-porcelain.html","Product")</f>
        <v/>
      </c>
      <c r="B279" s="1" t="inlineStr">
        <is>
          <t>434695</t>
        </is>
      </c>
      <c r="C279" s="1" t="inlineStr">
        <is>
          <t>Doblo Black Polished Porcelain Wall and Floor Tile</t>
        </is>
      </c>
      <c r="D279" s="1" t="n">
        <v>24.99</v>
      </c>
      <c r="E279" s="1" t="inlineStr">
        <is>
          <t>298x598mm</t>
        </is>
      </c>
      <c r="F279" s="1" t="inlineStr">
        <is>
          <t>m2</t>
        </is>
      </c>
      <c r="G279" s="1" t="inlineStr">
        <is>
          <t>Porcelain</t>
        </is>
      </c>
      <c r="H279" s="1" t="inlineStr">
        <is>
          <t>Polished</t>
        </is>
      </c>
      <c r="I279" t="n">
        <v>24.99</v>
      </c>
    </row>
    <row r="280">
      <c r="A280" s="1">
        <f>Hyperlink("https://www.tilemountain.co.uk/p/doblo-cream-polished-porcelain-1591.html","Product")</f>
        <v/>
      </c>
      <c r="B280" s="1" t="inlineStr">
        <is>
          <t>434675</t>
        </is>
      </c>
      <c r="C280" s="1" t="inlineStr">
        <is>
          <t>Doblo Cream Polished Porcelain Wall and Floor Tile</t>
        </is>
      </c>
      <c r="D280" s="1" t="n">
        <v>24.99</v>
      </c>
      <c r="E280" s="1" t="inlineStr">
        <is>
          <t>298x598mm</t>
        </is>
      </c>
      <c r="F280" s="1" t="inlineStr">
        <is>
          <t>m2</t>
        </is>
      </c>
      <c r="G280" s="1" t="inlineStr">
        <is>
          <t>Polished Porcelain</t>
        </is>
      </c>
      <c r="H280" s="1" t="inlineStr">
        <is>
          <t>Polished</t>
        </is>
      </c>
      <c r="I280" t="n">
        <v>24.99</v>
      </c>
    </row>
    <row r="281">
      <c r="A281" s="1">
        <f>Hyperlink("https://www.tilemountain.co.uk/p/doblo-cream-polished-porcelain-1592.html","Product")</f>
        <v/>
      </c>
      <c r="B281" s="1" t="inlineStr">
        <is>
          <t>434680</t>
        </is>
      </c>
      <c r="C281" s="1" t="inlineStr">
        <is>
          <t>Doblo Cream Polished Porcelain Floor Tile</t>
        </is>
      </c>
      <c r="D281" s="1" t="n">
        <v>25.99</v>
      </c>
      <c r="E281" s="1" t="inlineStr">
        <is>
          <t>598x598mm</t>
        </is>
      </c>
      <c r="F281" s="1" t="inlineStr">
        <is>
          <t>m2</t>
        </is>
      </c>
      <c r="G281" s="1" t="inlineStr">
        <is>
          <t>-</t>
        </is>
      </c>
      <c r="H281" s="1" t="inlineStr">
        <is>
          <t>Polished</t>
        </is>
      </c>
      <c r="I281" t="n">
        <v>25.99</v>
      </c>
    </row>
    <row r="282">
      <c r="A282" s="1">
        <f>Hyperlink("https://www.tilemountain.co.uk/p/doblo-grey-polished-porcelain-1594.html","Product")</f>
        <v/>
      </c>
      <c r="B282" s="1" t="inlineStr">
        <is>
          <t>434690</t>
        </is>
      </c>
      <c r="C282" s="1" t="inlineStr">
        <is>
          <t>Doblo Grey Polished Porcelain Floor Tile</t>
        </is>
      </c>
      <c r="D282" s="1" t="n">
        <v>25.99</v>
      </c>
      <c r="E282" s="1" t="inlineStr">
        <is>
          <t>598x598mm</t>
        </is>
      </c>
      <c r="F282" s="1" t="inlineStr">
        <is>
          <t>m2</t>
        </is>
      </c>
      <c r="G282" s="1" t="inlineStr">
        <is>
          <t>Polished Porcelain</t>
        </is>
      </c>
      <c r="H282" s="1" t="inlineStr">
        <is>
          <t>Polished</t>
        </is>
      </c>
      <c r="I282" t="n">
        <v>25.99</v>
      </c>
    </row>
    <row r="283">
      <c r="A283" s="1">
        <f>Hyperlink("https://www.tilemountain.co.uk/p/doblo-grey-polished-porcelain.html","Product")</f>
        <v/>
      </c>
      <c r="B283" s="1" t="inlineStr">
        <is>
          <t>434685</t>
        </is>
      </c>
      <c r="C283" s="1" t="inlineStr">
        <is>
          <t>Doblo Grey Polished Porcelain Wall and Floor Tile</t>
        </is>
      </c>
      <c r="D283" s="1" t="n">
        <v>24.99</v>
      </c>
      <c r="E283" s="1" t="inlineStr">
        <is>
          <t>298x598mm</t>
        </is>
      </c>
      <c r="F283" s="1" t="inlineStr">
        <is>
          <t>m2</t>
        </is>
      </c>
      <c r="G283" s="1" t="inlineStr">
        <is>
          <t>Polished Porcelain</t>
        </is>
      </c>
      <c r="H283" s="1" t="inlineStr">
        <is>
          <t>Polished</t>
        </is>
      </c>
      <c r="I283" t="n">
        <v>24.99</v>
      </c>
    </row>
    <row r="284">
      <c r="A284" s="1">
        <f>Hyperlink("https://www.tilemountain.co.uk/p/doblo-light-grey-polished-porcelain-1923.html","Product")</f>
        <v/>
      </c>
      <c r="B284" s="1" t="inlineStr">
        <is>
          <t>436040</t>
        </is>
      </c>
      <c r="C284" s="1" t="inlineStr">
        <is>
          <t>Doblo Light Grey Polished Porcelain Floor Tile</t>
        </is>
      </c>
      <c r="D284" s="1" t="n">
        <v>25.99</v>
      </c>
      <c r="E284" s="1" t="inlineStr">
        <is>
          <t>598x598mm</t>
        </is>
      </c>
      <c r="F284" s="1" t="inlineStr">
        <is>
          <t>m2</t>
        </is>
      </c>
      <c r="G284" s="1" t="inlineStr">
        <is>
          <t>Polished Porcelain</t>
        </is>
      </c>
      <c r="H284" s="1" t="inlineStr">
        <is>
          <t>Polished</t>
        </is>
      </c>
      <c r="I284" t="n">
        <v>25.99</v>
      </c>
    </row>
    <row r="285">
      <c r="A285" s="1">
        <f>Hyperlink("https://www.tilemountain.co.uk/p/doblo-light-grey-polished-porcelain.html","Product")</f>
        <v/>
      </c>
      <c r="B285" s="1" t="inlineStr">
        <is>
          <t>436035</t>
        </is>
      </c>
      <c r="C285" s="1" t="inlineStr">
        <is>
          <t>Doblo Light Grey Polished Porcelain Wall and Floor Tile</t>
        </is>
      </c>
      <c r="D285" s="1" t="n">
        <v>24.99</v>
      </c>
      <c r="E285" s="1" t="inlineStr">
        <is>
          <t>298x598mm</t>
        </is>
      </c>
      <c r="F285" s="1" t="inlineStr">
        <is>
          <t>m2</t>
        </is>
      </c>
      <c r="G285" s="1" t="inlineStr">
        <is>
          <t>Polished Porcelain</t>
        </is>
      </c>
      <c r="H285" s="1" t="inlineStr">
        <is>
          <t>Polished</t>
        </is>
      </c>
      <c r="I285" t="n">
        <v>24.99</v>
      </c>
    </row>
    <row r="286">
      <c r="A286" s="1">
        <f>Hyperlink("https://www.tilemountain.co.uk/p/doblo-matt-black-porcelain.html","Product")</f>
        <v/>
      </c>
      <c r="B286" s="1" t="inlineStr">
        <is>
          <t>435570</t>
        </is>
      </c>
      <c r="C286" s="1" t="inlineStr">
        <is>
          <t>Doblo Matt Black Porcelain Wall and Floor Tile</t>
        </is>
      </c>
      <c r="D286" s="1" t="n">
        <v>23.99</v>
      </c>
      <c r="E286" s="1" t="inlineStr">
        <is>
          <t>598x298mm</t>
        </is>
      </c>
      <c r="F286" s="1" t="inlineStr">
        <is>
          <t>m2</t>
        </is>
      </c>
      <c r="G286" s="1" t="inlineStr">
        <is>
          <t>Porcelain</t>
        </is>
      </c>
      <c r="H286" s="1" t="inlineStr">
        <is>
          <t>Matt</t>
        </is>
      </c>
      <c r="I286" t="n">
        <v>23.99</v>
      </c>
    </row>
    <row r="287">
      <c r="A287" s="1">
        <f>Hyperlink("https://www.tilemountain.co.uk/p/doblo-matt-cream-porcelain-1788.html","Product")</f>
        <v/>
      </c>
      <c r="B287" s="1" t="inlineStr">
        <is>
          <t>435555</t>
        </is>
      </c>
      <c r="C287" s="1" t="inlineStr">
        <is>
          <t>Doblo Matt Cream Porcelain Floor Tile</t>
        </is>
      </c>
      <c r="D287" s="1" t="n">
        <v>24.99</v>
      </c>
      <c r="E287" s="1" t="inlineStr">
        <is>
          <t>598x598mm</t>
        </is>
      </c>
      <c r="F287" s="1" t="inlineStr">
        <is>
          <t>m2</t>
        </is>
      </c>
      <c r="G287" s="1" t="inlineStr">
        <is>
          <t>Porcelain</t>
        </is>
      </c>
      <c r="H287" s="1" t="inlineStr">
        <is>
          <t>Matt</t>
        </is>
      </c>
      <c r="I287" t="n">
        <v>24.99</v>
      </c>
    </row>
    <row r="288">
      <c r="A288" s="1">
        <f>Hyperlink("https://www.tilemountain.co.uk/p/doblo-matt-cream-porcelain.html","Product")</f>
        <v/>
      </c>
      <c r="B288" s="1" t="inlineStr">
        <is>
          <t>435440</t>
        </is>
      </c>
      <c r="C288" s="1" t="inlineStr">
        <is>
          <t>Doblo Matt Cream Porcelain Wall and Floor Tile</t>
        </is>
      </c>
      <c r="D288" s="1" t="n">
        <v>23.99</v>
      </c>
      <c r="E288" s="1" t="inlineStr">
        <is>
          <t>598x298mm</t>
        </is>
      </c>
      <c r="F288" s="1" t="inlineStr">
        <is>
          <t>m2</t>
        </is>
      </c>
      <c r="G288" s="1" t="inlineStr">
        <is>
          <t>Porcelain</t>
        </is>
      </c>
      <c r="H288" s="1" t="inlineStr">
        <is>
          <t>Matt</t>
        </is>
      </c>
      <c r="I288" t="n">
        <v>23.99</v>
      </c>
    </row>
    <row r="289">
      <c r="A289" s="1">
        <f>Hyperlink("https://www.tilemountain.co.uk/p/doblo-matt-grey-porcelain.html","Product")</f>
        <v/>
      </c>
      <c r="B289" s="1" t="inlineStr">
        <is>
          <t>435560</t>
        </is>
      </c>
      <c r="C289" s="1" t="inlineStr">
        <is>
          <t>Doblo Matt Grey Porcelain Wall and Floor Tile</t>
        </is>
      </c>
      <c r="D289" s="1" t="n">
        <v>23.99</v>
      </c>
      <c r="E289" s="1" t="inlineStr">
        <is>
          <t>598x298mm</t>
        </is>
      </c>
      <c r="F289" s="1" t="inlineStr">
        <is>
          <t>m2</t>
        </is>
      </c>
      <c r="G289" s="1" t="inlineStr">
        <is>
          <t>Porcelain</t>
        </is>
      </c>
      <c r="H289" s="1" t="inlineStr">
        <is>
          <t>Matt</t>
        </is>
      </c>
      <c r="I289" t="n">
        <v>23.99</v>
      </c>
    </row>
    <row r="290">
      <c r="A290" s="1">
        <f>Hyperlink("https://www.tilemountain.co.uk/p/doblo-matt-light-grey-porcelain-1756.html","Product")</f>
        <v/>
      </c>
      <c r="B290" s="1" t="inlineStr">
        <is>
          <t>435435</t>
        </is>
      </c>
      <c r="C290" s="1" t="inlineStr">
        <is>
          <t>Doblo Matt Light Grey Porcelain Floor Tile</t>
        </is>
      </c>
      <c r="D290" s="1" t="n">
        <v>24.99</v>
      </c>
      <c r="E290" s="1" t="inlineStr">
        <is>
          <t>598x598mm</t>
        </is>
      </c>
      <c r="F290" s="1" t="inlineStr">
        <is>
          <t>m2</t>
        </is>
      </c>
      <c r="G290" s="1" t="inlineStr">
        <is>
          <t>Porcelain</t>
        </is>
      </c>
      <c r="H290" s="1" t="inlineStr">
        <is>
          <t>Matt</t>
        </is>
      </c>
      <c r="I290" t="n">
        <v>24.99</v>
      </c>
    </row>
    <row r="291">
      <c r="A291" s="1">
        <f>Hyperlink("https://www.tilemountain.co.uk/p/doblo-matt-light-grey-porcelain.html","Product")</f>
        <v/>
      </c>
      <c r="B291" s="1" t="inlineStr">
        <is>
          <t>435430</t>
        </is>
      </c>
      <c r="C291" s="1" t="inlineStr">
        <is>
          <t>Doblo Matt Light Grey Porcelain Wall and Floor Tile</t>
        </is>
      </c>
      <c r="D291" s="1" t="n">
        <v>23.99</v>
      </c>
      <c r="E291" s="1" t="inlineStr">
        <is>
          <t>598x298mm</t>
        </is>
      </c>
      <c r="F291" s="1" t="inlineStr">
        <is>
          <t>m2</t>
        </is>
      </c>
      <c r="G291" s="1" t="inlineStr">
        <is>
          <t>Porcelain</t>
        </is>
      </c>
      <c r="H291" s="1" t="inlineStr">
        <is>
          <t>Matt</t>
        </is>
      </c>
      <c r="I291" t="n">
        <v>23.99</v>
      </c>
    </row>
    <row r="292">
      <c r="A292" s="1">
        <f>Hyperlink("https://www.tilemountain.co.uk/p/doblo-rock-black-porcelain-2843.html","Product")</f>
        <v/>
      </c>
      <c r="B292" s="1" t="inlineStr">
        <is>
          <t>440675</t>
        </is>
      </c>
      <c r="C292" s="1" t="inlineStr">
        <is>
          <t>Doblo Rock Black Porcelain Wall and Floor Tile</t>
        </is>
      </c>
      <c r="D292" s="1" t="n">
        <v>23.99</v>
      </c>
      <c r="E292" s="1" t="inlineStr">
        <is>
          <t>598x298mm</t>
        </is>
      </c>
      <c r="F292" s="1" t="inlineStr">
        <is>
          <t>m2</t>
        </is>
      </c>
      <c r="G292" s="1" t="inlineStr">
        <is>
          <t>Porcelain</t>
        </is>
      </c>
      <c r="H292" s="1" t="inlineStr">
        <is>
          <t>Riven</t>
        </is>
      </c>
      <c r="I292" t="n">
        <v>23.99</v>
      </c>
    </row>
    <row r="293">
      <c r="A293" s="1">
        <f>Hyperlink("https://www.tilemountain.co.uk/p/doblo-rock-black-porcelain.html","Product")</f>
        <v/>
      </c>
      <c r="B293" s="1" t="inlineStr">
        <is>
          <t>440670</t>
        </is>
      </c>
      <c r="C293" s="1" t="inlineStr">
        <is>
          <t>Doblo Rock Black Porcelain Floor Tile</t>
        </is>
      </c>
      <c r="D293" s="1" t="n">
        <v>24.99</v>
      </c>
      <c r="E293" s="1" t="inlineStr">
        <is>
          <t>598x598mm</t>
        </is>
      </c>
      <c r="F293" s="1" t="inlineStr">
        <is>
          <t>m2</t>
        </is>
      </c>
      <c r="G293" s="1" t="inlineStr">
        <is>
          <t>Porcelain</t>
        </is>
      </c>
      <c r="H293" s="1" t="inlineStr">
        <is>
          <t>Riven</t>
        </is>
      </c>
      <c r="I293" t="n">
        <v>24.99</v>
      </c>
    </row>
    <row r="294">
      <c r="A294" s="1">
        <f>Hyperlink("https://www.tilemountain.co.uk/p/doblo-rock-cream-porcelain-598x298.html","Product")</f>
        <v/>
      </c>
      <c r="B294" s="1" t="inlineStr">
        <is>
          <t>437265</t>
        </is>
      </c>
      <c r="C294" s="1" t="inlineStr">
        <is>
          <t>Doblo Rock Cream Porcelain Wall and Floor Tile</t>
        </is>
      </c>
      <c r="D294" s="1" t="n">
        <v>23.99</v>
      </c>
      <c r="E294" s="1" t="inlineStr">
        <is>
          <t>298x598mm</t>
        </is>
      </c>
      <c r="F294" s="1" t="inlineStr">
        <is>
          <t>m2</t>
        </is>
      </c>
      <c r="G294" s="1" t="inlineStr">
        <is>
          <t>Porcelain</t>
        </is>
      </c>
      <c r="H294" s="1" t="inlineStr">
        <is>
          <t>Riven</t>
        </is>
      </c>
      <c r="I294" t="n">
        <v>23.99</v>
      </c>
    </row>
    <row r="295">
      <c r="A295" s="1">
        <f>Hyperlink("https://www.tilemountain.co.uk/p/doblo-rock-cream-porcelain-598x598.html","Product")</f>
        <v/>
      </c>
      <c r="B295" s="1" t="inlineStr">
        <is>
          <t>437260</t>
        </is>
      </c>
      <c r="C295" s="1" t="inlineStr">
        <is>
          <t>Doblo Rock Cream Porcelain Floor Tile</t>
        </is>
      </c>
      <c r="D295" s="1" t="n">
        <v>24.99</v>
      </c>
      <c r="E295" s="1" t="inlineStr">
        <is>
          <t>598x598mm</t>
        </is>
      </c>
      <c r="F295" s="1" t="inlineStr">
        <is>
          <t>m2</t>
        </is>
      </c>
      <c r="G295" s="1" t="inlineStr">
        <is>
          <t>Porcelain</t>
        </is>
      </c>
      <c r="H295" s="1" t="inlineStr">
        <is>
          <t>Riven</t>
        </is>
      </c>
      <c r="I295" t="n">
        <v>24.99</v>
      </c>
    </row>
    <row r="296">
      <c r="A296" s="1">
        <f>Hyperlink("https://www.tilemountain.co.uk/p/doblo-rock-grey-porcelain-598x298.html","Product")</f>
        <v/>
      </c>
      <c r="B296" s="1" t="inlineStr">
        <is>
          <t>437275</t>
        </is>
      </c>
      <c r="C296" s="1" t="inlineStr">
        <is>
          <t>Doblo Rock Grey Porcelain Wall and Floor Tile</t>
        </is>
      </c>
      <c r="D296" s="1" t="n">
        <v>23.99</v>
      </c>
      <c r="E296" s="1" t="inlineStr">
        <is>
          <t>298x598mm</t>
        </is>
      </c>
      <c r="F296" s="1" t="inlineStr">
        <is>
          <t>m2</t>
        </is>
      </c>
      <c r="G296" s="1" t="inlineStr">
        <is>
          <t>Porcelain</t>
        </is>
      </c>
      <c r="H296" s="1" t="inlineStr">
        <is>
          <t>Riven</t>
        </is>
      </c>
      <c r="I296" t="n">
        <v>23.99</v>
      </c>
    </row>
    <row r="297">
      <c r="A297" s="1">
        <f>Hyperlink("https://www.tilemountain.co.uk/p/doblo-rock-ligh-grey.html","Product")</f>
        <v/>
      </c>
      <c r="B297" s="1" t="inlineStr">
        <is>
          <t>439650</t>
        </is>
      </c>
      <c r="C297" s="1" t="inlineStr">
        <is>
          <t>Doblo Rock Light Grey Porcelain Wall and Floor Tile</t>
        </is>
      </c>
      <c r="D297" s="1" t="n">
        <v>23.99</v>
      </c>
      <c r="E297" s="1" t="inlineStr">
        <is>
          <t>598x298mm</t>
        </is>
      </c>
      <c r="F297" s="1" t="inlineStr">
        <is>
          <t>m2</t>
        </is>
      </c>
      <c r="G297" s="1" t="inlineStr">
        <is>
          <t>Porcelain</t>
        </is>
      </c>
      <c r="H297" s="1" t="inlineStr">
        <is>
          <t>Riven</t>
        </is>
      </c>
      <c r="I297" t="n">
        <v>23.99</v>
      </c>
    </row>
    <row r="298">
      <c r="A298" s="1">
        <f>Hyperlink("https://www.tilemountain.co.uk/p/doblo-rock-light-grey-porcelain_1.html","Product")</f>
        <v/>
      </c>
      <c r="B298" s="1" t="inlineStr">
        <is>
          <t>440665</t>
        </is>
      </c>
      <c r="C298" s="1" t="inlineStr">
        <is>
          <t>Doblo Rock Light Grey Porcelain Floor Tile</t>
        </is>
      </c>
      <c r="D298" s="1" t="n">
        <v>24.99</v>
      </c>
      <c r="E298" s="1" t="inlineStr">
        <is>
          <t>598x598mm</t>
        </is>
      </c>
      <c r="F298" s="1" t="inlineStr">
        <is>
          <t>m2</t>
        </is>
      </c>
      <c r="G298" s="1" t="inlineStr">
        <is>
          <t>Porcelain</t>
        </is>
      </c>
      <c r="H298" s="1" t="inlineStr">
        <is>
          <t>Riven</t>
        </is>
      </c>
      <c r="I298" t="n">
        <v>24.99</v>
      </c>
    </row>
    <row r="299">
      <c r="A299" s="1">
        <f>Hyperlink("https://www.tilemountain.co.uk/p/dolomite-grey-wall-and-floor-tile.html","Product")</f>
        <v/>
      </c>
      <c r="B299" s="1" t="inlineStr">
        <is>
          <t>430525</t>
        </is>
      </c>
      <c r="C299" s="1" t="inlineStr">
        <is>
          <t>Dolomite Grey Wall and Floor Tiles</t>
        </is>
      </c>
      <c r="D299" s="1" t="n">
        <v>24.99</v>
      </c>
      <c r="E299" s="1" t="inlineStr">
        <is>
          <t>300x600mm</t>
        </is>
      </c>
      <c r="F299" s="1" t="inlineStr">
        <is>
          <t>m2</t>
        </is>
      </c>
      <c r="G299" s="1" t="inlineStr">
        <is>
          <t>Glazed Porcelain</t>
        </is>
      </c>
      <c r="H299" s="1" t="inlineStr">
        <is>
          <t>Matt</t>
        </is>
      </c>
      <c r="I299" t="n">
        <v>24.99</v>
      </c>
    </row>
    <row r="300">
      <c r="A300" s="1">
        <f>Hyperlink("https://www.tilemountain.co.uk/p/dolomite-light-grey-wall-tile.html","Product")</f>
        <v/>
      </c>
      <c r="B300" s="1" t="inlineStr">
        <is>
          <t>430540</t>
        </is>
      </c>
      <c r="C300" s="1" t="inlineStr">
        <is>
          <t>Dolomite Light Grey Wall Tiles</t>
        </is>
      </c>
      <c r="D300" s="1" t="n">
        <v>12.99</v>
      </c>
      <c r="E300" s="1" t="inlineStr">
        <is>
          <t>200x500mm</t>
        </is>
      </c>
      <c r="F300" s="1" t="inlineStr">
        <is>
          <t>m2</t>
        </is>
      </c>
      <c r="G300" s="1" t="inlineStr">
        <is>
          <t>Ceramic</t>
        </is>
      </c>
      <c r="H300" s="1" t="inlineStr">
        <is>
          <t>Matt</t>
        </is>
      </c>
      <c r="I300" t="n">
        <v>12.99</v>
      </c>
    </row>
    <row r="301">
      <c r="A301" s="1">
        <f>Hyperlink("https://www.tilemountain.co.uk/p/dorchester-matt-travertine-effect-light-grey-porcelain-floor-tile.html","Product")</f>
        <v/>
      </c>
      <c r="B301" s="1" t="inlineStr">
        <is>
          <t>449095</t>
        </is>
      </c>
      <c r="C301" s="1" t="inlineStr">
        <is>
          <t>Naples Gloss Travertine Effect Grey Floor Tile</t>
        </is>
      </c>
      <c r="D301" s="1" t="n">
        <v>12.99</v>
      </c>
      <c r="E301" s="1" t="inlineStr">
        <is>
          <t>450x450mm</t>
        </is>
      </c>
      <c r="F301" s="1" t="inlineStr">
        <is>
          <t>m2</t>
        </is>
      </c>
      <c r="G301" s="1" t="inlineStr">
        <is>
          <t>Porcelain</t>
        </is>
      </c>
      <c r="H301" s="1" t="inlineStr">
        <is>
          <t>Matt</t>
        </is>
      </c>
      <c r="I301" t="n">
        <v>12.99</v>
      </c>
    </row>
    <row r="302">
      <c r="A302" s="1">
        <f>Hyperlink("https://www.tilemountain.co.uk/p/dorset-feature-black-wall-floor-tile-45x45cm.html","Product")</f>
        <v/>
      </c>
      <c r="B302" s="1" t="inlineStr">
        <is>
          <t>300115</t>
        </is>
      </c>
      <c r="C302" s="1" t="inlineStr">
        <is>
          <t>Dorset Feature Black Wall and Floor Tiles</t>
        </is>
      </c>
      <c r="D302" s="1" t="n">
        <v>19.99</v>
      </c>
      <c r="E302" s="1" t="inlineStr">
        <is>
          <t>450x450mm</t>
        </is>
      </c>
      <c r="F302" s="1" t="inlineStr">
        <is>
          <t>m2</t>
        </is>
      </c>
      <c r="G302" s="1" t="inlineStr">
        <is>
          <t>Ceramic</t>
        </is>
      </c>
      <c r="H302" s="1" t="inlineStr">
        <is>
          <t>Matt</t>
        </is>
      </c>
      <c r="I302" t="n">
        <v>19.99</v>
      </c>
    </row>
    <row r="303">
      <c r="A303" s="1">
        <f>Hyperlink("https://www.tilemountain.co.uk/p/dorset-feature-grey-wall-floor-tile-45x45cm.html","Product")</f>
        <v/>
      </c>
      <c r="B303" s="1" t="inlineStr">
        <is>
          <t>300110</t>
        </is>
      </c>
      <c r="C303" s="1" t="inlineStr">
        <is>
          <t>Dorset Feature Grey Wall and Floor Tiles</t>
        </is>
      </c>
      <c r="D303" s="1" t="n">
        <v>19.99</v>
      </c>
      <c r="E303" s="1" t="inlineStr">
        <is>
          <t>450x450mm</t>
        </is>
      </c>
      <c r="F303" s="1" t="inlineStr">
        <is>
          <t>m2</t>
        </is>
      </c>
      <c r="G303" s="1" t="inlineStr">
        <is>
          <t>Ceramic</t>
        </is>
      </c>
      <c r="H303" s="1" t="inlineStr">
        <is>
          <t>Matt</t>
        </is>
      </c>
      <c r="I303" t="n">
        <v>19.99</v>
      </c>
    </row>
    <row r="304">
      <c r="A304" s="1">
        <f>Hyperlink("https://www.tilemountain.co.uk/p/driftwood-beige-wood-effect-wall-and-floor-tile.html","Product")</f>
        <v/>
      </c>
      <c r="B304" s="1" t="inlineStr">
        <is>
          <t>439135</t>
        </is>
      </c>
      <c r="C304" s="1" t="inlineStr">
        <is>
          <t>Driftwood Beige Wood Effect Wall And Floor Tiles</t>
        </is>
      </c>
      <c r="D304" s="1" t="n">
        <v>24.99</v>
      </c>
      <c r="E304" s="1" t="inlineStr">
        <is>
          <t>985x215mm</t>
        </is>
      </c>
      <c r="F304" s="1" t="inlineStr">
        <is>
          <t>m2</t>
        </is>
      </c>
      <c r="G304" s="1" t="inlineStr">
        <is>
          <t>Porcelain</t>
        </is>
      </c>
      <c r="H304" s="1" t="inlineStr">
        <is>
          <t>Matt</t>
        </is>
      </c>
      <c r="I304" t="n">
        <v>24.99</v>
      </c>
    </row>
    <row r="305">
      <c r="A305" s="1">
        <f>Hyperlink("https://www.tilemountain.co.uk/p/driftwood-white-wood-effect-wall-and-floor-tile.html","Product")</f>
        <v/>
      </c>
      <c r="B305" s="1" t="inlineStr">
        <is>
          <t>442920</t>
        </is>
      </c>
      <c r="C305" s="1" t="inlineStr">
        <is>
          <t>Driftwood White Wood Effect Wall And Floor Tiles</t>
        </is>
      </c>
      <c r="D305" s="1" t="n">
        <v>24.99</v>
      </c>
      <c r="E305" s="1" t="inlineStr">
        <is>
          <t>985x215mm</t>
        </is>
      </c>
      <c r="F305" s="1" t="inlineStr">
        <is>
          <t>m2</t>
        </is>
      </c>
      <c r="G305" s="1" t="inlineStr">
        <is>
          <t>Porcelain</t>
        </is>
      </c>
      <c r="H305" s="1" t="inlineStr">
        <is>
          <t>Matt</t>
        </is>
      </c>
      <c r="I305" t="n">
        <v>24.99</v>
      </c>
    </row>
    <row r="306">
      <c r="A306" s="1">
        <f>Hyperlink("https://www.tilemountain.co.uk/p/dunsen-grey-anti-slip-floor-tile.html","Product")</f>
        <v/>
      </c>
      <c r="B306" s="1" t="inlineStr">
        <is>
          <t>439385</t>
        </is>
      </c>
      <c r="C306" s="1" t="inlineStr">
        <is>
          <t>Dunsen Grey Floor Tiles</t>
        </is>
      </c>
      <c r="D306" s="1" t="n">
        <v>22.99</v>
      </c>
      <c r="E306" s="1" t="inlineStr">
        <is>
          <t>800x800mm</t>
        </is>
      </c>
      <c r="F306" s="1" t="inlineStr">
        <is>
          <t>m2</t>
        </is>
      </c>
      <c r="G306" s="1" t="inlineStr">
        <is>
          <t>Full Body Porcelain</t>
        </is>
      </c>
      <c r="H306" s="1" t="inlineStr">
        <is>
          <t>Matt</t>
        </is>
      </c>
      <c r="I306" t="n">
        <v>22.99</v>
      </c>
    </row>
    <row r="307">
      <c r="A307" s="1">
        <f>Hyperlink("https://www.tilemountain.co.uk/p/duomo-azul-polished-floor-tiles.html","Product")</f>
        <v/>
      </c>
      <c r="B307" s="1" t="inlineStr">
        <is>
          <t>452240</t>
        </is>
      </c>
      <c r="C307" s="1" t="inlineStr">
        <is>
          <t>Duomo Azul Polished Floor Tile</t>
        </is>
      </c>
      <c r="D307" s="1" t="n">
        <v>39.99</v>
      </c>
      <c r="E307" s="1" t="inlineStr">
        <is>
          <t>1200x600mm</t>
        </is>
      </c>
      <c r="F307" s="1" t="inlineStr">
        <is>
          <t>m2</t>
        </is>
      </c>
      <c r="G307" s="1" t="inlineStr">
        <is>
          <t>Porcelain</t>
        </is>
      </c>
      <c r="H307" s="1" t="inlineStr">
        <is>
          <t>Polished</t>
        </is>
      </c>
      <c r="I307" t="n">
        <v>39.99</v>
      </c>
    </row>
    <row r="308">
      <c r="A308" s="1">
        <f>Hyperlink("https://www.tilemountain.co.uk/p/duomo-monza-blue-floor-tile.html","Product")</f>
        <v/>
      </c>
      <c r="B308" s="1" t="inlineStr">
        <is>
          <t>440305</t>
        </is>
      </c>
      <c r="C308" s="1" t="inlineStr">
        <is>
          <t>Duomo Monza Blue Wall and Floor Tiles</t>
        </is>
      </c>
      <c r="D308" s="1" t="n">
        <v>24.99</v>
      </c>
      <c r="E308" s="1" t="inlineStr">
        <is>
          <t>200x200mm</t>
        </is>
      </c>
      <c r="F308" s="1" t="inlineStr">
        <is>
          <t>m2</t>
        </is>
      </c>
      <c r="G308" s="1" t="inlineStr">
        <is>
          <t>Ceramic</t>
        </is>
      </c>
      <c r="H308" s="1" t="inlineStr">
        <is>
          <t>Matt</t>
        </is>
      </c>
      <c r="I308" t="n">
        <v>24.99</v>
      </c>
    </row>
    <row r="309">
      <c r="A309" s="1">
        <f>Hyperlink("https://www.tilemountain.co.uk/p/durham-pattern-porcelain-floor-tile.html","Product")</f>
        <v/>
      </c>
      <c r="B309" s="1" t="inlineStr">
        <is>
          <t>445485</t>
        </is>
      </c>
      <c r="C309" s="1" t="inlineStr">
        <is>
          <t>Durham Pattern Porcelain Floor Tiles</t>
        </is>
      </c>
      <c r="D309" s="1" t="n">
        <v>16.99</v>
      </c>
      <c r="E309" s="1" t="inlineStr">
        <is>
          <t>450x450mm</t>
        </is>
      </c>
      <c r="F309" s="1" t="inlineStr">
        <is>
          <t>m2</t>
        </is>
      </c>
      <c r="G309" s="1" t="inlineStr">
        <is>
          <t>Porcelain</t>
        </is>
      </c>
      <c r="H309" s="1" t="inlineStr">
        <is>
          <t>Matt</t>
        </is>
      </c>
      <c r="I309" t="n">
        <v>16.99</v>
      </c>
    </row>
    <row r="310">
      <c r="A310" s="1">
        <f>Hyperlink("https://www.tilemountain.co.uk/p/eco-prim-grip-5kg.html","Product")</f>
        <v/>
      </c>
      <c r="B310" s="1" t="inlineStr">
        <is>
          <t>1560005</t>
        </is>
      </c>
      <c r="C310" s="1" t="inlineStr">
        <is>
          <t>Eco Prim Grip 5kg</t>
        </is>
      </c>
      <c r="D310" s="1" t="n">
        <v>27.99</v>
      </c>
      <c r="E310" s="1" t="inlineStr">
        <is>
          <t>5kg</t>
        </is>
      </c>
      <c r="F310" s="1" t="inlineStr">
        <is>
          <t>Qty</t>
        </is>
      </c>
      <c r="G310" s="1" t="inlineStr">
        <is>
          <t>-</t>
        </is>
      </c>
      <c r="H310" s="1" t="inlineStr">
        <is>
          <t>-</t>
        </is>
      </c>
      <c r="I310" t="n">
        <v>27.99</v>
      </c>
    </row>
    <row r="311">
      <c r="A311" s="1">
        <f>Hyperlink("https://www.tilemountain.co.uk/p/edinburgh-grey-star-patterned-porcelain-wall-and-floor-tile.html","Product")</f>
        <v/>
      </c>
      <c r="B311" s="1" t="inlineStr">
        <is>
          <t>448670</t>
        </is>
      </c>
      <c r="C311" s="1" t="inlineStr">
        <is>
          <t>Edinburgh Grey Star Patterned Porcelain Wall and Floor Tile</t>
        </is>
      </c>
      <c r="D311" s="1" t="n">
        <v>17.99</v>
      </c>
      <c r="E311" s="1" t="inlineStr">
        <is>
          <t>450x450mm</t>
        </is>
      </c>
      <c r="F311" s="1" t="inlineStr">
        <is>
          <t>m2</t>
        </is>
      </c>
      <c r="G311" s="1" t="inlineStr">
        <is>
          <t>Porcelain</t>
        </is>
      </c>
      <c r="H311" s="1" t="inlineStr">
        <is>
          <t>Matt</t>
        </is>
      </c>
      <c r="I311" t="n">
        <v>17.99</v>
      </c>
    </row>
    <row r="312">
      <c r="A312" s="1">
        <f>Hyperlink("https://www.tilemountain.co.uk/p/egiptian-ash.html","Product")</f>
        <v/>
      </c>
      <c r="B312" s="1" t="inlineStr">
        <is>
          <t>446855</t>
        </is>
      </c>
      <c r="C312" s="1" t="inlineStr">
        <is>
          <t>Egyptian Ash Wood Effect Floor Tiles</t>
        </is>
      </c>
      <c r="D312" s="1" t="n">
        <v>18.99</v>
      </c>
      <c r="E312" s="1" t="inlineStr">
        <is>
          <t>1195x225mm</t>
        </is>
      </c>
      <c r="F312" s="1" t="inlineStr">
        <is>
          <t>m2</t>
        </is>
      </c>
      <c r="G312" s="1" t="inlineStr">
        <is>
          <t>Porcelain</t>
        </is>
      </c>
      <c r="H312" s="1" t="inlineStr">
        <is>
          <t>Matt</t>
        </is>
      </c>
      <c r="I312" t="n">
        <v>18.99</v>
      </c>
    </row>
    <row r="313">
      <c r="A313" s="1">
        <f>Hyperlink("https://www.tilemountain.co.uk/p/egiptian-gold.html","Product")</f>
        <v/>
      </c>
      <c r="B313" s="1" t="inlineStr">
        <is>
          <t>446860</t>
        </is>
      </c>
      <c r="C313" s="1" t="inlineStr">
        <is>
          <t>Egyptian Gold Wood Effect Floor Tiles</t>
        </is>
      </c>
      <c r="D313" s="1" t="n">
        <v>18.99</v>
      </c>
      <c r="E313" s="1" t="inlineStr">
        <is>
          <t>1195x225mm</t>
        </is>
      </c>
      <c r="F313" s="1" t="inlineStr">
        <is>
          <t>m2</t>
        </is>
      </c>
      <c r="G313" s="1" t="inlineStr">
        <is>
          <t>Porcelain</t>
        </is>
      </c>
      <c r="H313" s="1" t="inlineStr">
        <is>
          <t>Matt</t>
        </is>
      </c>
      <c r="I313" t="n">
        <v>18.99</v>
      </c>
    </row>
    <row r="314">
      <c r="A314" s="1">
        <f>Hyperlink("https://www.tilemountain.co.uk/p/eire-gris-cobbles-decor-outdoor-tile.html","Product")</f>
        <v/>
      </c>
      <c r="B314" s="1" t="inlineStr">
        <is>
          <t>454490</t>
        </is>
      </c>
      <c r="C314" s="1" t="inlineStr">
        <is>
          <t>Eire Gris Cobbles Decor Outdoor Slab</t>
        </is>
      </c>
      <c r="D314" s="1" t="n">
        <v>29.99</v>
      </c>
      <c r="E314" s="1" t="inlineStr">
        <is>
          <t>610x610mm</t>
        </is>
      </c>
      <c r="F314" s="1" t="inlineStr">
        <is>
          <t>m2</t>
        </is>
      </c>
      <c r="G314" s="1" t="inlineStr">
        <is>
          <t>Porcelain</t>
        </is>
      </c>
      <c r="H314" s="1" t="inlineStr">
        <is>
          <t>Riven</t>
        </is>
      </c>
      <c r="I314" t="n">
        <v>29.99</v>
      </c>
    </row>
    <row r="315">
      <c r="A315" s="1">
        <f>Hyperlink("https://www.tilemountain.co.uk/p/eire-gris-cobbles-outdoor-slab-tile.html","Product")</f>
        <v/>
      </c>
      <c r="B315" s="1" t="inlineStr">
        <is>
          <t>454485</t>
        </is>
      </c>
      <c r="C315" s="1" t="inlineStr">
        <is>
          <t>Eire Gris Cobbles Outdoor Slab</t>
        </is>
      </c>
      <c r="D315" s="1" t="n">
        <v>29.99</v>
      </c>
      <c r="E315" s="1" t="inlineStr">
        <is>
          <t>610x610mm</t>
        </is>
      </c>
      <c r="F315" s="1" t="inlineStr">
        <is>
          <t>m2</t>
        </is>
      </c>
      <c r="G315" s="1" t="inlineStr">
        <is>
          <t>Porcelain</t>
        </is>
      </c>
      <c r="H315" s="1" t="inlineStr">
        <is>
          <t>Riven</t>
        </is>
      </c>
      <c r="I315" t="n">
        <v>29.99</v>
      </c>
    </row>
    <row r="316">
      <c r="A316" s="1">
        <f>Hyperlink("https://www.tilemountain.co.uk/p/elements-antracite-10x30cm-wall-tiles.html","Product")</f>
        <v/>
      </c>
      <c r="B316" s="1" t="inlineStr">
        <is>
          <t>401380</t>
        </is>
      </c>
      <c r="C316" s="1" t="inlineStr">
        <is>
          <t>Elements Anthracite Wall Tiles</t>
        </is>
      </c>
      <c r="D316" s="1" t="n">
        <v>17</v>
      </c>
      <c r="E316" s="1" t="inlineStr">
        <is>
          <t>300x100mm</t>
        </is>
      </c>
      <c r="F316" s="1" t="inlineStr">
        <is>
          <t>m2</t>
        </is>
      </c>
      <c r="G316" s="1" t="inlineStr">
        <is>
          <t>Ceramic</t>
        </is>
      </c>
      <c r="H316" s="1" t="inlineStr">
        <is>
          <t>Gloss</t>
        </is>
      </c>
      <c r="I316" t="n">
        <v>17</v>
      </c>
    </row>
    <row r="317">
      <c r="A317" s="1">
        <f>Hyperlink("https://www.tilemountain.co.uk/p/elements-sabbia-10x20cm-wall-tiles.html","Product")</f>
        <v/>
      </c>
      <c r="B317" s="1" t="inlineStr">
        <is>
          <t>401350</t>
        </is>
      </c>
      <c r="C317" s="1" t="inlineStr">
        <is>
          <t>Elements Sabbia Wall Tiles</t>
        </is>
      </c>
      <c r="D317" s="1" t="n">
        <v>17</v>
      </c>
      <c r="E317" s="1" t="inlineStr">
        <is>
          <t>300x100mm</t>
        </is>
      </c>
      <c r="F317" s="1" t="inlineStr">
        <is>
          <t>m2</t>
        </is>
      </c>
      <c r="G317" s="1" t="inlineStr">
        <is>
          <t>Ceramic</t>
        </is>
      </c>
      <c r="H317" s="1" t="inlineStr">
        <is>
          <t>Gloss</t>
        </is>
      </c>
      <c r="I317" t="n">
        <v>17</v>
      </c>
    </row>
    <row r="318">
      <c r="A318" s="1">
        <f>Hyperlink("https://www.tilemountain.co.uk/p/elven-beige-decor-wall-tile.html","Product")</f>
        <v/>
      </c>
      <c r="B318" s="1" t="inlineStr">
        <is>
          <t>446180</t>
        </is>
      </c>
      <c r="C318" s="1" t="inlineStr">
        <is>
          <t>Elven Beige Decor Wall Tiles</t>
        </is>
      </c>
      <c r="D318" s="1" t="n">
        <v>20.99</v>
      </c>
      <c r="E318" s="1" t="inlineStr">
        <is>
          <t>700x250mm</t>
        </is>
      </c>
      <c r="F318" s="1" t="inlineStr">
        <is>
          <t>m2</t>
        </is>
      </c>
      <c r="G318" s="1" t="inlineStr">
        <is>
          <t>Ceramic</t>
        </is>
      </c>
      <c r="H318" s="1" t="inlineStr">
        <is>
          <t>Matt</t>
        </is>
      </c>
      <c r="I318" t="n">
        <v>20.99</v>
      </c>
    </row>
    <row r="319">
      <c r="A319" s="1">
        <f>Hyperlink("https://www.tilemountain.co.uk/p/elven-beige-matt-floor-tile.html","Product")</f>
        <v/>
      </c>
      <c r="B319" s="1" t="inlineStr">
        <is>
          <t>446195</t>
        </is>
      </c>
      <c r="C319" s="1" t="inlineStr">
        <is>
          <t>Elven Beige Matt Floor Tiles</t>
        </is>
      </c>
      <c r="D319" s="1" t="n">
        <v>22.99</v>
      </c>
      <c r="E319" s="1" t="inlineStr">
        <is>
          <t>600x600mm</t>
        </is>
      </c>
      <c r="F319" s="1" t="inlineStr">
        <is>
          <t>m2</t>
        </is>
      </c>
      <c r="G319" s="1" t="inlineStr">
        <is>
          <t>Porcelain</t>
        </is>
      </c>
      <c r="H319" s="1" t="inlineStr">
        <is>
          <t>Matt</t>
        </is>
      </c>
      <c r="I319" t="n">
        <v>22.99</v>
      </c>
    </row>
    <row r="320">
      <c r="A320" s="1">
        <f>Hyperlink("https://www.tilemountain.co.uk/p/elven-beige-matt-wall-tile.html","Product")</f>
        <v/>
      </c>
      <c r="B320" s="1" t="inlineStr">
        <is>
          <t>446165</t>
        </is>
      </c>
      <c r="C320" s="1" t="inlineStr">
        <is>
          <t>Elven Beige Matt Wall Tiles</t>
        </is>
      </c>
      <c r="D320" s="1" t="n">
        <v>18.99</v>
      </c>
      <c r="E320" s="1" t="inlineStr">
        <is>
          <t>700x250mm</t>
        </is>
      </c>
      <c r="F320" s="1" t="inlineStr">
        <is>
          <t>m2</t>
        </is>
      </c>
      <c r="G320" s="1" t="inlineStr">
        <is>
          <t>Ceramic</t>
        </is>
      </c>
      <c r="H320" s="1" t="inlineStr">
        <is>
          <t>Matt</t>
        </is>
      </c>
      <c r="I320" t="n">
        <v>18.99</v>
      </c>
    </row>
    <row r="321">
      <c r="A321" s="1">
        <f>Hyperlink("https://www.tilemountain.co.uk/p/elven-blanco-decor-wall-tile.html","Product")</f>
        <v/>
      </c>
      <c r="B321" s="1" t="inlineStr">
        <is>
          <t>446175</t>
        </is>
      </c>
      <c r="C321" s="1" t="inlineStr">
        <is>
          <t>Elven Blanco Decor Wall Tiles</t>
        </is>
      </c>
      <c r="D321" s="1" t="n">
        <v>20.99</v>
      </c>
      <c r="E321" s="1" t="inlineStr">
        <is>
          <t>700x250mm</t>
        </is>
      </c>
      <c r="F321" s="1" t="inlineStr">
        <is>
          <t>m2</t>
        </is>
      </c>
      <c r="G321" s="1" t="inlineStr">
        <is>
          <t>Ceramic</t>
        </is>
      </c>
      <c r="H321" s="1" t="inlineStr">
        <is>
          <t>Matt</t>
        </is>
      </c>
      <c r="I321" t="n">
        <v>20.99</v>
      </c>
    </row>
    <row r="322">
      <c r="A322" s="1">
        <f>Hyperlink("https://www.tilemountain.co.uk/p/elven-blanco-matt-floor-tile.html","Product")</f>
        <v/>
      </c>
      <c r="B322" s="1" t="inlineStr">
        <is>
          <t>446190</t>
        </is>
      </c>
      <c r="C322" s="1" t="inlineStr">
        <is>
          <t>Elven Blanco Matt Floor Tiles</t>
        </is>
      </c>
      <c r="D322" s="1" t="n">
        <v>22.99</v>
      </c>
      <c r="E322" s="1" t="inlineStr">
        <is>
          <t>600x600mm</t>
        </is>
      </c>
      <c r="F322" s="1" t="inlineStr">
        <is>
          <t>m2</t>
        </is>
      </c>
      <c r="G322" s="1" t="inlineStr">
        <is>
          <t>Porcelain</t>
        </is>
      </c>
      <c r="H322" s="1" t="inlineStr">
        <is>
          <t>Matt</t>
        </is>
      </c>
      <c r="I322" t="n">
        <v>22.99</v>
      </c>
    </row>
    <row r="323">
      <c r="A323" s="1">
        <f>Hyperlink("https://www.tilemountain.co.uk/p/elven-blanco-matt-wall-tile.html","Product")</f>
        <v/>
      </c>
      <c r="B323" s="1" t="inlineStr">
        <is>
          <t>446160</t>
        </is>
      </c>
      <c r="C323" s="1" t="inlineStr">
        <is>
          <t>Elven Blanco Matt Wall Tiles</t>
        </is>
      </c>
      <c r="D323" s="1" t="n">
        <v>18.99</v>
      </c>
      <c r="E323" s="1" t="inlineStr">
        <is>
          <t>250x700</t>
        </is>
      </c>
      <c r="F323" s="1" t="inlineStr">
        <is>
          <t>m2</t>
        </is>
      </c>
      <c r="G323" s="1" t="inlineStr">
        <is>
          <t>Ceramic</t>
        </is>
      </c>
      <c r="H323" s="1" t="inlineStr">
        <is>
          <t>Matt</t>
        </is>
      </c>
      <c r="I323" t="n">
        <v>18.99</v>
      </c>
    </row>
    <row r="324">
      <c r="A324" s="1">
        <f>Hyperlink("https://www.tilemountain.co.uk/p/elven-grey-decor-wall-tile.html","Product")</f>
        <v/>
      </c>
      <c r="B324" s="1" t="inlineStr">
        <is>
          <t>446185</t>
        </is>
      </c>
      <c r="C324" s="1" t="inlineStr">
        <is>
          <t>Elven Grey Decor Wall Tiles</t>
        </is>
      </c>
      <c r="D324" s="1" t="n">
        <v>20.99</v>
      </c>
      <c r="E324" s="1" t="inlineStr">
        <is>
          <t>700x250mm</t>
        </is>
      </c>
      <c r="F324" s="1" t="inlineStr">
        <is>
          <t>m2</t>
        </is>
      </c>
      <c r="G324" s="1" t="inlineStr">
        <is>
          <t>Ceramic</t>
        </is>
      </c>
      <c r="H324" s="1" t="inlineStr">
        <is>
          <t>Matt</t>
        </is>
      </c>
      <c r="I324" t="n">
        <v>20.99</v>
      </c>
    </row>
    <row r="325">
      <c r="A325" s="1">
        <f>Hyperlink("https://www.tilemountain.co.uk/p/elven-grey-matt-floor-tile.html","Product")</f>
        <v/>
      </c>
      <c r="B325" s="1" t="inlineStr">
        <is>
          <t>446200</t>
        </is>
      </c>
      <c r="C325" s="1" t="inlineStr">
        <is>
          <t>Elven Grey Matt Floor Tiles</t>
        </is>
      </c>
      <c r="D325" s="1" t="n">
        <v>22.99</v>
      </c>
      <c r="E325" s="1" t="inlineStr">
        <is>
          <t>600x600mm</t>
        </is>
      </c>
      <c r="F325" s="1" t="inlineStr">
        <is>
          <t>m2</t>
        </is>
      </c>
      <c r="G325" s="1" t="inlineStr">
        <is>
          <t>Porcelain</t>
        </is>
      </c>
      <c r="H325" s="1" t="inlineStr">
        <is>
          <t>Matt</t>
        </is>
      </c>
      <c r="I325" t="n">
        <v>22.99</v>
      </c>
    </row>
    <row r="326">
      <c r="A326" s="1">
        <f>Hyperlink("https://www.tilemountain.co.uk/p/elven-grey-matt-wall-tile.html","Product")</f>
        <v/>
      </c>
      <c r="B326" s="1" t="inlineStr">
        <is>
          <t>446170</t>
        </is>
      </c>
      <c r="C326" s="1" t="inlineStr">
        <is>
          <t>Elven Grey Matt Wall Tiles</t>
        </is>
      </c>
      <c r="D326" s="1" t="n">
        <v>18.99</v>
      </c>
      <c r="E326" s="1" t="inlineStr">
        <is>
          <t>700x250mm</t>
        </is>
      </c>
      <c r="F326" s="1" t="inlineStr">
        <is>
          <t>m2</t>
        </is>
      </c>
      <c r="G326" s="1" t="inlineStr">
        <is>
          <t>Ceramic</t>
        </is>
      </c>
      <c r="H326" s="1" t="inlineStr">
        <is>
          <t>Matt</t>
        </is>
      </c>
      <c r="I326" t="n">
        <v>18.99</v>
      </c>
    </row>
    <row r="327">
      <c r="A327" s="1">
        <f>Hyperlink("https://www.tilemountain.co.uk/p/emulsifying-pad-white-25x11cm.html","Product")</f>
        <v/>
      </c>
      <c r="B327" s="1" t="inlineStr">
        <is>
          <t>LTPT37</t>
        </is>
      </c>
      <c r="C327" s="1" t="inlineStr">
        <is>
          <t>Emulsifying Pad White 25x11cm</t>
        </is>
      </c>
      <c r="D327" s="1" t="n">
        <v>2.95</v>
      </c>
      <c r="E327" s="1" t="inlineStr">
        <is>
          <t>-</t>
        </is>
      </c>
      <c r="F327" s="1" t="inlineStr">
        <is>
          <t>Qty</t>
        </is>
      </c>
      <c r="G327" s="1" t="inlineStr">
        <is>
          <t>-</t>
        </is>
      </c>
      <c r="H327" s="1" t="inlineStr">
        <is>
          <t>-</t>
        </is>
      </c>
      <c r="I327" t="n">
        <v>2.95</v>
      </c>
    </row>
    <row r="328">
      <c r="A328" s="1">
        <f>Hyperlink("https://www.tilemountain.co.uk/p/enstone-anthracite-outdoor-tile.html","Product")</f>
        <v/>
      </c>
      <c r="B328" s="1" t="inlineStr">
        <is>
          <t>442980</t>
        </is>
      </c>
      <c r="C328" s="1" t="inlineStr">
        <is>
          <t>Enstone Anthracite Outdoor Slab Tiles</t>
        </is>
      </c>
      <c r="D328" s="1" t="n">
        <v>29.99</v>
      </c>
      <c r="E328" s="1" t="inlineStr">
        <is>
          <t>600x600mm</t>
        </is>
      </c>
      <c r="F328" s="1" t="inlineStr">
        <is>
          <t>m2</t>
        </is>
      </c>
      <c r="G328" s="1" t="inlineStr">
        <is>
          <t>Porcelain</t>
        </is>
      </c>
      <c r="H328" s="1" t="inlineStr">
        <is>
          <t>Matt</t>
        </is>
      </c>
      <c r="I328" t="n">
        <v>29.99</v>
      </c>
    </row>
    <row r="329">
      <c r="A329" s="1">
        <f>Hyperlink("https://www.tilemountain.co.uk/p/enstone-grey-outdoor-tile.html","Product")</f>
        <v/>
      </c>
      <c r="B329" s="1" t="inlineStr">
        <is>
          <t>442975</t>
        </is>
      </c>
      <c r="C329" s="1" t="inlineStr">
        <is>
          <t>Enstone Grey Outdoor Slab Tiles</t>
        </is>
      </c>
      <c r="D329" s="1" t="n">
        <v>29.99</v>
      </c>
      <c r="E329" s="1" t="inlineStr">
        <is>
          <t>600x600mm</t>
        </is>
      </c>
      <c r="F329" s="1" t="inlineStr">
        <is>
          <t>m2</t>
        </is>
      </c>
      <c r="G329" s="1" t="inlineStr">
        <is>
          <t>Porcelain</t>
        </is>
      </c>
      <c r="H329" s="1" t="inlineStr">
        <is>
          <t>Matt</t>
        </is>
      </c>
      <c r="I329" t="n">
        <v>29.99</v>
      </c>
    </row>
    <row r="330">
      <c r="A330" s="1">
        <f>Hyperlink("https://www.tilemountain.co.uk/p/erebor-beige.html","Product")</f>
        <v/>
      </c>
      <c r="B330" s="1" t="inlineStr">
        <is>
          <t>454540</t>
        </is>
      </c>
      <c r="C330" s="1" t="inlineStr">
        <is>
          <t>Ebor Beige Outdoor Slab</t>
        </is>
      </c>
      <c r="D330" s="1" t="n">
        <v>25.99</v>
      </c>
      <c r="E330" s="1" t="inlineStr">
        <is>
          <t>595x595mm</t>
        </is>
      </c>
      <c r="F330" s="1" t="inlineStr">
        <is>
          <t>m2</t>
        </is>
      </c>
      <c r="G330" s="1" t="inlineStr">
        <is>
          <t>Porcelain</t>
        </is>
      </c>
      <c r="H330" s="1" t="inlineStr">
        <is>
          <t>Matt</t>
        </is>
      </c>
      <c r="I330" t="n">
        <v>25.99</v>
      </c>
    </row>
    <row r="331">
      <c r="A331" s="1">
        <f>Hyperlink("https://www.tilemountain.co.uk/p/erebor-gris.html","Product")</f>
        <v/>
      </c>
      <c r="B331" s="1" t="inlineStr">
        <is>
          <t>454535</t>
        </is>
      </c>
      <c r="C331" s="1" t="inlineStr">
        <is>
          <t>Ebor Grey Outdoor Slab</t>
        </is>
      </c>
      <c r="D331" s="1" t="n">
        <v>25.99</v>
      </c>
      <c r="E331" s="1" t="inlineStr">
        <is>
          <t>595x595mm</t>
        </is>
      </c>
      <c r="F331" s="1" t="inlineStr">
        <is>
          <t>m2</t>
        </is>
      </c>
      <c r="G331" s="1" t="inlineStr">
        <is>
          <t>Porcelain</t>
        </is>
      </c>
      <c r="H331" s="1" t="inlineStr">
        <is>
          <t>Matt</t>
        </is>
      </c>
      <c r="I331" t="n">
        <v>25.99</v>
      </c>
    </row>
    <row r="332">
      <c r="A332" s="1">
        <f>Hyperlink("https://www.tilemountain.co.uk/p/erebor-natural-split-face-wall-tile.html","Product")</f>
        <v/>
      </c>
      <c r="B332" s="1" t="inlineStr">
        <is>
          <t>446670</t>
        </is>
      </c>
      <c r="C332" s="1" t="inlineStr">
        <is>
          <t>Erebor Natural Split Face Wall Tiles</t>
        </is>
      </c>
      <c r="D332" s="1" t="n">
        <v>25.99</v>
      </c>
      <c r="E332" s="1" t="inlineStr">
        <is>
          <t>660x440mm</t>
        </is>
      </c>
      <c r="F332" s="1" t="inlineStr">
        <is>
          <t>m2</t>
        </is>
      </c>
      <c r="G332" s="1" t="inlineStr">
        <is>
          <t>Porcelain</t>
        </is>
      </c>
      <c r="H332" s="1" t="inlineStr">
        <is>
          <t>Matt</t>
        </is>
      </c>
      <c r="I332" t="n">
        <v>25.99</v>
      </c>
    </row>
    <row r="333">
      <c r="A333" s="1">
        <f>Hyperlink("https://www.tilemountain.co.uk/p/erebor-steel-split-face-wall-tile.html","Product")</f>
        <v/>
      </c>
      <c r="B333" s="1" t="inlineStr">
        <is>
          <t>446660</t>
        </is>
      </c>
      <c r="C333" s="1" t="inlineStr">
        <is>
          <t>Erebor Steel Split Face Wall Tiles</t>
        </is>
      </c>
      <c r="D333" s="1" t="n">
        <v>25.99</v>
      </c>
      <c r="E333" s="1" t="inlineStr">
        <is>
          <t>660x440mm</t>
        </is>
      </c>
      <c r="F333" s="1" t="inlineStr">
        <is>
          <t>m2</t>
        </is>
      </c>
      <c r="G333" s="1" t="inlineStr">
        <is>
          <t>Porcelain</t>
        </is>
      </c>
      <c r="H333" s="1" t="inlineStr">
        <is>
          <t>Matt</t>
        </is>
      </c>
      <c r="I333" t="n">
        <v>25.99</v>
      </c>
    </row>
    <row r="334">
      <c r="A334" s="1">
        <f>Hyperlink("https://www.tilemountain.co.uk/p/erebor-white-split-face-wall-tile.html","Product")</f>
        <v/>
      </c>
      <c r="B334" s="1" t="inlineStr">
        <is>
          <t>446665</t>
        </is>
      </c>
      <c r="C334" s="1" t="inlineStr">
        <is>
          <t>Erebor White Split Face Wall Tiles</t>
        </is>
      </c>
      <c r="D334" s="1" t="n">
        <v>25.99</v>
      </c>
      <c r="E334" s="1" t="inlineStr">
        <is>
          <t>660x440mm</t>
        </is>
      </c>
      <c r="F334" s="1" t="inlineStr">
        <is>
          <t>m2</t>
        </is>
      </c>
      <c r="G334" s="1" t="inlineStr">
        <is>
          <t>Porcelain</t>
        </is>
      </c>
      <c r="H334" s="1" t="inlineStr">
        <is>
          <t>Matt</t>
        </is>
      </c>
      <c r="I334" t="n">
        <v>25.99</v>
      </c>
    </row>
    <row r="335">
      <c r="A335" s="1">
        <f>Hyperlink("https://www.tilemountain.co.uk/p/esenzia-fenice-patterened-wall-tile.html","Product")</f>
        <v/>
      </c>
      <c r="B335" s="1" t="inlineStr">
        <is>
          <t>440295</t>
        </is>
      </c>
      <c r="C335" s="1" t="inlineStr">
        <is>
          <t>Esenzia Fenice Patterned Wall Tiles</t>
        </is>
      </c>
      <c r="D335" s="1" t="n">
        <v>22.99</v>
      </c>
      <c r="E335" s="1" t="inlineStr">
        <is>
          <t>300x150mm</t>
        </is>
      </c>
      <c r="F335" s="1" t="inlineStr">
        <is>
          <t>m2</t>
        </is>
      </c>
      <c r="G335" s="1" t="inlineStr">
        <is>
          <t>Ceramic</t>
        </is>
      </c>
      <c r="H335" s="1" t="inlineStr">
        <is>
          <t>Gloss</t>
        </is>
      </c>
      <c r="I335" t="n">
        <v>22.99</v>
      </c>
    </row>
    <row r="336">
      <c r="A336" s="1">
        <f>Hyperlink("https://www.tilemountain.co.uk/p/esenzia-gondola-patterned-wall-tile.html","Product")</f>
        <v/>
      </c>
      <c r="B336" s="1" t="inlineStr">
        <is>
          <t>440290</t>
        </is>
      </c>
      <c r="C336" s="1" t="inlineStr">
        <is>
          <t>Esenzia Gondola Patterned Wall Tiles</t>
        </is>
      </c>
      <c r="D336" s="1" t="n">
        <v>22.99</v>
      </c>
      <c r="E336" s="1" t="inlineStr">
        <is>
          <t>300x150mm</t>
        </is>
      </c>
      <c r="F336" s="1" t="inlineStr">
        <is>
          <t>m2</t>
        </is>
      </c>
      <c r="G336" s="1" t="inlineStr">
        <is>
          <t>Ceramic</t>
        </is>
      </c>
      <c r="H336" s="1" t="inlineStr">
        <is>
          <t>Gloss</t>
        </is>
      </c>
      <c r="I336" t="n">
        <v>22.99</v>
      </c>
    </row>
    <row r="337">
      <c r="A337" s="1">
        <f>Hyperlink("https://www.tilemountain.co.uk/p/esenzia-grey-wall-tile.html","Product")</f>
        <v/>
      </c>
      <c r="B337" s="1" t="inlineStr">
        <is>
          <t>440270</t>
        </is>
      </c>
      <c r="C337" s="1" t="inlineStr">
        <is>
          <t>Esenzia Grey Wall Tiles</t>
        </is>
      </c>
      <c r="D337" s="1" t="n">
        <v>19.99</v>
      </c>
      <c r="E337" s="1" t="inlineStr">
        <is>
          <t>300x150mm</t>
        </is>
      </c>
      <c r="F337" s="1" t="inlineStr">
        <is>
          <t>m2</t>
        </is>
      </c>
      <c r="G337" s="1" t="inlineStr">
        <is>
          <t>Ceramic</t>
        </is>
      </c>
      <c r="H337" s="1" t="inlineStr">
        <is>
          <t>Gloss</t>
        </is>
      </c>
      <c r="I337" t="n">
        <v>19.99</v>
      </c>
    </row>
    <row r="338">
      <c r="A338" s="1">
        <f>Hyperlink("https://www.tilemountain.co.uk/p/esenzia-leaf-wall-tile.html","Product")</f>
        <v/>
      </c>
      <c r="B338" s="1" t="inlineStr">
        <is>
          <t>440275</t>
        </is>
      </c>
      <c r="C338" s="1" t="inlineStr">
        <is>
          <t>Esenzia Leaf Wall Tiles</t>
        </is>
      </c>
      <c r="D338" s="1" t="n">
        <v>19.99</v>
      </c>
      <c r="E338" s="1" t="inlineStr">
        <is>
          <t>300x150mm</t>
        </is>
      </c>
      <c r="F338" s="1" t="inlineStr">
        <is>
          <t>m2</t>
        </is>
      </c>
      <c r="G338" s="1" t="inlineStr">
        <is>
          <t>Ceramic</t>
        </is>
      </c>
      <c r="H338" s="1" t="inlineStr">
        <is>
          <t>Gloss</t>
        </is>
      </c>
      <c r="I338" t="n">
        <v>19.99</v>
      </c>
    </row>
    <row r="339">
      <c r="A339" s="1">
        <f>Hyperlink("https://www.tilemountain.co.uk/p/esenzia-white-wall-tile.html","Product")</f>
        <v/>
      </c>
      <c r="B339" s="1" t="inlineStr">
        <is>
          <t>440265</t>
        </is>
      </c>
      <c r="C339" s="1" t="inlineStr">
        <is>
          <t>Esenzia White Wall Tiles</t>
        </is>
      </c>
      <c r="D339" s="1" t="n">
        <v>19.99</v>
      </c>
      <c r="E339" s="1" t="inlineStr">
        <is>
          <t>300x150mm</t>
        </is>
      </c>
      <c r="F339" s="1" t="inlineStr">
        <is>
          <t>m2</t>
        </is>
      </c>
      <c r="G339" s="1" t="inlineStr">
        <is>
          <t>Ceramic</t>
        </is>
      </c>
      <c r="H339" s="1" t="inlineStr">
        <is>
          <t>Gloss</t>
        </is>
      </c>
      <c r="I339" t="n">
        <v>19.99</v>
      </c>
    </row>
    <row r="340">
      <c r="A340" s="1">
        <f>Hyperlink("https://www.tilemountain.co.uk/p/etna-anthracite-porcelain-wall-and-floor-tile.html","Product")</f>
        <v/>
      </c>
      <c r="B340" s="1" t="inlineStr">
        <is>
          <t>440455</t>
        </is>
      </c>
      <c r="C340" s="1" t="inlineStr">
        <is>
          <t>Etna Anthracite Porcelain Wall And Floor Tiles</t>
        </is>
      </c>
      <c r="D340" s="1" t="n">
        <v>23.99</v>
      </c>
      <c r="E340" s="1" t="inlineStr">
        <is>
          <t>450x900mm</t>
        </is>
      </c>
      <c r="F340" s="1" t="inlineStr">
        <is>
          <t>m2</t>
        </is>
      </c>
      <c r="G340" s="1" t="inlineStr">
        <is>
          <t>Porcelain</t>
        </is>
      </c>
      <c r="H340" s="1" t="inlineStr">
        <is>
          <t>Semi Polished</t>
        </is>
      </c>
      <c r="I340" t="n">
        <v>23.99</v>
      </c>
    </row>
    <row r="341">
      <c r="A341" s="1">
        <f>Hyperlink("https://www.tilemountain.co.uk/p/etna-lava-porcelain-wall-and-floor-tile.html","Product")</f>
        <v/>
      </c>
      <c r="B341" s="1" t="inlineStr">
        <is>
          <t>440460</t>
        </is>
      </c>
      <c r="C341" s="1" t="inlineStr">
        <is>
          <t>Etna Lava Porcelain Wall And Floor Tiles</t>
        </is>
      </c>
      <c r="D341" s="1" t="n">
        <v>23.99</v>
      </c>
      <c r="E341" s="1" t="inlineStr">
        <is>
          <t>450x900mm</t>
        </is>
      </c>
      <c r="F341" s="1" t="inlineStr">
        <is>
          <t>m2</t>
        </is>
      </c>
      <c r="G341" s="1" t="inlineStr">
        <is>
          <t>Porcelain</t>
        </is>
      </c>
      <c r="H341" s="1" t="inlineStr">
        <is>
          <t>Semi Polished</t>
        </is>
      </c>
      <c r="I341" t="n">
        <v>23.99</v>
      </c>
    </row>
    <row r="342">
      <c r="A342" s="1">
        <f>Hyperlink("https://www.tilemountain.co.uk/p/etna-rust-porcelain-wall-and-floor-tile.html","Product")</f>
        <v/>
      </c>
      <c r="B342" s="1" t="inlineStr">
        <is>
          <t>440465</t>
        </is>
      </c>
      <c r="C342" s="1" t="inlineStr">
        <is>
          <t>Etna Rust Porcelain Wall And Floor Tiles</t>
        </is>
      </c>
      <c r="D342" s="1" t="n">
        <v>23.99</v>
      </c>
      <c r="E342" s="1" t="inlineStr">
        <is>
          <t>450x900mm</t>
        </is>
      </c>
      <c r="F342" s="1" t="inlineStr">
        <is>
          <t>m2</t>
        </is>
      </c>
      <c r="G342" s="1" t="inlineStr">
        <is>
          <t>Porcelain</t>
        </is>
      </c>
      <c r="H342" s="1" t="inlineStr">
        <is>
          <t>Semi Polished</t>
        </is>
      </c>
      <c r="I342" t="n">
        <v>23.99</v>
      </c>
    </row>
    <row r="343">
      <c r="A343" s="1">
        <f>Hyperlink("https://www.tilemountain.co.uk/p/evolution-matt-natural-black-floor-tile.html","Product")</f>
        <v/>
      </c>
      <c r="B343" s="1" t="inlineStr">
        <is>
          <t>439510</t>
        </is>
      </c>
      <c r="C343" s="1" t="inlineStr">
        <is>
          <t>Evolution Matt Natural Black Floor Tiles</t>
        </is>
      </c>
      <c r="D343" s="1" t="n">
        <v>23</v>
      </c>
      <c r="E343" s="1" t="inlineStr">
        <is>
          <t>1000x500mm</t>
        </is>
      </c>
      <c r="F343" s="1" t="inlineStr">
        <is>
          <t>m2</t>
        </is>
      </c>
      <c r="G343" s="1" t="inlineStr">
        <is>
          <t>Porcelain</t>
        </is>
      </c>
      <c r="H343" s="1" t="inlineStr">
        <is>
          <t>Matt</t>
        </is>
      </c>
      <c r="I343" t="n">
        <v>23</v>
      </c>
    </row>
    <row r="344">
      <c r="A344" s="1">
        <f>Hyperlink("https://www.tilemountain.co.uk/p/evolution-matt-natural-white-floor-tile.html","Product")</f>
        <v/>
      </c>
      <c r="B344" s="1" t="inlineStr">
        <is>
          <t>439520</t>
        </is>
      </c>
      <c r="C344" s="1" t="inlineStr">
        <is>
          <t>Evolution Matt Natural White Floor Tiles</t>
        </is>
      </c>
      <c r="D344" s="1" t="n">
        <v>30.99</v>
      </c>
      <c r="E344" s="1" t="inlineStr">
        <is>
          <t>1000x500mm</t>
        </is>
      </c>
      <c r="F344" s="1" t="inlineStr">
        <is>
          <t>m2</t>
        </is>
      </c>
      <c r="G344" s="1" t="inlineStr">
        <is>
          <t>Porcelain</t>
        </is>
      </c>
      <c r="H344" s="1" t="inlineStr">
        <is>
          <t>Matt</t>
        </is>
      </c>
      <c r="I344" t="n">
        <v>30.99</v>
      </c>
    </row>
    <row r="345">
      <c r="A345" s="1">
        <f>Hyperlink("https://www.tilemountain.co.uk/p/evoque-carthusain-encaustic-effect-porcelain-floor-tile.html","Product")</f>
        <v/>
      </c>
      <c r="B345" s="1" t="inlineStr">
        <is>
          <t>448980</t>
        </is>
      </c>
      <c r="C345" s="1" t="inlineStr">
        <is>
          <t>Evoque Carthusain Encaustic Effect Porcelain Floor Tile</t>
        </is>
      </c>
      <c r="D345" s="1" t="n">
        <v>17.92</v>
      </c>
      <c r="E345" s="1" t="inlineStr">
        <is>
          <t>250x250mm</t>
        </is>
      </c>
      <c r="F345" s="1" t="inlineStr">
        <is>
          <t>m2</t>
        </is>
      </c>
      <c r="G345" s="1" t="inlineStr">
        <is>
          <t>Porcelain</t>
        </is>
      </c>
      <c r="H345" s="1" t="inlineStr">
        <is>
          <t>Matt</t>
        </is>
      </c>
      <c r="I345" t="n">
        <v>17.92</v>
      </c>
    </row>
    <row r="346">
      <c r="A346" s="1">
        <f>Hyperlink("https://www.tilemountain.co.uk/p/exeter-pattern-porcelain-floor-tile.html","Product")</f>
        <v/>
      </c>
      <c r="B346" s="1" t="inlineStr">
        <is>
          <t>445500</t>
        </is>
      </c>
      <c r="C346" s="1" t="inlineStr">
        <is>
          <t>Exeter Pattern Porcelain Floor Tiles</t>
        </is>
      </c>
      <c r="D346" s="1" t="n">
        <v>10.99</v>
      </c>
      <c r="E346" s="1" t="inlineStr">
        <is>
          <t>333x333mm</t>
        </is>
      </c>
      <c r="F346" s="1" t="inlineStr">
        <is>
          <t>m2</t>
        </is>
      </c>
      <c r="G346" s="1" t="inlineStr">
        <is>
          <t>Porcelain</t>
        </is>
      </c>
      <c r="H346" s="1" t="inlineStr">
        <is>
          <t>Matt</t>
        </is>
      </c>
      <c r="I346" t="n">
        <v>10.99</v>
      </c>
    </row>
    <row r="347">
      <c r="A347" s="1">
        <f>Hyperlink("https://www.tilemountain.co.uk/p/extreme-white-800x800-polished-porcelain-floor-tile.html","Product")</f>
        <v/>
      </c>
      <c r="B347" s="1" t="inlineStr">
        <is>
          <t>454095</t>
        </is>
      </c>
      <c r="C347" s="1" t="inlineStr">
        <is>
          <t>Extreme White Polished Porcelain Floor Tile</t>
        </is>
      </c>
      <c r="D347" s="1" t="n">
        <v>24.99</v>
      </c>
      <c r="E347" s="1" t="inlineStr">
        <is>
          <t>800x800mm</t>
        </is>
      </c>
      <c r="F347" s="1" t="inlineStr">
        <is>
          <t>m2</t>
        </is>
      </c>
      <c r="G347" s="1" t="inlineStr">
        <is>
          <t>Porcelain</t>
        </is>
      </c>
      <c r="H347" s="1" t="inlineStr">
        <is>
          <t>Polished</t>
        </is>
      </c>
      <c r="I347" t="n">
        <v>24.99</v>
      </c>
    </row>
    <row r="348">
      <c r="A348" s="1">
        <f>Hyperlink("https://www.tilemountain.co.uk/p/extreme-white-polished-porcelain-floor-tile-2166.html","Product")</f>
        <v/>
      </c>
      <c r="B348" s="1" t="inlineStr">
        <is>
          <t>437190</t>
        </is>
      </c>
      <c r="C348" s="1" t="inlineStr">
        <is>
          <t>Extreme White Polished Porcelain Wall and Floor Tiles</t>
        </is>
      </c>
      <c r="D348" s="1" t="n">
        <v>29.99</v>
      </c>
      <c r="E348" s="1" t="inlineStr">
        <is>
          <t>298x598mm</t>
        </is>
      </c>
      <c r="F348" s="1" t="inlineStr">
        <is>
          <t>m2</t>
        </is>
      </c>
      <c r="G348" s="1" t="inlineStr">
        <is>
          <t>Porcelain</t>
        </is>
      </c>
      <c r="H348" s="1" t="inlineStr">
        <is>
          <t>Polished</t>
        </is>
      </c>
      <c r="I348" t="n">
        <v>29.99</v>
      </c>
    </row>
    <row r="349">
      <c r="A349" s="1">
        <f>Hyperlink("https://www.tilemountain.co.uk/p/extreme-white-polished-porcelain-floor-tile.html","Product")</f>
        <v/>
      </c>
      <c r="B349" s="1" t="inlineStr">
        <is>
          <t>437185</t>
        </is>
      </c>
      <c r="C349" s="1" t="inlineStr">
        <is>
          <t>Extreme White Polished Porcelain Floor Tile</t>
        </is>
      </c>
      <c r="D349" s="1" t="n">
        <v>24.99</v>
      </c>
      <c r="E349" s="1" t="inlineStr">
        <is>
          <t>600x600mm</t>
        </is>
      </c>
      <c r="F349" s="1" t="inlineStr">
        <is>
          <t>m2</t>
        </is>
      </c>
      <c r="G349" s="1" t="inlineStr">
        <is>
          <t>Porcelain</t>
        </is>
      </c>
      <c r="H349" s="1" t="inlineStr">
        <is>
          <t>Polished</t>
        </is>
      </c>
      <c r="I349" t="n">
        <v>24.99</v>
      </c>
    </row>
    <row r="350">
      <c r="A350" s="1">
        <f>Hyperlink("https://www.tilemountain.co.uk/p/eze-touchscreen-thermostat-black.html","Product")</f>
        <v/>
      </c>
      <c r="B350" s="1" t="inlineStr">
        <is>
          <t>434645</t>
        </is>
      </c>
      <c r="C350" s="1" t="inlineStr">
        <is>
          <t>Eze Touchscreen Thermostat Black</t>
        </is>
      </c>
      <c r="D350" s="1" t="n">
        <v>44.99</v>
      </c>
      <c r="E350" s="1" t="inlineStr">
        <is>
          <t>-</t>
        </is>
      </c>
      <c r="F350" s="1" t="inlineStr">
        <is>
          <t>Qty</t>
        </is>
      </c>
      <c r="G350" s="1" t="inlineStr">
        <is>
          <t>-</t>
        </is>
      </c>
      <c r="H350" s="1" t="inlineStr">
        <is>
          <t>-</t>
        </is>
      </c>
      <c r="I350" t="n">
        <v>44.99</v>
      </c>
    </row>
    <row r="351">
      <c r="A351" s="1">
        <f>Hyperlink("https://www.tilemountain.co.uk/p/eze-touchscreen-thermostat-white.html","Product")</f>
        <v/>
      </c>
      <c r="B351" s="1" t="inlineStr">
        <is>
          <t>434640</t>
        </is>
      </c>
      <c r="C351" s="1" t="inlineStr">
        <is>
          <t>Eze Touchscreen Thermostat White</t>
        </is>
      </c>
      <c r="D351" s="1" t="n">
        <v>44.99</v>
      </c>
      <c r="E351" s="1" t="inlineStr">
        <is>
          <t>-</t>
        </is>
      </c>
      <c r="F351" s="1" t="inlineStr">
        <is>
          <t>Qty</t>
        </is>
      </c>
      <c r="G351" s="1" t="inlineStr">
        <is>
          <t>-</t>
        </is>
      </c>
      <c r="H351" s="1" t="inlineStr">
        <is>
          <t>-</t>
        </is>
      </c>
      <c r="I351" t="n">
        <v>44.99</v>
      </c>
    </row>
    <row r="352">
      <c r="A352" s="1">
        <f>Hyperlink("https://www.tilemountain.co.uk/p/ezecable-0-9-1-4-m2-underfloor-heating-cable-kit.html","Product")</f>
        <v/>
      </c>
      <c r="B352" s="1" t="inlineStr">
        <is>
          <t>434610</t>
        </is>
      </c>
      <c r="C352" s="1" t="inlineStr">
        <is>
          <t>Ezecable 0.9 - 1.4 M2 Underfloor Heating Cable Kit</t>
        </is>
      </c>
      <c r="D352" s="1" t="n">
        <v>54.99</v>
      </c>
      <c r="E352" s="1" t="inlineStr">
        <is>
          <t>-</t>
        </is>
      </c>
      <c r="F352" s="1" t="inlineStr">
        <is>
          <t>Qty</t>
        </is>
      </c>
      <c r="G352" s="1" t="inlineStr">
        <is>
          <t>-</t>
        </is>
      </c>
      <c r="H352" s="1" t="inlineStr">
        <is>
          <t>-</t>
        </is>
      </c>
      <c r="I352" t="n">
        <v>54.99</v>
      </c>
    </row>
    <row r="353">
      <c r="A353" s="1">
        <f>Hyperlink("https://www.tilemountain.co.uk/p/ezecable-1-5-2-0-m2-underfloor-heating-cable-kit.html","Product")</f>
        <v/>
      </c>
      <c r="B353" s="1" t="inlineStr">
        <is>
          <t>434615</t>
        </is>
      </c>
      <c r="C353" s="1" t="inlineStr">
        <is>
          <t>Ezecable 1.5 - 2.0 M2 Underfloor Heating Cable Kit</t>
        </is>
      </c>
      <c r="D353" s="1" t="n">
        <v>59.99</v>
      </c>
      <c r="E353" s="1" t="inlineStr">
        <is>
          <t>-</t>
        </is>
      </c>
      <c r="F353" s="1" t="inlineStr">
        <is>
          <t>Qty</t>
        </is>
      </c>
      <c r="G353" s="1" t="inlineStr">
        <is>
          <t>-</t>
        </is>
      </c>
      <c r="H353" s="1" t="inlineStr">
        <is>
          <t>-</t>
        </is>
      </c>
      <c r="I353" t="n">
        <v>59.99</v>
      </c>
    </row>
    <row r="354">
      <c r="A354" s="1">
        <f>Hyperlink("https://www.tilemountain.co.uk/p/ezecable-2-0-2-7-m2-underfloor-heating-cable-kit.html","Product")</f>
        <v/>
      </c>
      <c r="B354" s="1" t="inlineStr">
        <is>
          <t>434620</t>
        </is>
      </c>
      <c r="C354" s="1" t="inlineStr">
        <is>
          <t>Ezecable 2.0 - 2.7 M2 Underfloor Heating Cable Kit</t>
        </is>
      </c>
      <c r="D354" s="1" t="n">
        <v>69.98999999999999</v>
      </c>
      <c r="E354" s="1" t="inlineStr">
        <is>
          <t>-</t>
        </is>
      </c>
      <c r="F354" s="1" t="inlineStr">
        <is>
          <t>Qty</t>
        </is>
      </c>
      <c r="G354" s="1" t="inlineStr">
        <is>
          <t>-</t>
        </is>
      </c>
      <c r="H354" s="1" t="inlineStr">
        <is>
          <t>-</t>
        </is>
      </c>
      <c r="I354" t="n">
        <v>69.98999999999999</v>
      </c>
    </row>
    <row r="355">
      <c r="A355" s="1">
        <f>Hyperlink("https://www.tilemountain.co.uk/p/ezecable-3-0-4-0-m2-underfloor-heating-cable-kit.html","Product")</f>
        <v/>
      </c>
      <c r="B355" s="1" t="inlineStr">
        <is>
          <t>434625</t>
        </is>
      </c>
      <c r="C355" s="1" t="inlineStr">
        <is>
          <t>Ezecable 3.0 - 4.0 M2 Underfloor Heating Cable Kit</t>
        </is>
      </c>
      <c r="D355" s="1" t="n">
        <v>79.98999999999999</v>
      </c>
      <c r="E355" s="1" t="inlineStr">
        <is>
          <t>-</t>
        </is>
      </c>
      <c r="F355" s="1" t="inlineStr">
        <is>
          <t>Qty</t>
        </is>
      </c>
      <c r="G355" s="1" t="inlineStr">
        <is>
          <t>-</t>
        </is>
      </c>
      <c r="H355" s="1" t="inlineStr">
        <is>
          <t>-</t>
        </is>
      </c>
      <c r="I355" t="n">
        <v>79.98999999999999</v>
      </c>
    </row>
    <row r="356">
      <c r="A356" s="1">
        <f>Hyperlink("https://www.tilemountain.co.uk/p/ezecable-5-0-6-7-m2-underfloor-heating-cable-kit.html","Product")</f>
        <v/>
      </c>
      <c r="B356" s="1" t="inlineStr">
        <is>
          <t>434635</t>
        </is>
      </c>
      <c r="C356" s="1" t="inlineStr">
        <is>
          <t>Ezecable 5.0 - 6.7 M2 Underfloor Heating Cable Kit</t>
        </is>
      </c>
      <c r="D356" s="1" t="n">
        <v>109.99</v>
      </c>
      <c r="E356" s="1" t="inlineStr">
        <is>
          <t>-</t>
        </is>
      </c>
      <c r="F356" s="1" t="inlineStr">
        <is>
          <t>Qty</t>
        </is>
      </c>
      <c r="G356" s="1" t="inlineStr">
        <is>
          <t>-</t>
        </is>
      </c>
      <c r="H356" s="1" t="inlineStr">
        <is>
          <t>-</t>
        </is>
      </c>
      <c r="I356" t="n">
        <v>109.99</v>
      </c>
    </row>
    <row r="357">
      <c r="A357" s="1">
        <f>Hyperlink("https://www.tilemountain.co.uk/p/ezemat-160w-1-5-m2-underfloor-heating-mat.html","Product")</f>
        <v/>
      </c>
      <c r="B357" s="1" t="inlineStr">
        <is>
          <t>434495</t>
        </is>
      </c>
      <c r="C357" s="1" t="inlineStr">
        <is>
          <t>Ezemat 160w 1.5 M2 Underfloor Heating Mat</t>
        </is>
      </c>
      <c r="D357" s="1" t="n">
        <v>49.99</v>
      </c>
      <c r="E357" s="1" t="inlineStr">
        <is>
          <t>-</t>
        </is>
      </c>
      <c r="F357" s="1" t="inlineStr">
        <is>
          <t>Qty</t>
        </is>
      </c>
      <c r="G357" s="1" t="inlineStr">
        <is>
          <t>-</t>
        </is>
      </c>
      <c r="H357" s="1" t="inlineStr">
        <is>
          <t>-</t>
        </is>
      </c>
      <c r="I357" t="n">
        <v>49.99</v>
      </c>
    </row>
    <row r="358">
      <c r="A358" s="1">
        <f>Hyperlink("https://www.tilemountain.co.uk/p/ezemat-160w-1-m2-underfloor-heating-mat.html","Product")</f>
        <v/>
      </c>
      <c r="B358" s="1" t="inlineStr">
        <is>
          <t>434490</t>
        </is>
      </c>
      <c r="C358" s="1" t="inlineStr">
        <is>
          <t>Ezemat 160w 1 M2 Underfloor Heating Mat</t>
        </is>
      </c>
      <c r="D358" s="1" t="n">
        <v>39.99</v>
      </c>
      <c r="E358" s="1" t="inlineStr">
        <is>
          <t>-</t>
        </is>
      </c>
      <c r="F358" s="1" t="inlineStr">
        <is>
          <t>Qty</t>
        </is>
      </c>
      <c r="G358" s="1" t="inlineStr">
        <is>
          <t>-</t>
        </is>
      </c>
      <c r="H358" s="1" t="inlineStr">
        <is>
          <t>-</t>
        </is>
      </c>
      <c r="I358" t="n">
        <v>39.99</v>
      </c>
    </row>
    <row r="359">
      <c r="A359" s="1">
        <f>Hyperlink("https://www.tilemountain.co.uk/p/ezemat-160w-10-m2-underfloor-heating-mat.html","Product")</f>
        <v/>
      </c>
      <c r="B359" s="1" t="inlineStr">
        <is>
          <t>434545</t>
        </is>
      </c>
      <c r="C359" s="1" t="inlineStr">
        <is>
          <t>Ezemat 160w 10 M2 Underfloor Heating Mat</t>
        </is>
      </c>
      <c r="D359" s="1" t="n">
        <v>179.99</v>
      </c>
      <c r="E359" s="1" t="inlineStr">
        <is>
          <t>-</t>
        </is>
      </c>
      <c r="F359" s="1" t="inlineStr">
        <is>
          <t>Qty</t>
        </is>
      </c>
      <c r="G359" s="1" t="inlineStr">
        <is>
          <t>-</t>
        </is>
      </c>
      <c r="H359" s="1" t="inlineStr">
        <is>
          <t>-</t>
        </is>
      </c>
      <c r="I359" t="n">
        <v>179.99</v>
      </c>
    </row>
    <row r="360">
      <c r="A360" s="1">
        <f>Hyperlink("https://www.tilemountain.co.uk/p/ezemat-160w-2-5-m2-underfloor-heating-mat.html","Product")</f>
        <v/>
      </c>
      <c r="B360" s="1" t="inlineStr">
        <is>
          <t>434505</t>
        </is>
      </c>
      <c r="C360" s="1" t="inlineStr">
        <is>
          <t>Ezemat 160w 2.5 M2 Underfloor Heating Mat</t>
        </is>
      </c>
      <c r="D360" s="1" t="n">
        <v>69.98999999999999</v>
      </c>
      <c r="E360" s="1" t="inlineStr">
        <is>
          <t>-</t>
        </is>
      </c>
      <c r="F360" s="1" t="inlineStr">
        <is>
          <t>Qty</t>
        </is>
      </c>
      <c r="G360" s="1" t="inlineStr">
        <is>
          <t>-</t>
        </is>
      </c>
      <c r="H360" s="1" t="inlineStr">
        <is>
          <t>-</t>
        </is>
      </c>
      <c r="I360" t="n">
        <v>69.98999999999999</v>
      </c>
    </row>
    <row r="361">
      <c r="A361" s="1">
        <f>Hyperlink("https://www.tilemountain.co.uk/p/ezemat-160w-2-m2-underfloor-heating-mat.html","Product")</f>
        <v/>
      </c>
      <c r="B361" s="1" t="inlineStr">
        <is>
          <t>434500</t>
        </is>
      </c>
      <c r="C361" s="1" t="inlineStr">
        <is>
          <t>Ezemat 160w 2 M2 Underfloor Heating Mat</t>
        </is>
      </c>
      <c r="D361" s="1" t="n">
        <v>59.99</v>
      </c>
      <c r="E361" s="1" t="inlineStr">
        <is>
          <t>-</t>
        </is>
      </c>
      <c r="F361" s="1" t="inlineStr">
        <is>
          <t>Qty</t>
        </is>
      </c>
      <c r="G361" s="1" t="inlineStr">
        <is>
          <t>-</t>
        </is>
      </c>
      <c r="H361" s="1" t="inlineStr">
        <is>
          <t>-</t>
        </is>
      </c>
      <c r="I361" t="n">
        <v>59.99</v>
      </c>
    </row>
    <row r="362">
      <c r="A362" s="1">
        <f>Hyperlink("https://www.tilemountain.co.uk/p/ezemat-160w-3-m2-underfloor-heating-mat.html","Product")</f>
        <v/>
      </c>
      <c r="B362" s="1" t="inlineStr">
        <is>
          <t>434510</t>
        </is>
      </c>
      <c r="C362" s="1" t="inlineStr">
        <is>
          <t>Ezemat 160w 3 M2 Underfloor Heating Mat</t>
        </is>
      </c>
      <c r="D362" s="1" t="n">
        <v>79.98999999999999</v>
      </c>
      <c r="E362" s="1" t="inlineStr">
        <is>
          <t>-</t>
        </is>
      </c>
      <c r="F362" s="1" t="inlineStr">
        <is>
          <t>Qty</t>
        </is>
      </c>
      <c r="G362" s="1" t="inlineStr">
        <is>
          <t>-</t>
        </is>
      </c>
      <c r="H362" s="1" t="inlineStr">
        <is>
          <t>-</t>
        </is>
      </c>
      <c r="I362" t="n">
        <v>79.98999999999999</v>
      </c>
    </row>
    <row r="363">
      <c r="A363" s="1">
        <f>Hyperlink("https://www.tilemountain.co.uk/p/ezemat-160w-4-m2-underfloor-heating-mat.html","Product")</f>
        <v/>
      </c>
      <c r="B363" s="1" t="inlineStr">
        <is>
          <t>434515</t>
        </is>
      </c>
      <c r="C363" s="1" t="inlineStr">
        <is>
          <t>Ezemat 160w 4 M2 Underfloor Heating Mat</t>
        </is>
      </c>
      <c r="D363" s="1" t="n">
        <v>89.98999999999999</v>
      </c>
      <c r="E363" s="1" t="inlineStr">
        <is>
          <t>-</t>
        </is>
      </c>
      <c r="F363" s="1" t="inlineStr">
        <is>
          <t>Qty</t>
        </is>
      </c>
      <c r="G363" s="1" t="inlineStr">
        <is>
          <t>-</t>
        </is>
      </c>
      <c r="H363" s="1" t="inlineStr">
        <is>
          <t>-</t>
        </is>
      </c>
      <c r="I363" t="n">
        <v>89.98999999999999</v>
      </c>
    </row>
    <row r="364">
      <c r="A364" s="1">
        <f>Hyperlink("https://www.tilemountain.co.uk/p/ezemat-160w-5-m2-underfloor-heating-mat.html","Product")</f>
        <v/>
      </c>
      <c r="B364" s="1" t="inlineStr">
        <is>
          <t>434520</t>
        </is>
      </c>
      <c r="C364" s="1" t="inlineStr">
        <is>
          <t>Ezemat 160w 5 M2 Underfloor Heating Mat</t>
        </is>
      </c>
      <c r="D364" s="1" t="n">
        <v>99.98999999999999</v>
      </c>
      <c r="E364" s="1" t="inlineStr">
        <is>
          <t>-</t>
        </is>
      </c>
      <c r="F364" s="1" t="inlineStr">
        <is>
          <t>Qty</t>
        </is>
      </c>
      <c r="G364" s="1" t="inlineStr">
        <is>
          <t>-</t>
        </is>
      </c>
      <c r="H364" s="1" t="inlineStr">
        <is>
          <t>-</t>
        </is>
      </c>
      <c r="I364" t="n">
        <v>99.98999999999999</v>
      </c>
    </row>
    <row r="365">
      <c r="A365" s="1">
        <f>Hyperlink("https://www.tilemountain.co.uk/p/ezemat-160w-6-m2-underfloor-heating-mat.html","Product")</f>
        <v/>
      </c>
      <c r="B365" s="1" t="inlineStr">
        <is>
          <t>434525</t>
        </is>
      </c>
      <c r="C365" s="1" t="inlineStr">
        <is>
          <t>Ezemat 160w 6 M2 Underfloor Heating Mat</t>
        </is>
      </c>
      <c r="D365" s="1" t="n">
        <v>109.99</v>
      </c>
      <c r="E365" s="1" t="inlineStr">
        <is>
          <t>-</t>
        </is>
      </c>
      <c r="F365" s="1" t="inlineStr">
        <is>
          <t>Qty</t>
        </is>
      </c>
      <c r="G365" s="1" t="inlineStr">
        <is>
          <t>-</t>
        </is>
      </c>
      <c r="H365" s="1" t="inlineStr">
        <is>
          <t>-</t>
        </is>
      </c>
      <c r="I365" t="n">
        <v>109.99</v>
      </c>
    </row>
    <row r="366">
      <c r="A366" s="1">
        <f>Hyperlink("https://www.tilemountain.co.uk/p/ezemat-160w-7-m2-underfloor-heating-mat.html","Product")</f>
        <v/>
      </c>
      <c r="B366" s="1" t="inlineStr">
        <is>
          <t>434530</t>
        </is>
      </c>
      <c r="C366" s="1" t="inlineStr">
        <is>
          <t>Ezemat 160w 7 M2 Underfloor Heating Mat</t>
        </is>
      </c>
      <c r="D366" s="1" t="n">
        <v>129.99</v>
      </c>
      <c r="E366" s="1" t="inlineStr">
        <is>
          <t>-</t>
        </is>
      </c>
      <c r="F366" s="1" t="inlineStr">
        <is>
          <t>Qty</t>
        </is>
      </c>
      <c r="G366" s="1" t="inlineStr">
        <is>
          <t>-</t>
        </is>
      </c>
      <c r="H366" s="1" t="inlineStr">
        <is>
          <t>-</t>
        </is>
      </c>
      <c r="I366" t="n">
        <v>129.99</v>
      </c>
    </row>
    <row r="367">
      <c r="A367" s="1">
        <f>Hyperlink("https://www.tilemountain.co.uk/p/ezemat-160w-8-m2-underfloor-heating-mat.html","Product")</f>
        <v/>
      </c>
      <c r="B367" s="1" t="inlineStr">
        <is>
          <t>434535</t>
        </is>
      </c>
      <c r="C367" s="1" t="inlineStr">
        <is>
          <t>Ezemat 160w 8 M2 Underfloor Heating Mat</t>
        </is>
      </c>
      <c r="D367" s="1" t="n">
        <v>139.99</v>
      </c>
      <c r="E367" s="1" t="inlineStr">
        <is>
          <t>-</t>
        </is>
      </c>
      <c r="F367" s="1" t="inlineStr">
        <is>
          <t>Qty</t>
        </is>
      </c>
      <c r="G367" s="1" t="inlineStr">
        <is>
          <t>-</t>
        </is>
      </c>
      <c r="H367" s="1" t="inlineStr">
        <is>
          <t>-</t>
        </is>
      </c>
      <c r="I367" t="n">
        <v>139.99</v>
      </c>
    </row>
    <row r="368">
      <c r="A368" s="1">
        <f>Hyperlink("https://www.tilemountain.co.uk/p/ezemat-160w-9-m2-underfloor-heating-mat.html","Product")</f>
        <v/>
      </c>
      <c r="B368" s="1" t="inlineStr">
        <is>
          <t>434540</t>
        </is>
      </c>
      <c r="C368" s="1" t="inlineStr">
        <is>
          <t>Ezemat 160w 9 M2 Underfloor Heating Mat</t>
        </is>
      </c>
      <c r="D368" s="1" t="n">
        <v>159.99</v>
      </c>
      <c r="E368" s="1" t="inlineStr">
        <is>
          <t>-</t>
        </is>
      </c>
      <c r="F368" s="1" t="inlineStr">
        <is>
          <t>Qty</t>
        </is>
      </c>
      <c r="G368" s="1" t="inlineStr">
        <is>
          <t>-</t>
        </is>
      </c>
      <c r="H368" s="1" t="inlineStr">
        <is>
          <t>-</t>
        </is>
      </c>
      <c r="I368" t="n">
        <v>159.99</v>
      </c>
    </row>
    <row r="369">
      <c r="A369" s="1">
        <f>Hyperlink("https://www.tilemountain.co.uk/p/ezemat-200w-1-5-m2-underfloor-heating-mat.html","Product")</f>
        <v/>
      </c>
      <c r="B369" s="1" t="inlineStr">
        <is>
          <t>434555</t>
        </is>
      </c>
      <c r="C369" s="1" t="inlineStr">
        <is>
          <t>Ezemat 200w 1.5 M2 Underfloor Heating Mat</t>
        </is>
      </c>
      <c r="D369" s="1" t="n">
        <v>54.99</v>
      </c>
      <c r="E369" s="1" t="inlineStr">
        <is>
          <t>-</t>
        </is>
      </c>
      <c r="F369" s="1" t="inlineStr">
        <is>
          <t>Qty</t>
        </is>
      </c>
      <c r="G369" s="1" t="inlineStr">
        <is>
          <t>-</t>
        </is>
      </c>
      <c r="H369" s="1" t="inlineStr">
        <is>
          <t>-</t>
        </is>
      </c>
      <c r="I369" t="n">
        <v>54.99</v>
      </c>
    </row>
    <row r="370">
      <c r="A370" s="1">
        <f>Hyperlink("https://www.tilemountain.co.uk/p/ezemat-200w-1-m2-underfloor-heating-mat.html","Product")</f>
        <v/>
      </c>
      <c r="B370" s="1" t="inlineStr">
        <is>
          <t>434550</t>
        </is>
      </c>
      <c r="C370" s="1" t="inlineStr">
        <is>
          <t>Ezemat 200w 1 M2 Underfloor Heating Mat</t>
        </is>
      </c>
      <c r="D370" s="1" t="n">
        <v>49.99</v>
      </c>
      <c r="E370" s="1" t="inlineStr">
        <is>
          <t>-</t>
        </is>
      </c>
      <c r="F370" s="1" t="inlineStr">
        <is>
          <t>Qty</t>
        </is>
      </c>
      <c r="G370" s="1" t="inlineStr">
        <is>
          <t>-</t>
        </is>
      </c>
      <c r="H370" s="1" t="inlineStr">
        <is>
          <t>-</t>
        </is>
      </c>
      <c r="I370" t="n">
        <v>49.99</v>
      </c>
    </row>
    <row r="371">
      <c r="A371" s="1">
        <f>Hyperlink("https://www.tilemountain.co.uk/p/ezemat-200w-10-m2-underfloor-heating-mat.html","Product")</f>
        <v/>
      </c>
      <c r="B371" s="1" t="inlineStr">
        <is>
          <t>434605</t>
        </is>
      </c>
      <c r="C371" s="1" t="inlineStr">
        <is>
          <t>Ezemat 200w 10 M2 Underfloor Heating Mat</t>
        </is>
      </c>
      <c r="D371" s="1" t="n">
        <v>189.99</v>
      </c>
      <c r="E371" s="1" t="inlineStr">
        <is>
          <t>-</t>
        </is>
      </c>
      <c r="F371" s="1" t="inlineStr">
        <is>
          <t>Qty</t>
        </is>
      </c>
      <c r="G371" s="1" t="inlineStr">
        <is>
          <t>-</t>
        </is>
      </c>
      <c r="H371" s="1" t="inlineStr">
        <is>
          <t>-</t>
        </is>
      </c>
      <c r="I371" t="n">
        <v>189.99</v>
      </c>
    </row>
    <row r="372">
      <c r="A372" s="1">
        <f>Hyperlink("https://www.tilemountain.co.uk/p/ezemat-200w-2-5-m2-underfloor-heating-mat.html","Product")</f>
        <v/>
      </c>
      <c r="B372" s="1" t="inlineStr">
        <is>
          <t>434565</t>
        </is>
      </c>
      <c r="C372" s="1" t="inlineStr">
        <is>
          <t>Ezemat 200w 2.5 M2 Underfloor Heating Mat</t>
        </is>
      </c>
      <c r="D372" s="1" t="n">
        <v>79.98999999999999</v>
      </c>
      <c r="E372" s="1" t="inlineStr">
        <is>
          <t>-</t>
        </is>
      </c>
      <c r="F372" s="1" t="inlineStr">
        <is>
          <t>Qty</t>
        </is>
      </c>
      <c r="G372" s="1" t="inlineStr">
        <is>
          <t>-</t>
        </is>
      </c>
      <c r="H372" s="1" t="inlineStr">
        <is>
          <t>-</t>
        </is>
      </c>
      <c r="I372" t="n">
        <v>79.98999999999999</v>
      </c>
    </row>
    <row r="373">
      <c r="A373" s="1">
        <f>Hyperlink("https://www.tilemountain.co.uk/p/ezemat-200w-2-m2-underfloor-heating-mat.html","Product")</f>
        <v/>
      </c>
      <c r="B373" s="1" t="inlineStr">
        <is>
          <t>434560</t>
        </is>
      </c>
      <c r="C373" s="1" t="inlineStr">
        <is>
          <t>Ezemat 200w 2 M2 Underfloor Heating Mat</t>
        </is>
      </c>
      <c r="D373" s="1" t="n">
        <v>69.98999999999999</v>
      </c>
      <c r="E373" s="1" t="inlineStr">
        <is>
          <t>-</t>
        </is>
      </c>
      <c r="F373" s="1" t="inlineStr">
        <is>
          <t>Qty</t>
        </is>
      </c>
      <c r="G373" s="1" t="inlineStr">
        <is>
          <t>-</t>
        </is>
      </c>
      <c r="H373" s="1" t="inlineStr">
        <is>
          <t>-</t>
        </is>
      </c>
      <c r="I373" t="n">
        <v>69.98999999999999</v>
      </c>
    </row>
    <row r="374">
      <c r="A374" s="1">
        <f>Hyperlink("https://www.tilemountain.co.uk/p/ezemat-200w-3-m2-underfloor-heating-mat.html","Product")</f>
        <v/>
      </c>
      <c r="B374" s="1" t="inlineStr">
        <is>
          <t>434570</t>
        </is>
      </c>
      <c r="C374" s="1" t="inlineStr">
        <is>
          <t>Ezemat 200w 3 M2 Underfloor Heating Mat</t>
        </is>
      </c>
      <c r="D374" s="1" t="n">
        <v>89.98999999999999</v>
      </c>
      <c r="E374" s="1" t="inlineStr">
        <is>
          <t>-</t>
        </is>
      </c>
      <c r="F374" s="1" t="inlineStr">
        <is>
          <t>Qty</t>
        </is>
      </c>
      <c r="G374" s="1" t="inlineStr">
        <is>
          <t>-</t>
        </is>
      </c>
      <c r="H374" s="1" t="inlineStr">
        <is>
          <t>-</t>
        </is>
      </c>
      <c r="I374" t="n">
        <v>89.98999999999999</v>
      </c>
    </row>
    <row r="375">
      <c r="A375" s="1">
        <f>Hyperlink("https://www.tilemountain.co.uk/p/ezemat-200w-4-m2-underfloor-heating-mat.html","Product")</f>
        <v/>
      </c>
      <c r="B375" s="1" t="inlineStr">
        <is>
          <t>434575</t>
        </is>
      </c>
      <c r="C375" s="1" t="inlineStr">
        <is>
          <t>Ezemat 200w 4 M2 Underfloor Heating Mat</t>
        </is>
      </c>
      <c r="D375" s="1" t="n">
        <v>99.98999999999999</v>
      </c>
      <c r="E375" s="1" t="inlineStr">
        <is>
          <t>-</t>
        </is>
      </c>
      <c r="F375" s="1" t="inlineStr">
        <is>
          <t>Qty</t>
        </is>
      </c>
      <c r="G375" s="1" t="inlineStr">
        <is>
          <t>-</t>
        </is>
      </c>
      <c r="H375" s="1" t="inlineStr">
        <is>
          <t>-</t>
        </is>
      </c>
      <c r="I375" t="n">
        <v>99.98999999999999</v>
      </c>
    </row>
    <row r="376">
      <c r="A376" s="1">
        <f>Hyperlink("https://www.tilemountain.co.uk/p/ezemat-200w-5-m2-underfloor-heating-mat.html","Product")</f>
        <v/>
      </c>
      <c r="B376" s="1" t="inlineStr">
        <is>
          <t>434580</t>
        </is>
      </c>
      <c r="C376" s="1" t="inlineStr">
        <is>
          <t>Ezemat 200w 5 M2 Underfloor Heating Mat</t>
        </is>
      </c>
      <c r="D376" s="1" t="n">
        <v>109.99</v>
      </c>
      <c r="E376" s="1" t="inlineStr">
        <is>
          <t>-</t>
        </is>
      </c>
      <c r="F376" s="1" t="inlineStr">
        <is>
          <t>Qty</t>
        </is>
      </c>
      <c r="G376" s="1" t="inlineStr">
        <is>
          <t>-</t>
        </is>
      </c>
      <c r="H376" s="1" t="inlineStr">
        <is>
          <t>-</t>
        </is>
      </c>
      <c r="I376" t="n">
        <v>109.99</v>
      </c>
    </row>
    <row r="377">
      <c r="A377" s="1">
        <f>Hyperlink("https://www.tilemountain.co.uk/p/ezemat-200w-6-m2-underfloor-heating-mat.html","Product")</f>
        <v/>
      </c>
      <c r="B377" s="1" t="inlineStr">
        <is>
          <t>434585</t>
        </is>
      </c>
      <c r="C377" s="1" t="inlineStr">
        <is>
          <t>Ezemat 200w 6 M2 Underfloor Heating Mat</t>
        </is>
      </c>
      <c r="D377" s="1" t="n">
        <v>119.99</v>
      </c>
      <c r="E377" s="1" t="inlineStr">
        <is>
          <t>-</t>
        </is>
      </c>
      <c r="F377" s="1" t="inlineStr">
        <is>
          <t>Qty</t>
        </is>
      </c>
      <c r="G377" s="1" t="inlineStr">
        <is>
          <t>-</t>
        </is>
      </c>
      <c r="H377" s="1" t="inlineStr">
        <is>
          <t>-</t>
        </is>
      </c>
      <c r="I377" t="n">
        <v>119.99</v>
      </c>
    </row>
    <row r="378">
      <c r="A378" s="1">
        <f>Hyperlink("https://www.tilemountain.co.uk/p/ezemat-200w-7-m2-underfloor-heating-mat.html","Product")</f>
        <v/>
      </c>
      <c r="B378" s="1" t="inlineStr">
        <is>
          <t>434590</t>
        </is>
      </c>
      <c r="C378" s="1" t="inlineStr">
        <is>
          <t>Ezemat 200w 7 M2 Underfloor Heating Mat</t>
        </is>
      </c>
      <c r="D378" s="1" t="n">
        <v>139.99</v>
      </c>
      <c r="E378" s="1" t="inlineStr">
        <is>
          <t>-</t>
        </is>
      </c>
      <c r="F378" s="1" t="inlineStr">
        <is>
          <t>Qty</t>
        </is>
      </c>
      <c r="G378" s="1" t="inlineStr">
        <is>
          <t>-</t>
        </is>
      </c>
      <c r="H378" s="1" t="inlineStr">
        <is>
          <t>-</t>
        </is>
      </c>
      <c r="I378" t="n">
        <v>139.99</v>
      </c>
    </row>
    <row r="379">
      <c r="A379" s="1">
        <f>Hyperlink("https://www.tilemountain.co.uk/p/ezemat-200w-8-m2-underfloor-heating-mat.html","Product")</f>
        <v/>
      </c>
      <c r="B379" s="1" t="inlineStr">
        <is>
          <t>434595</t>
        </is>
      </c>
      <c r="C379" s="1" t="inlineStr">
        <is>
          <t>Ezemat 200w 8 M2 Underfloor Heating Mat</t>
        </is>
      </c>
      <c r="D379" s="1" t="n">
        <v>149.99</v>
      </c>
      <c r="E379" s="1" t="inlineStr">
        <is>
          <t>-</t>
        </is>
      </c>
      <c r="F379" s="1" t="inlineStr">
        <is>
          <t>Qty</t>
        </is>
      </c>
      <c r="G379" s="1" t="inlineStr">
        <is>
          <t>-</t>
        </is>
      </c>
      <c r="H379" s="1" t="inlineStr">
        <is>
          <t>-</t>
        </is>
      </c>
      <c r="I379" t="n">
        <v>149.99</v>
      </c>
    </row>
    <row r="380">
      <c r="A380" s="1">
        <f>Hyperlink("https://www.tilemountain.co.uk/p/ezemat-200w-9-m2-underfloor-heating-mat.html","Product")</f>
        <v/>
      </c>
      <c r="B380" s="1" t="inlineStr">
        <is>
          <t>434600</t>
        </is>
      </c>
      <c r="C380" s="1" t="inlineStr">
        <is>
          <t>Ezemat 200w 9 M2 Underfloor Heating Mat</t>
        </is>
      </c>
      <c r="D380" s="1" t="n">
        <v>169.99</v>
      </c>
      <c r="E380" s="1" t="inlineStr">
        <is>
          <t>-</t>
        </is>
      </c>
      <c r="F380" s="1" t="inlineStr">
        <is>
          <t>Qty</t>
        </is>
      </c>
      <c r="G380" s="1" t="inlineStr">
        <is>
          <t>-</t>
        </is>
      </c>
      <c r="H380" s="1" t="inlineStr">
        <is>
          <t>-</t>
        </is>
      </c>
      <c r="I380" t="n">
        <v>169.99</v>
      </c>
    </row>
    <row r="381">
      <c r="A381" s="1">
        <f>Hyperlink("https://www.tilemountain.co.uk/p/ezensia-blue-wall-tile.html","Product")</f>
        <v/>
      </c>
      <c r="B381" s="1" t="inlineStr">
        <is>
          <t>440285</t>
        </is>
      </c>
      <c r="C381" s="1" t="inlineStr">
        <is>
          <t>Esenzia Blue Wall Tiles</t>
        </is>
      </c>
      <c r="D381" s="1" t="n">
        <v>19.99</v>
      </c>
      <c r="E381" s="1" t="inlineStr">
        <is>
          <t>150x300mm</t>
        </is>
      </c>
      <c r="F381" s="1" t="inlineStr">
        <is>
          <t>m2</t>
        </is>
      </c>
      <c r="G381" s="1" t="inlineStr">
        <is>
          <t>Ceramic</t>
        </is>
      </c>
      <c r="H381" s="1" t="inlineStr">
        <is>
          <t>Gloss</t>
        </is>
      </c>
      <c r="I381" t="n">
        <v>19.99</v>
      </c>
    </row>
    <row r="382">
      <c r="A382" s="1">
        <f>Hyperlink("https://www.tilemountain.co.uk/p/ezewarm-wif-fi-pro-stat-thermostat-white.html","Product")</f>
        <v/>
      </c>
      <c r="B382" s="1" t="inlineStr">
        <is>
          <t>446100</t>
        </is>
      </c>
      <c r="C382" s="1" t="inlineStr">
        <is>
          <t>Ezewarm Wi-Fi Pro-Stat Thermostat White</t>
        </is>
      </c>
      <c r="D382" s="1" t="n">
        <v>99.98999999999999</v>
      </c>
      <c r="E382" s="1" t="inlineStr">
        <is>
          <t>-</t>
        </is>
      </c>
      <c r="F382" s="1" t="inlineStr">
        <is>
          <t>Qty</t>
        </is>
      </c>
      <c r="G382" s="1" t="inlineStr">
        <is>
          <t>-</t>
        </is>
      </c>
      <c r="H382" s="1" t="inlineStr">
        <is>
          <t>-</t>
        </is>
      </c>
      <c r="I382" t="n">
        <v>99.98999999999999</v>
      </c>
    </row>
    <row r="383">
      <c r="A383" s="1">
        <f>Hyperlink("https://www.tilemountain.co.uk/p/fabric-blue-floral-glass-mosaic.html","Product")</f>
        <v/>
      </c>
      <c r="B383" s="1" t="inlineStr">
        <is>
          <t>453755</t>
        </is>
      </c>
      <c r="C383" s="1" t="inlineStr">
        <is>
          <t>Fabric Blue Floral Glass Mosaic</t>
        </is>
      </c>
      <c r="D383" s="1" t="n">
        <v>13.99</v>
      </c>
      <c r="E383" s="1" t="inlineStr">
        <is>
          <t>300x300mm</t>
        </is>
      </c>
      <c r="F383" s="1" t="inlineStr">
        <is>
          <t>sheet</t>
        </is>
      </c>
      <c r="G383" s="1" t="inlineStr">
        <is>
          <t>Glass</t>
        </is>
      </c>
      <c r="H383" s="1" t="inlineStr">
        <is>
          <t>Gloss</t>
        </is>
      </c>
      <c r="I383" t="n">
        <v>13.99</v>
      </c>
    </row>
    <row r="384">
      <c r="A384" s="1">
        <f>Hyperlink("https://www.tilemountain.co.uk/p/factor-bi-white-anti-slip-29-7x59-5cm.html","Product")</f>
        <v/>
      </c>
      <c r="B384" s="1" t="inlineStr">
        <is>
          <t>402485</t>
        </is>
      </c>
      <c r="C384" s="1" t="inlineStr">
        <is>
          <t>Factor BI White Anti Slip</t>
        </is>
      </c>
      <c r="D384" s="1" t="n">
        <v>19.98</v>
      </c>
      <c r="E384" s="1" t="inlineStr">
        <is>
          <t>297x595mm</t>
        </is>
      </c>
      <c r="F384" s="1" t="inlineStr">
        <is>
          <t>m2</t>
        </is>
      </c>
      <c r="G384" s="1" t="inlineStr">
        <is>
          <t>Porcelain</t>
        </is>
      </c>
      <c r="H384" s="1" t="inlineStr">
        <is>
          <t>Matt</t>
        </is>
      </c>
      <c r="I384" t="n">
        <v>19.98</v>
      </c>
    </row>
    <row r="385">
      <c r="A385" s="1">
        <f>Hyperlink("https://www.tilemountain.co.uk/p/factory-grafito-wall-tile.html","Product")</f>
        <v/>
      </c>
      <c r="B385" s="1" t="inlineStr">
        <is>
          <t>443120</t>
        </is>
      </c>
      <c r="C385" s="1" t="inlineStr">
        <is>
          <t>Factory Grafito Wall Tiles</t>
        </is>
      </c>
      <c r="D385" s="1" t="n">
        <v>9.99</v>
      </c>
      <c r="E385" s="1" t="inlineStr">
        <is>
          <t>500x200mm</t>
        </is>
      </c>
      <c r="F385" s="1" t="inlineStr">
        <is>
          <t>m2</t>
        </is>
      </c>
      <c r="G385" s="1" t="inlineStr">
        <is>
          <t>Ceramic</t>
        </is>
      </c>
      <c r="H385" s="1" t="inlineStr">
        <is>
          <t>Matt</t>
        </is>
      </c>
      <c r="I385" t="n">
        <v>9.99</v>
      </c>
    </row>
    <row r="386">
      <c r="A386" s="1">
        <f>Hyperlink("https://www.tilemountain.co.uk/p/factory-grey-wall-tile.html","Product")</f>
        <v/>
      </c>
      <c r="B386" s="1" t="inlineStr">
        <is>
          <t>443115</t>
        </is>
      </c>
      <c r="C386" s="1" t="inlineStr">
        <is>
          <t>Factory Grey Wall Tiles</t>
        </is>
      </c>
      <c r="D386" s="1" t="n">
        <v>9.99</v>
      </c>
      <c r="E386" s="1" t="inlineStr">
        <is>
          <t>500x200mm</t>
        </is>
      </c>
      <c r="F386" s="1" t="inlineStr">
        <is>
          <t>m2</t>
        </is>
      </c>
      <c r="G386" s="1" t="inlineStr">
        <is>
          <t>Ceramic</t>
        </is>
      </c>
      <c r="H386" s="1" t="inlineStr">
        <is>
          <t>Matt</t>
        </is>
      </c>
      <c r="I386" t="n">
        <v>9.99</v>
      </c>
    </row>
    <row r="387">
      <c r="A387" s="1">
        <f>Hyperlink("https://www.tilemountain.co.uk/p/factory-white-wall-tile.html","Product")</f>
        <v/>
      </c>
      <c r="B387" s="1" t="inlineStr">
        <is>
          <t>443110</t>
        </is>
      </c>
      <c r="C387" s="1" t="inlineStr">
        <is>
          <t>Factory White Wall Tiles</t>
        </is>
      </c>
      <c r="D387" s="1" t="n">
        <v>9.99</v>
      </c>
      <c r="E387" s="1" t="inlineStr">
        <is>
          <t>500x200mm</t>
        </is>
      </c>
      <c r="F387" s="1" t="inlineStr">
        <is>
          <t>m2</t>
        </is>
      </c>
      <c r="G387" s="1" t="inlineStr">
        <is>
          <t>Ceramic</t>
        </is>
      </c>
      <c r="H387" s="1" t="inlineStr">
        <is>
          <t>Matt</t>
        </is>
      </c>
      <c r="I387" t="n">
        <v>9.99</v>
      </c>
    </row>
    <row r="388">
      <c r="A388" s="1">
        <f>Hyperlink("https://www.tilemountain.co.uk/p/faenza-rustic-blue-patterned-matt-tile.html","Product")</f>
        <v/>
      </c>
      <c r="B388" s="1" t="inlineStr">
        <is>
          <t>443325</t>
        </is>
      </c>
      <c r="C388" s="1" t="inlineStr">
        <is>
          <t>Faenza Rustic Blue Patterned Matt Wall and Floor Tile</t>
        </is>
      </c>
      <c r="D388" s="1" t="n">
        <v>25.99</v>
      </c>
      <c r="E388" s="1" t="inlineStr">
        <is>
          <t>330x330mm</t>
        </is>
      </c>
      <c r="F388" s="1" t="inlineStr">
        <is>
          <t>m2</t>
        </is>
      </c>
      <c r="G388" s="1" t="inlineStr">
        <is>
          <t>Ceramic</t>
        </is>
      </c>
      <c r="H388" s="1" t="inlineStr">
        <is>
          <t>Matt</t>
        </is>
      </c>
      <c r="I388" t="n">
        <v>25.99</v>
      </c>
    </row>
    <row r="389">
      <c r="A389" s="1">
        <f>Hyperlink("https://www.tilemountain.co.uk/p/faenza-rustic-grey-patterned-matt-tile.html","Product")</f>
        <v/>
      </c>
      <c r="B389" s="1" t="inlineStr">
        <is>
          <t>443330</t>
        </is>
      </c>
      <c r="C389" s="1" t="inlineStr">
        <is>
          <t>Faenza Rustic Grey Patterned Matt Wall and Floor Tile</t>
        </is>
      </c>
      <c r="D389" s="1" t="n">
        <v>25.99</v>
      </c>
      <c r="E389" s="1" t="inlineStr">
        <is>
          <t>330x330mm</t>
        </is>
      </c>
      <c r="F389" s="1" t="inlineStr">
        <is>
          <t>m2</t>
        </is>
      </c>
      <c r="G389" s="1" t="inlineStr">
        <is>
          <t>Ceramic</t>
        </is>
      </c>
      <c r="H389" s="1" t="inlineStr">
        <is>
          <t>Matt</t>
        </is>
      </c>
      <c r="I389" t="n">
        <v>25.99</v>
      </c>
    </row>
    <row r="390">
      <c r="A390" s="1">
        <f>Hyperlink("https://www.tilemountain.co.uk/p/faenza-rustic-ivory-matt-tile.html","Product")</f>
        <v/>
      </c>
      <c r="B390" s="1" t="inlineStr">
        <is>
          <t>443335</t>
        </is>
      </c>
      <c r="C390" s="1" t="inlineStr">
        <is>
          <t>Faenza Rustic Ivory Matt Wall and Floor Tile</t>
        </is>
      </c>
      <c r="D390" s="1" t="n">
        <v>25.99</v>
      </c>
      <c r="E390" s="1" t="inlineStr">
        <is>
          <t>330x330mm</t>
        </is>
      </c>
      <c r="F390" s="1" t="inlineStr">
        <is>
          <t>m2</t>
        </is>
      </c>
      <c r="G390" s="1" t="inlineStr">
        <is>
          <t>Ceramic</t>
        </is>
      </c>
      <c r="H390" s="1" t="inlineStr">
        <is>
          <t>Matt</t>
        </is>
      </c>
      <c r="I390" t="n">
        <v>25.99</v>
      </c>
    </row>
    <row r="391">
      <c r="A391" s="1">
        <f>Hyperlink("https://www.tilemountain.co.uk/p/fibatape-10m-roll.html","Product")</f>
        <v/>
      </c>
      <c r="B391" s="1" t="inlineStr">
        <is>
          <t>445695</t>
        </is>
      </c>
      <c r="C391" s="1" t="inlineStr">
        <is>
          <t>HardieBacker Fibatape 10m Roll</t>
        </is>
      </c>
      <c r="D391" s="1" t="n">
        <v>5.95</v>
      </c>
      <c r="E391" s="1" t="inlineStr">
        <is>
          <t>-</t>
        </is>
      </c>
      <c r="F391" s="1" t="inlineStr">
        <is>
          <t>Qty</t>
        </is>
      </c>
      <c r="G391" s="1" t="inlineStr">
        <is>
          <t>-</t>
        </is>
      </c>
      <c r="H391" s="1" t="inlineStr">
        <is>
          <t>-</t>
        </is>
      </c>
      <c r="I391" t="n">
        <v>5.95</v>
      </c>
    </row>
    <row r="392">
      <c r="A392" s="1">
        <f>Hyperlink("https://www.tilemountain.co.uk/p/fila-cleaner-pro-professional-maintenance-for-surfaces-5l.html","Product")</f>
        <v/>
      </c>
      <c r="B392" s="1" t="inlineStr">
        <is>
          <t>442865</t>
        </is>
      </c>
      <c r="C392" s="1" t="inlineStr">
        <is>
          <t>Cleaner Pro 5 Ltr - Professional Maintenance for Surfaces</t>
        </is>
      </c>
      <c r="D392" s="1" t="n">
        <v>37.99</v>
      </c>
      <c r="E392" s="1" t="inlineStr">
        <is>
          <t>-</t>
        </is>
      </c>
      <c r="F392" s="1" t="inlineStr">
        <is>
          <t>Qty</t>
        </is>
      </c>
      <c r="G392" s="1" t="inlineStr">
        <is>
          <t>-</t>
        </is>
      </c>
      <c r="H392" s="1" t="inlineStr">
        <is>
          <t>-</t>
        </is>
      </c>
      <c r="I392" t="n">
        <v>37.99</v>
      </c>
    </row>
    <row r="393">
      <c r="A393" s="1">
        <f>Hyperlink("https://www.tilemountain.co.uk/p/fila-deterdek-residue-remover.html","Product")</f>
        <v/>
      </c>
      <c r="B393" s="1" t="inlineStr">
        <is>
          <t>430650</t>
        </is>
      </c>
      <c r="C393" s="1" t="inlineStr">
        <is>
          <t>Deterdek Pro 1 Ltr - End of Work Cleaning</t>
        </is>
      </c>
      <c r="D393" s="1" t="n">
        <v>9.99</v>
      </c>
      <c r="E393" s="1" t="inlineStr">
        <is>
          <t>-</t>
        </is>
      </c>
      <c r="F393" s="1" t="inlineStr">
        <is>
          <t>Qty</t>
        </is>
      </c>
      <c r="G393" s="1" t="inlineStr">
        <is>
          <t>-</t>
        </is>
      </c>
      <c r="H393" s="1" t="inlineStr">
        <is>
          <t>-</t>
        </is>
      </c>
      <c r="I393" t="n">
        <v>9.99</v>
      </c>
    </row>
    <row r="394">
      <c r="A394" s="1">
        <f>Hyperlink("https://www.tilemountain.co.uk/p/fila-fuga-proof-grout-protector-750ml.html","Product")</f>
        <v/>
      </c>
      <c r="B394" s="1" t="inlineStr">
        <is>
          <t>430680</t>
        </is>
      </c>
      <c r="C394" s="1" t="inlineStr">
        <is>
          <t>Fila Fuga Proof Grout Protector 750ml</t>
        </is>
      </c>
      <c r="D394" s="1" t="n">
        <v>16.99</v>
      </c>
      <c r="E394" s="1" t="inlineStr">
        <is>
          <t>-</t>
        </is>
      </c>
      <c r="F394" s="1" t="inlineStr">
        <is>
          <t>Qty</t>
        </is>
      </c>
      <c r="G394" s="1" t="inlineStr">
        <is>
          <t>-</t>
        </is>
      </c>
      <c r="H394" s="1" t="inlineStr">
        <is>
          <t>-</t>
        </is>
      </c>
      <c r="I394" t="n">
        <v>16.99</v>
      </c>
    </row>
    <row r="395">
      <c r="A395" s="1">
        <f>Hyperlink("https://www.tilemountain.co.uk/p/fila-maintenance-kit.html","Product")</f>
        <v/>
      </c>
      <c r="B395" s="1" t="inlineStr">
        <is>
          <t>443710</t>
        </is>
      </c>
      <c r="C395" s="1" t="inlineStr">
        <is>
          <t>Fila Ceramica Maintenance Kit</t>
        </is>
      </c>
      <c r="D395" s="1" t="n">
        <v>30.99</v>
      </c>
      <c r="E395" s="1" t="inlineStr">
        <is>
          <t>-</t>
        </is>
      </c>
      <c r="F395" s="1" t="inlineStr">
        <is>
          <t>Qty</t>
        </is>
      </c>
      <c r="G395" s="1" t="inlineStr">
        <is>
          <t>-</t>
        </is>
      </c>
      <c r="H395" s="1" t="inlineStr">
        <is>
          <t>-</t>
        </is>
      </c>
      <c r="I395" t="n">
        <v>30.99</v>
      </c>
    </row>
    <row r="396">
      <c r="A396" s="1">
        <f>Hyperlink("https://www.tilemountain.co.uk/p/fila-mp90-polished-porcelain-stone-sealer-250ml.html","Product")</f>
        <v/>
      </c>
      <c r="B396" s="1" t="inlineStr">
        <is>
          <t>436195</t>
        </is>
      </c>
      <c r="C396" s="1" t="inlineStr">
        <is>
          <t>MP 90 - 375 ml - Water and Oil Repellent Protection</t>
        </is>
      </c>
      <c r="D396" s="1" t="n">
        <v>21.99</v>
      </c>
      <c r="E396" s="1" t="inlineStr">
        <is>
          <t>-</t>
        </is>
      </c>
      <c r="F396" s="1" t="inlineStr">
        <is>
          <t>Qty</t>
        </is>
      </c>
      <c r="G396" s="1" t="inlineStr">
        <is>
          <t>-</t>
        </is>
      </c>
      <c r="H396" s="1" t="inlineStr">
        <is>
          <t>-</t>
        </is>
      </c>
      <c r="I396" t="n">
        <v>21.99</v>
      </c>
    </row>
    <row r="397">
      <c r="A397" s="1">
        <f>Hyperlink("https://www.tilemountain.co.uk/p/fila-mp90-polished-porcelain-stone-sealer.html","Product")</f>
        <v/>
      </c>
      <c r="B397" s="1" t="inlineStr">
        <is>
          <t>430670</t>
        </is>
      </c>
      <c r="C397" s="1" t="inlineStr">
        <is>
          <t>MP 90 - 1 Ltr  - Water and Oil Repellent Protection</t>
        </is>
      </c>
      <c r="D397" s="1" t="n">
        <v>49.99</v>
      </c>
      <c r="E397" s="1" t="inlineStr">
        <is>
          <t>-</t>
        </is>
      </c>
      <c r="F397" s="1" t="inlineStr">
        <is>
          <t>Qty</t>
        </is>
      </c>
      <c r="G397" s="1" t="inlineStr">
        <is>
          <t>-</t>
        </is>
      </c>
      <c r="H397" s="1" t="inlineStr">
        <is>
          <t>-</t>
        </is>
      </c>
      <c r="I397" t="n">
        <v>49.99</v>
      </c>
    </row>
    <row r="398">
      <c r="A398" s="1">
        <f>Hyperlink("https://www.tilemountain.co.uk/p/fila-ps87-stain-remover-5-litre.html","Product")</f>
        <v/>
      </c>
      <c r="B398" s="1" t="inlineStr">
        <is>
          <t>442860</t>
        </is>
      </c>
      <c r="C398" s="1" t="inlineStr">
        <is>
          <t>PS87 Pro 5 Ltr - Professional Degreasing Cleaning Agent</t>
        </is>
      </c>
      <c r="D398" s="1" t="n">
        <v>69.98999999999999</v>
      </c>
      <c r="E398" s="1" t="inlineStr">
        <is>
          <t>-</t>
        </is>
      </c>
      <c r="F398" s="1" t="inlineStr">
        <is>
          <t>Qty</t>
        </is>
      </c>
      <c r="G398" s="1" t="inlineStr">
        <is>
          <t>-</t>
        </is>
      </c>
      <c r="H398" s="1" t="inlineStr">
        <is>
          <t>-</t>
        </is>
      </c>
      <c r="I398" t="n">
        <v>69.98999999999999</v>
      </c>
    </row>
    <row r="399">
      <c r="A399" s="1">
        <f>Hyperlink("https://www.tilemountain.co.uk/p/fila-ps87-stain-remover.html","Product")</f>
        <v/>
      </c>
      <c r="B399" s="1" t="inlineStr">
        <is>
          <t>430660</t>
        </is>
      </c>
      <c r="C399" s="1" t="inlineStr">
        <is>
          <t>Fila PS87 Pro Professional Degreasing Cleaning Agent 1L</t>
        </is>
      </c>
      <c r="D399" s="1" t="n">
        <v>17.99</v>
      </c>
      <c r="E399" s="1" t="inlineStr">
        <is>
          <t>-</t>
        </is>
      </c>
      <c r="F399" s="1" t="inlineStr">
        <is>
          <t>Qty</t>
        </is>
      </c>
      <c r="G399" s="1" t="inlineStr">
        <is>
          <t>-</t>
        </is>
      </c>
      <c r="H399" s="1" t="inlineStr">
        <is>
          <t>-</t>
        </is>
      </c>
      <c r="I399" t="n">
        <v>17.99</v>
      </c>
    </row>
    <row r="400">
      <c r="A400" s="1">
        <f>Hyperlink("https://www.tilemountain.co.uk/p/fila-stoneplus-colour-enhancing-sealer.html","Product")</f>
        <v/>
      </c>
      <c r="B400" s="1" t="inlineStr">
        <is>
          <t>430675</t>
        </is>
      </c>
      <c r="C400" s="1" t="inlineStr">
        <is>
          <t>Stoneplus - 1 Ltr - Colour Enhancing Stain Protector</t>
        </is>
      </c>
      <c r="D400" s="1" t="n">
        <v>41.99</v>
      </c>
      <c r="E400" s="1" t="inlineStr">
        <is>
          <t>-</t>
        </is>
      </c>
      <c r="F400" s="1" t="inlineStr">
        <is>
          <t>Qty</t>
        </is>
      </c>
      <c r="G400" s="1" t="inlineStr">
        <is>
          <t>-</t>
        </is>
      </c>
      <c r="H400" s="1" t="inlineStr">
        <is>
          <t>-</t>
        </is>
      </c>
      <c r="I400" t="n">
        <v>41.99</v>
      </c>
    </row>
    <row r="401">
      <c r="A401" s="1">
        <f>Hyperlink("https://www.tilemountain.co.uk/p/fila-tile-stone-cleaner.html","Product")</f>
        <v/>
      </c>
      <c r="B401" s="1" t="inlineStr">
        <is>
          <t>430655</t>
        </is>
      </c>
      <c r="C401" s="1" t="inlineStr">
        <is>
          <t>Cleaner Pro 1 Ltr - Professional Maintenance for Surfaces</t>
        </is>
      </c>
      <c r="D401" s="1" t="n">
        <v>9.99</v>
      </c>
      <c r="E401" s="1" t="inlineStr">
        <is>
          <t>-</t>
        </is>
      </c>
      <c r="F401" s="1" t="inlineStr">
        <is>
          <t>Qty</t>
        </is>
      </c>
      <c r="G401" s="1" t="inlineStr">
        <is>
          <t>-</t>
        </is>
      </c>
      <c r="H401" s="1" t="inlineStr">
        <is>
          <t>-</t>
        </is>
      </c>
      <c r="I401" t="n">
        <v>9.99</v>
      </c>
    </row>
    <row r="402">
      <c r="A402" s="1">
        <f>Hyperlink("https://www.tilemountain.co.uk/p/fila-w68-matt-stone-sealer.html","Product")</f>
        <v/>
      </c>
      <c r="B402" s="1" t="inlineStr">
        <is>
          <t>430665</t>
        </is>
      </c>
      <c r="C402" s="1" t="inlineStr">
        <is>
          <t>W68 - 1 Ltr - Stain Protector for Unpolished Surfaces</t>
        </is>
      </c>
      <c r="D402" s="1" t="n">
        <v>31.99</v>
      </c>
      <c r="E402" s="1" t="inlineStr">
        <is>
          <t>-</t>
        </is>
      </c>
      <c r="F402" s="1" t="inlineStr">
        <is>
          <t>Qty</t>
        </is>
      </c>
      <c r="G402" s="1" t="inlineStr">
        <is>
          <t>-</t>
        </is>
      </c>
      <c r="H402" s="1" t="inlineStr">
        <is>
          <t>-</t>
        </is>
      </c>
      <c r="I402" t="n">
        <v>31.99</v>
      </c>
    </row>
    <row r="403">
      <c r="A403" s="1">
        <f>Hyperlink("https://www.tilemountain.co.uk/p/flat-grey-cement-floor-tile.html","Product")</f>
        <v/>
      </c>
      <c r="B403" s="1" t="inlineStr">
        <is>
          <t>443750</t>
        </is>
      </c>
      <c r="C403" s="1" t="inlineStr">
        <is>
          <t>Flat Grey Cement Wall and Floor Tiles</t>
        </is>
      </c>
      <c r="D403" s="1" t="n">
        <v>34.99</v>
      </c>
      <c r="E403" s="1" t="inlineStr">
        <is>
          <t>590x1182mm</t>
        </is>
      </c>
      <c r="F403" s="1" t="inlineStr">
        <is>
          <t>m2</t>
        </is>
      </c>
      <c r="G403" s="1" t="inlineStr">
        <is>
          <t>Glazed Porcelain</t>
        </is>
      </c>
      <c r="H403" s="1" t="inlineStr">
        <is>
          <t>Gloss</t>
        </is>
      </c>
      <c r="I403" t="n">
        <v>34.99</v>
      </c>
    </row>
    <row r="404">
      <c r="A404" s="1">
        <f>Hyperlink("https://www.tilemountain.co.uk/p/flexi-bucket-35-litre.html","Product")</f>
        <v/>
      </c>
      <c r="B404" s="1" t="inlineStr">
        <is>
          <t>450730</t>
        </is>
      </c>
      <c r="C404" s="1" t="inlineStr">
        <is>
          <t>Flexi Bucket 35 Litre</t>
        </is>
      </c>
      <c r="D404" s="1" t="n">
        <v>7.99</v>
      </c>
      <c r="E404" s="1" t="inlineStr">
        <is>
          <t>-</t>
        </is>
      </c>
      <c r="F404" s="1" t="inlineStr">
        <is>
          <t>Qty</t>
        </is>
      </c>
      <c r="G404" s="1" t="inlineStr">
        <is>
          <t>-</t>
        </is>
      </c>
      <c r="H404" s="1" t="inlineStr">
        <is>
          <t>-</t>
        </is>
      </c>
      <c r="I404" t="n">
        <v>7.99</v>
      </c>
    </row>
    <row r="405">
      <c r="A405" s="1">
        <f>Hyperlink("https://www.tilemountain.co.uk/p/forma-branco-ac-30x40.html","Product")</f>
        <v/>
      </c>
      <c r="B405" s="1" t="inlineStr">
        <is>
          <t>448535</t>
        </is>
      </c>
      <c r="C405" s="1" t="inlineStr">
        <is>
          <t>Forma Matt White Wall Tile</t>
        </is>
      </c>
      <c r="D405" s="1" t="n">
        <v>9.99</v>
      </c>
      <c r="E405" s="1" t="inlineStr">
        <is>
          <t>400x300mm</t>
        </is>
      </c>
      <c r="F405" s="1" t="inlineStr">
        <is>
          <t>m2</t>
        </is>
      </c>
      <c r="G405" s="1" t="inlineStr">
        <is>
          <t>Ceramic</t>
        </is>
      </c>
      <c r="H405" s="1" t="inlineStr">
        <is>
          <t>Matt</t>
        </is>
      </c>
      <c r="I405" t="n">
        <v>9.99</v>
      </c>
    </row>
    <row r="406">
      <c r="A406" s="1">
        <f>Hyperlink("https://www.tilemountain.co.uk/p/forma-branco-br-30x40.html","Product")</f>
        <v/>
      </c>
      <c r="B406" s="1" t="inlineStr">
        <is>
          <t>448540</t>
        </is>
      </c>
      <c r="C406" s="1" t="inlineStr">
        <is>
          <t>Forma Gloss White Wall Tile</t>
        </is>
      </c>
      <c r="D406" s="1" t="n">
        <v>8.99</v>
      </c>
      <c r="E406" s="1" t="inlineStr">
        <is>
          <t>400x300mm</t>
        </is>
      </c>
      <c r="F406" s="1" t="inlineStr">
        <is>
          <t>m2</t>
        </is>
      </c>
      <c r="G406" s="1" t="inlineStr">
        <is>
          <t>-</t>
        </is>
      </c>
      <c r="H406" s="1" t="inlineStr">
        <is>
          <t>-</t>
        </is>
      </c>
      <c r="I406" t="n">
        <v>8.99</v>
      </c>
    </row>
    <row r="407">
      <c r="A407" s="1">
        <f>Hyperlink("https://www.tilemountain.co.uk/p/frisco-luxury-vinyl-tiles.html","Product")</f>
        <v/>
      </c>
      <c r="B407" s="1" t="inlineStr">
        <is>
          <t>445360</t>
        </is>
      </c>
      <c r="C407" s="1" t="inlineStr">
        <is>
          <t>Frisco Luxury Vinyl Tiles</t>
        </is>
      </c>
      <c r="D407" s="1" t="n">
        <v>20.99</v>
      </c>
      <c r="E407" s="1" t="inlineStr">
        <is>
          <t>604x299x4mm</t>
        </is>
      </c>
      <c r="F407" s="1" t="inlineStr">
        <is>
          <t>m2</t>
        </is>
      </c>
      <c r="G407" s="1" t="inlineStr">
        <is>
          <t>LVT</t>
        </is>
      </c>
      <c r="H407" s="1" t="inlineStr">
        <is>
          <t>Matt</t>
        </is>
      </c>
      <c r="I407" t="n">
        <v>20.99</v>
      </c>
    </row>
    <row r="408">
      <c r="A408" s="1">
        <f>Hyperlink("https://www.tilemountain.co.uk/p/fuganet-grout-cleaner.html","Product")</f>
        <v/>
      </c>
      <c r="B408" s="1" t="inlineStr">
        <is>
          <t>443005</t>
        </is>
      </c>
      <c r="C408" s="1" t="inlineStr">
        <is>
          <t>Fuganet 750 ml - Specific Cleaning for Grouting</t>
        </is>
      </c>
      <c r="D408" s="1" t="n">
        <v>8.99</v>
      </c>
      <c r="E408" s="1" t="inlineStr">
        <is>
          <t>-</t>
        </is>
      </c>
      <c r="F408" s="1" t="inlineStr">
        <is>
          <t>Qty</t>
        </is>
      </c>
      <c r="G408" s="1" t="inlineStr">
        <is>
          <t>-</t>
        </is>
      </c>
      <c r="H408" s="1" t="inlineStr">
        <is>
          <t>-</t>
        </is>
      </c>
      <c r="I408" t="n">
        <v>8.99</v>
      </c>
    </row>
    <row r="409">
      <c r="A409" s="1">
        <f>Hyperlink("https://www.tilemountain.co.uk/p/fulham-aqua-wall-tile.html","Product")</f>
        <v/>
      </c>
      <c r="B409" s="1" t="inlineStr">
        <is>
          <t>451535</t>
        </is>
      </c>
      <c r="C409" s="1" t="inlineStr">
        <is>
          <t>Fulham Aqua Wall Tile</t>
        </is>
      </c>
      <c r="D409" s="1" t="n">
        <v>20.99</v>
      </c>
      <c r="E409" s="1" t="inlineStr">
        <is>
          <t>400x150mm</t>
        </is>
      </c>
      <c r="F409" s="1" t="inlineStr">
        <is>
          <t>m2</t>
        </is>
      </c>
      <c r="G409" s="1" t="inlineStr">
        <is>
          <t>Ceramic</t>
        </is>
      </c>
      <c r="H409" s="1" t="inlineStr">
        <is>
          <t>Gloss</t>
        </is>
      </c>
      <c r="I409" t="n">
        <v>20.99</v>
      </c>
    </row>
    <row r="410">
      <c r="A410" s="1">
        <f>Hyperlink("https://www.tilemountain.co.uk/p/fulham-green-wall-tile.html","Product")</f>
        <v/>
      </c>
      <c r="B410" s="1" t="inlineStr">
        <is>
          <t>451545</t>
        </is>
      </c>
      <c r="C410" s="1" t="inlineStr">
        <is>
          <t>Fulham Green Wall Tile</t>
        </is>
      </c>
      <c r="D410" s="1" t="n">
        <v>20.99</v>
      </c>
      <c r="E410" s="1" t="inlineStr">
        <is>
          <t>400x150mm</t>
        </is>
      </c>
      <c r="F410" s="1" t="inlineStr">
        <is>
          <t>m2</t>
        </is>
      </c>
      <c r="G410" s="1" t="inlineStr">
        <is>
          <t>Ceramic</t>
        </is>
      </c>
      <c r="H410" s="1" t="inlineStr">
        <is>
          <t>Gloss</t>
        </is>
      </c>
      <c r="I410" t="n">
        <v>20.99</v>
      </c>
    </row>
    <row r="411">
      <c r="A411" s="1">
        <f>Hyperlink("https://www.tilemountain.co.uk/p/fulham-grey-wall-tile.html","Product")</f>
        <v/>
      </c>
      <c r="B411" s="1" t="inlineStr">
        <is>
          <t>451515</t>
        </is>
      </c>
      <c r="C411" s="1" t="inlineStr">
        <is>
          <t>Fulham Grey Wall Tile</t>
        </is>
      </c>
      <c r="D411" s="1" t="n">
        <v>20.99</v>
      </c>
      <c r="E411" s="1" t="inlineStr">
        <is>
          <t>400x150mm</t>
        </is>
      </c>
      <c r="F411" s="1" t="inlineStr">
        <is>
          <t>m2</t>
        </is>
      </c>
      <c r="G411" s="1" t="inlineStr">
        <is>
          <t>Ceramic</t>
        </is>
      </c>
      <c r="H411" s="1" t="inlineStr">
        <is>
          <t>Gloss</t>
        </is>
      </c>
      <c r="I411" t="n">
        <v>20.99</v>
      </c>
    </row>
    <row r="412">
      <c r="A412" s="1">
        <f>Hyperlink("https://www.tilemountain.co.uk/p/fulham-light-blue-wall-tile.html","Product")</f>
        <v/>
      </c>
      <c r="B412" s="1" t="inlineStr">
        <is>
          <t>451505</t>
        </is>
      </c>
      <c r="C412" s="1" t="inlineStr">
        <is>
          <t>Fulham Blue Wall Tile</t>
        </is>
      </c>
      <c r="D412" s="1" t="n">
        <v>20.99</v>
      </c>
      <c r="E412" s="1" t="inlineStr">
        <is>
          <t>400x150mm</t>
        </is>
      </c>
      <c r="F412" s="1" t="inlineStr">
        <is>
          <t>m2</t>
        </is>
      </c>
      <c r="G412" s="1" t="inlineStr">
        <is>
          <t>Ceramic</t>
        </is>
      </c>
      <c r="H412" s="1" t="inlineStr">
        <is>
          <t>Gloss</t>
        </is>
      </c>
      <c r="I412" t="n">
        <v>20.99</v>
      </c>
    </row>
    <row r="413">
      <c r="A413" s="1">
        <f>Hyperlink("https://www.tilemountain.co.uk/p/fulham-sage-wall-tile.html","Product")</f>
        <v/>
      </c>
      <c r="B413" s="1" t="inlineStr">
        <is>
          <t>451525</t>
        </is>
      </c>
      <c r="C413" s="1" t="inlineStr">
        <is>
          <t>Fulham Sage Wall Tile</t>
        </is>
      </c>
      <c r="D413" s="1" t="n">
        <v>20.99</v>
      </c>
      <c r="E413" s="1" t="inlineStr">
        <is>
          <t>400x150mm</t>
        </is>
      </c>
      <c r="F413" s="1" t="inlineStr">
        <is>
          <t>m2</t>
        </is>
      </c>
      <c r="G413" s="1" t="inlineStr">
        <is>
          <t>Ceramic</t>
        </is>
      </c>
      <c r="H413" s="1" t="inlineStr">
        <is>
          <t>Gloss</t>
        </is>
      </c>
      <c r="I413" t="n">
        <v>20.99</v>
      </c>
    </row>
    <row r="414">
      <c r="A414" s="1">
        <f>Hyperlink("https://www.tilemountain.co.uk/p/fulham-snow-white-wall-tile.html","Product")</f>
        <v/>
      </c>
      <c r="B414" s="1" t="inlineStr">
        <is>
          <t>453180</t>
        </is>
      </c>
      <c r="C414" s="1" t="inlineStr">
        <is>
          <t>Fulham White Wall Tile</t>
        </is>
      </c>
      <c r="D414" s="1" t="n">
        <v>20.99</v>
      </c>
      <c r="E414" s="1" t="inlineStr">
        <is>
          <t>400x150mm</t>
        </is>
      </c>
      <c r="F414" s="1" t="inlineStr">
        <is>
          <t>m2</t>
        </is>
      </c>
      <c r="G414" s="1" t="inlineStr">
        <is>
          <t>Ceramic</t>
        </is>
      </c>
      <c r="H414" s="1" t="inlineStr">
        <is>
          <t>Gloss</t>
        </is>
      </c>
      <c r="I414" t="n">
        <v>20.99</v>
      </c>
    </row>
    <row r="415">
      <c r="A415" s="1">
        <f>Hyperlink("https://www.tilemountain.co.uk/p/fuschia-glass-upstand-pack-2.html","Product")</f>
        <v/>
      </c>
      <c r="B415" s="1" t="inlineStr">
        <is>
          <t>436380</t>
        </is>
      </c>
      <c r="C415" s="1" t="inlineStr">
        <is>
          <t>Fuschia Glass Upstand 2pcsx1000mmx140mm</t>
        </is>
      </c>
      <c r="D415" s="1" t="n">
        <v>34.99</v>
      </c>
      <c r="E415" s="1" t="inlineStr">
        <is>
          <t>1000x140mm</t>
        </is>
      </c>
      <c r="F415" s="1" t="inlineStr">
        <is>
          <t>Qty</t>
        </is>
      </c>
      <c r="G415" s="1" t="inlineStr">
        <is>
          <t>Glass</t>
        </is>
      </c>
      <c r="H415" s="1" t="inlineStr">
        <is>
          <t>Polished</t>
        </is>
      </c>
      <c r="I415" t="n">
        <v>34.99</v>
      </c>
    </row>
    <row r="416">
      <c r="A416" s="1">
        <f>Hyperlink("https://www.tilemountain.co.uk/p/future-matt-copper-decor-tile.html","Product")</f>
        <v/>
      </c>
      <c r="B416" s="1" t="inlineStr">
        <is>
          <t>439505</t>
        </is>
      </c>
      <c r="C416" s="1" t="inlineStr">
        <is>
          <t>Future Matt Copper Decor Tiles</t>
        </is>
      </c>
      <c r="D416" s="1" t="n">
        <v>18.52</v>
      </c>
      <c r="E416" s="1" t="inlineStr">
        <is>
          <t>300x900mm</t>
        </is>
      </c>
      <c r="F416" s="1" t="inlineStr">
        <is>
          <t>m2</t>
        </is>
      </c>
      <c r="G416" s="1" t="inlineStr">
        <is>
          <t>Ceramic</t>
        </is>
      </c>
      <c r="H416" s="1" t="inlineStr">
        <is>
          <t>Satin</t>
        </is>
      </c>
      <c r="I416" t="n">
        <v>18.52</v>
      </c>
    </row>
    <row r="417">
      <c r="A417" s="1">
        <f>Hyperlink("https://www.tilemountain.co.uk/p/future-matt-oxido-decor-tile.html","Product")</f>
        <v/>
      </c>
      <c r="B417" s="1" t="inlineStr">
        <is>
          <t>439500</t>
        </is>
      </c>
      <c r="C417" s="1" t="inlineStr">
        <is>
          <t>Future Matt Oxido Decor Tiles</t>
        </is>
      </c>
      <c r="D417" s="1" t="n">
        <v>18.52</v>
      </c>
      <c r="E417" s="1" t="inlineStr">
        <is>
          <t>300x900mm</t>
        </is>
      </c>
      <c r="F417" s="1" t="inlineStr">
        <is>
          <t>m2</t>
        </is>
      </c>
      <c r="G417" s="1" t="inlineStr">
        <is>
          <t>Ceramic</t>
        </is>
      </c>
      <c r="H417" s="1" t="inlineStr">
        <is>
          <t>Satin</t>
        </is>
      </c>
      <c r="I417" t="n">
        <v>18.52</v>
      </c>
    </row>
    <row r="418">
      <c r="A418" s="1">
        <f>Hyperlink("https://www.tilemountain.co.uk/p/gatsby-black-white-patchwork-wall-floor-tile-22-3x22-3cm.html","Product")</f>
        <v/>
      </c>
      <c r="B418" s="1" t="inlineStr">
        <is>
          <t>300300</t>
        </is>
      </c>
      <c r="C418" s="1" t="inlineStr">
        <is>
          <t>Gatsby Black and White Patchwork Wall and Floor Tiles</t>
        </is>
      </c>
      <c r="D418" s="1" t="n">
        <v>23.99</v>
      </c>
      <c r="E418" s="1" t="inlineStr">
        <is>
          <t>223x223mm</t>
        </is>
      </c>
      <c r="F418" s="1" t="inlineStr">
        <is>
          <t>m2</t>
        </is>
      </c>
      <c r="G418" s="1" t="inlineStr">
        <is>
          <t>Porcelain</t>
        </is>
      </c>
      <c r="H418" s="1" t="inlineStr">
        <is>
          <t>Matt</t>
        </is>
      </c>
      <c r="I418" t="n">
        <v>23.99</v>
      </c>
    </row>
    <row r="419">
      <c r="A419" s="1">
        <f>Hyperlink("https://www.tilemountain.co.uk/p/gatsby-black-white-wall-floor-tile-22-3x22-3cm.html","Product")</f>
        <v/>
      </c>
      <c r="B419" s="1" t="inlineStr">
        <is>
          <t>300305</t>
        </is>
      </c>
      <c r="C419" s="1" t="inlineStr">
        <is>
          <t>Gatsby Black &amp; White Wall and Floor Tiles</t>
        </is>
      </c>
      <c r="D419" s="1" t="n">
        <v>23.99</v>
      </c>
      <c r="E419" s="1" t="inlineStr">
        <is>
          <t>223x223mm</t>
        </is>
      </c>
      <c r="F419" s="1" t="inlineStr">
        <is>
          <t>m2</t>
        </is>
      </c>
      <c r="G419" s="1" t="inlineStr">
        <is>
          <t>Porcelain</t>
        </is>
      </c>
      <c r="H419" s="1" t="inlineStr">
        <is>
          <t>Matt</t>
        </is>
      </c>
      <c r="I419" t="n">
        <v>23.99</v>
      </c>
    </row>
    <row r="420">
      <c r="A420" s="1">
        <f>Hyperlink("https://www.tilemountain.co.uk/p/gatsby-white-base-wall-floor-tile-22-3x22-3cm.html","Product")</f>
        <v/>
      </c>
      <c r="B420" s="1" t="inlineStr">
        <is>
          <t>300310</t>
        </is>
      </c>
      <c r="C420" s="1" t="inlineStr">
        <is>
          <t>Gatsby White Base Wall and Floor Tiles</t>
        </is>
      </c>
      <c r="D420" s="1" t="n">
        <v>23.99</v>
      </c>
      <c r="E420" s="1" t="inlineStr">
        <is>
          <t>223x223mm</t>
        </is>
      </c>
      <c r="F420" s="1" t="inlineStr">
        <is>
          <t>m2</t>
        </is>
      </c>
      <c r="G420" s="1" t="inlineStr">
        <is>
          <t>porcelain</t>
        </is>
      </c>
      <c r="H420" s="1" t="inlineStr">
        <is>
          <t>Matt</t>
        </is>
      </c>
      <c r="I420" t="n">
        <v>23.99</v>
      </c>
    </row>
    <row r="421">
      <c r="A421" s="1">
        <f>Hyperlink("https://www.tilemountain.co.uk/p/gemstone-amarillo-glass-mosaic_1.html","Product")</f>
        <v/>
      </c>
      <c r="B421" s="1" t="inlineStr">
        <is>
          <t>450030</t>
        </is>
      </c>
      <c r="C421" s="1" t="inlineStr">
        <is>
          <t>Gemstone Amarillo Glass Mosaic 300x300</t>
        </is>
      </c>
      <c r="D421" s="1" t="n">
        <v>11.99</v>
      </c>
      <c r="E421" s="1" t="inlineStr">
        <is>
          <t>300x300mm</t>
        </is>
      </c>
      <c r="F421" s="1" t="inlineStr">
        <is>
          <t>sheet</t>
        </is>
      </c>
      <c r="G421" s="1" t="inlineStr">
        <is>
          <t>Glass</t>
        </is>
      </c>
      <c r="H421" s="1" t="inlineStr">
        <is>
          <t>Gloss</t>
        </is>
      </c>
      <c r="I421" t="n">
        <v>11.99</v>
      </c>
    </row>
    <row r="422">
      <c r="A422" s="1">
        <f>Hyperlink("https://www.tilemountain.co.uk/p/georgia-ebony-multicolour-glass-mosaic.html","Product")</f>
        <v/>
      </c>
      <c r="B422" s="1" t="inlineStr">
        <is>
          <t>453730</t>
        </is>
      </c>
      <c r="C422" s="1" t="inlineStr">
        <is>
          <t>Georgia Ebony Multicolour Glass  Mosaic</t>
        </is>
      </c>
      <c r="D422" s="1" t="n">
        <v>12.99</v>
      </c>
      <c r="E422" s="1" t="inlineStr">
        <is>
          <t>307x287mm</t>
        </is>
      </c>
      <c r="F422" s="1" t="inlineStr">
        <is>
          <t>sheet</t>
        </is>
      </c>
      <c r="G422" s="1" t="inlineStr">
        <is>
          <t>Glass</t>
        </is>
      </c>
      <c r="H422" s="1" t="inlineStr">
        <is>
          <t>Gloss</t>
        </is>
      </c>
      <c r="I422" t="n">
        <v>12.99</v>
      </c>
    </row>
    <row r="423">
      <c r="A423" s="1">
        <f>Hyperlink("https://www.tilemountain.co.uk/p/georgia-oyster-pearl-glass-mosaic.html","Product")</f>
        <v/>
      </c>
      <c r="B423" s="1" t="inlineStr">
        <is>
          <t>453735</t>
        </is>
      </c>
      <c r="C423" s="1" t="inlineStr">
        <is>
          <t>Georgia Oyster Pearl Glass Mosaic</t>
        </is>
      </c>
      <c r="D423" s="1" t="n">
        <v>12.99</v>
      </c>
      <c r="E423" s="1" t="inlineStr">
        <is>
          <t>307x287mm</t>
        </is>
      </c>
      <c r="F423" s="1" t="inlineStr">
        <is>
          <t>sheet</t>
        </is>
      </c>
      <c r="G423" s="1" t="inlineStr">
        <is>
          <t>Glass</t>
        </is>
      </c>
      <c r="H423" s="1" t="inlineStr">
        <is>
          <t>Gloss</t>
        </is>
      </c>
      <c r="I423" t="n">
        <v>12.99</v>
      </c>
    </row>
    <row r="424">
      <c r="A424" s="1">
        <f>Hyperlink("https://www.tilemountain.co.uk/p/georgia-smoke-grey-glass-mosaic.html","Product")</f>
        <v/>
      </c>
      <c r="B424" s="1" t="inlineStr">
        <is>
          <t>453740</t>
        </is>
      </c>
      <c r="C424" s="1" t="inlineStr">
        <is>
          <t>Georgia Smoke Grey Glass Mosaic</t>
        </is>
      </c>
      <c r="D424" s="1" t="n">
        <v>12.99</v>
      </c>
      <c r="E424" s="1" t="inlineStr">
        <is>
          <t>307x287mm</t>
        </is>
      </c>
      <c r="F424" s="1" t="inlineStr">
        <is>
          <t>sheet</t>
        </is>
      </c>
      <c r="G424" s="1" t="inlineStr">
        <is>
          <t>Glass</t>
        </is>
      </c>
      <c r="H424" s="1" t="inlineStr">
        <is>
          <t>Gloss</t>
        </is>
      </c>
      <c r="I424" t="n">
        <v>12.99</v>
      </c>
    </row>
    <row r="425">
      <c r="A425" s="1">
        <f>Hyperlink("https://www.tilemountain.co.uk/p/glasgow-grey-7-5x30.html","Product")</f>
        <v/>
      </c>
      <c r="B425" s="1" t="inlineStr">
        <is>
          <t>449905</t>
        </is>
      </c>
      <c r="C425" s="1" t="inlineStr">
        <is>
          <t>Glasgow Grey Mix Wall Tile</t>
        </is>
      </c>
      <c r="D425" s="1" t="n">
        <v>19.95</v>
      </c>
      <c r="E425" s="1" t="inlineStr">
        <is>
          <t>300x75mm</t>
        </is>
      </c>
      <c r="F425" s="1" t="inlineStr">
        <is>
          <t>m2</t>
        </is>
      </c>
      <c r="G425" s="1" t="inlineStr">
        <is>
          <t>Ceramic</t>
        </is>
      </c>
      <c r="H425" s="1" t="inlineStr">
        <is>
          <t>Matt</t>
        </is>
      </c>
      <c r="I425" t="n">
        <v>19.95</v>
      </c>
    </row>
    <row r="426">
      <c r="A426" s="1">
        <f>Hyperlink("https://www.tilemountain.co.uk/p/glasgow-ivory-7-5x30.html","Product")</f>
        <v/>
      </c>
      <c r="B426" s="1" t="inlineStr">
        <is>
          <t>449900</t>
        </is>
      </c>
      <c r="C426" s="1" t="inlineStr">
        <is>
          <t>Glasgow Ivory Mix Wall Tile</t>
        </is>
      </c>
      <c r="D426" s="1" t="n">
        <v>19.95</v>
      </c>
      <c r="E426" s="1" t="inlineStr">
        <is>
          <t>300x75mm</t>
        </is>
      </c>
      <c r="F426" s="1" t="inlineStr">
        <is>
          <t>m2</t>
        </is>
      </c>
      <c r="G426" s="1" t="inlineStr">
        <is>
          <t>Ceramic</t>
        </is>
      </c>
      <c r="H426" s="1" t="inlineStr">
        <is>
          <t>Matt</t>
        </is>
      </c>
      <c r="I426" t="n">
        <v>19.95</v>
      </c>
    </row>
    <row r="427">
      <c r="A427" s="1">
        <f>Hyperlink("https://www.tilemountain.co.uk/p/glossy-flat-white-wall-tile.html","Product")</f>
        <v/>
      </c>
      <c r="B427" s="1" t="inlineStr">
        <is>
          <t>434045</t>
        </is>
      </c>
      <c r="C427" s="1" t="inlineStr">
        <is>
          <t>Glossy Flat White Wall Tiles</t>
        </is>
      </c>
      <c r="D427" s="1" t="n">
        <v>12.99</v>
      </c>
      <c r="E427" s="1" t="inlineStr">
        <is>
          <t>300x600mm</t>
        </is>
      </c>
      <c r="F427" s="1" t="inlineStr">
        <is>
          <t>m2</t>
        </is>
      </c>
      <c r="G427" s="1" t="inlineStr">
        <is>
          <t>Ceramic</t>
        </is>
      </c>
      <c r="H427" s="1" t="inlineStr">
        <is>
          <t>Gloss</t>
        </is>
      </c>
      <c r="I427" t="n">
        <v>12.99</v>
      </c>
    </row>
    <row r="428">
      <c r="A428" s="1">
        <f>Hyperlink("https://www.tilemountain.co.uk/p/grace-bronze-glass-mosaic.html","Product")</f>
        <v/>
      </c>
      <c r="B428" s="1" t="inlineStr">
        <is>
          <t>450085</t>
        </is>
      </c>
      <c r="C428" s="1" t="inlineStr">
        <is>
          <t>Grace Bronze Glass Mosaic 288x306</t>
        </is>
      </c>
      <c r="D428" s="1" t="n">
        <v>14.99</v>
      </c>
      <c r="E428" s="1" t="inlineStr">
        <is>
          <t>306x288mm</t>
        </is>
      </c>
      <c r="F428" s="1" t="inlineStr">
        <is>
          <t>sheet</t>
        </is>
      </c>
      <c r="G428" s="1" t="inlineStr">
        <is>
          <t>Glass</t>
        </is>
      </c>
      <c r="H428" s="1" t="inlineStr">
        <is>
          <t>Gloss</t>
        </is>
      </c>
      <c r="I428" t="n">
        <v>14.99</v>
      </c>
    </row>
    <row r="429">
      <c r="A429" s="1">
        <f>Hyperlink("https://www.tilemountain.co.uk/p/grace-grey-glass-mosaic_1.html","Product")</f>
        <v/>
      </c>
      <c r="B429" s="1" t="inlineStr">
        <is>
          <t>450090</t>
        </is>
      </c>
      <c r="C429" s="1" t="inlineStr">
        <is>
          <t>Grace Grey Glass Mosaic 288x306</t>
        </is>
      </c>
      <c r="D429" s="1" t="n">
        <v>14.99</v>
      </c>
      <c r="E429" s="1" t="inlineStr">
        <is>
          <t>306x288mm</t>
        </is>
      </c>
      <c r="F429" s="1" t="inlineStr">
        <is>
          <t>sheet</t>
        </is>
      </c>
      <c r="G429" s="1" t="inlineStr">
        <is>
          <t>Glass</t>
        </is>
      </c>
      <c r="H429" s="1" t="inlineStr">
        <is>
          <t>Gloss</t>
        </is>
      </c>
      <c r="I429" t="n">
        <v>14.99</v>
      </c>
    </row>
    <row r="430">
      <c r="A430" s="1">
        <f>Hyperlink("https://www.tilemountain.co.uk/p/grace-silver-glass-mosaic_1.html","Product")</f>
        <v/>
      </c>
      <c r="B430" s="1" t="inlineStr">
        <is>
          <t>450095</t>
        </is>
      </c>
      <c r="C430" s="1" t="inlineStr">
        <is>
          <t>Grace Silver Glass Mosaic 288x306</t>
        </is>
      </c>
      <c r="D430" s="1" t="n">
        <v>14.99</v>
      </c>
      <c r="E430" s="1" t="inlineStr">
        <is>
          <t>306x288mm</t>
        </is>
      </c>
      <c r="F430" s="1" t="inlineStr">
        <is>
          <t>sheet</t>
        </is>
      </c>
      <c r="G430" s="1" t="inlineStr">
        <is>
          <t>Glass</t>
        </is>
      </c>
      <c r="H430" s="1" t="inlineStr">
        <is>
          <t>Gloss</t>
        </is>
      </c>
      <c r="I430" t="n">
        <v>14.99</v>
      </c>
    </row>
    <row r="431">
      <c r="A431" s="1">
        <f>Hyperlink("https://www.tilemountain.co.uk/p/grange-beige-matt-matt-floor-tile.html","Product")</f>
        <v/>
      </c>
      <c r="B431" s="1" t="inlineStr">
        <is>
          <t>450100</t>
        </is>
      </c>
      <c r="C431" s="1" t="inlineStr">
        <is>
          <t>Grange Beige Matt Floor Tile</t>
        </is>
      </c>
      <c r="D431" s="1" t="n">
        <v>29.99</v>
      </c>
      <c r="E431" s="1" t="inlineStr">
        <is>
          <t>1200x600mm</t>
        </is>
      </c>
      <c r="F431" s="1" t="inlineStr">
        <is>
          <t>m2</t>
        </is>
      </c>
      <c r="G431" s="1" t="inlineStr">
        <is>
          <t>Porcelain</t>
        </is>
      </c>
      <c r="H431" s="1" t="inlineStr">
        <is>
          <t>Matt</t>
        </is>
      </c>
      <c r="I431" t="n">
        <v>29.99</v>
      </c>
    </row>
    <row r="432">
      <c r="A432" s="1">
        <f>Hyperlink("https://www.tilemountain.co.uk/p/grange-blanco-matt-floor-tile.html","Product")</f>
        <v/>
      </c>
      <c r="B432" s="1" t="inlineStr">
        <is>
          <t>450110</t>
        </is>
      </c>
      <c r="C432" s="1" t="inlineStr">
        <is>
          <t>Grange Blanco Matt Floor Tile</t>
        </is>
      </c>
      <c r="D432" s="1" t="n">
        <v>29.99</v>
      </c>
      <c r="E432" s="1" t="inlineStr">
        <is>
          <t>1200x600mm</t>
        </is>
      </c>
      <c r="F432" s="1" t="inlineStr">
        <is>
          <t>m2</t>
        </is>
      </c>
      <c r="G432" s="1" t="inlineStr">
        <is>
          <t>Porcelain</t>
        </is>
      </c>
      <c r="H432" s="1" t="inlineStr">
        <is>
          <t>Matt</t>
        </is>
      </c>
      <c r="I432" t="n">
        <v>29.99</v>
      </c>
    </row>
    <row r="433">
      <c r="A433" s="1">
        <f>Hyperlink("https://www.tilemountain.co.uk/p/grange-grey-matt-floor-tile.html","Product")</f>
        <v/>
      </c>
      <c r="B433" s="1" t="inlineStr">
        <is>
          <t>450105</t>
        </is>
      </c>
      <c r="C433" s="1" t="inlineStr">
        <is>
          <t>Grange Grey Matt Floor Tile</t>
        </is>
      </c>
      <c r="D433" s="1" t="n">
        <v>29.99</v>
      </c>
      <c r="E433" s="1" t="inlineStr">
        <is>
          <t>1200x600mm</t>
        </is>
      </c>
      <c r="F433" s="1" t="inlineStr">
        <is>
          <t>m2</t>
        </is>
      </c>
      <c r="G433" s="1" t="inlineStr">
        <is>
          <t>Porcelain</t>
        </is>
      </c>
      <c r="H433" s="1" t="inlineStr">
        <is>
          <t>Matt</t>
        </is>
      </c>
      <c r="I433" t="n">
        <v>29.99</v>
      </c>
    </row>
    <row r="434">
      <c r="A434" s="1">
        <f>Hyperlink("https://www.tilemountain.co.uk/p/granirapid-grey-2-part-kit.html","Product")</f>
        <v/>
      </c>
      <c r="B434" s="1" t="inlineStr">
        <is>
          <t>443725</t>
        </is>
      </c>
      <c r="C434" s="1" t="inlineStr">
        <is>
          <t>Granirapid Grey 2 Part Kit</t>
        </is>
      </c>
      <c r="D434" s="1" t="n">
        <v>28.99</v>
      </c>
      <c r="E434" s="1" t="inlineStr">
        <is>
          <t>-</t>
        </is>
      </c>
      <c r="F434" s="1" t="inlineStr">
        <is>
          <t>Qty</t>
        </is>
      </c>
      <c r="G434" s="1" t="inlineStr">
        <is>
          <t>-</t>
        </is>
      </c>
      <c r="H434" s="1" t="inlineStr">
        <is>
          <t>-</t>
        </is>
      </c>
      <c r="I434" t="n">
        <v>28.99</v>
      </c>
    </row>
    <row r="435">
      <c r="A435" s="1">
        <f>Hyperlink("https://www.tilemountain.co.uk/p/granite-white-outdoor-slab-tile.html","Product")</f>
        <v/>
      </c>
      <c r="B435" s="1" t="inlineStr">
        <is>
          <t>444370</t>
        </is>
      </c>
      <c r="C435" s="1" t="inlineStr">
        <is>
          <t>Granite White Outdoor Slab Tiles</t>
        </is>
      </c>
      <c r="D435" s="1" t="n">
        <v>39.99</v>
      </c>
      <c r="E435" s="1" t="inlineStr">
        <is>
          <t>600x600mm</t>
        </is>
      </c>
      <c r="F435" s="1" t="inlineStr">
        <is>
          <t>m2</t>
        </is>
      </c>
      <c r="G435" s="1" t="inlineStr">
        <is>
          <t>Porcelain</t>
        </is>
      </c>
      <c r="H435" s="1" t="inlineStr">
        <is>
          <t>Matt</t>
        </is>
      </c>
      <c r="I435" t="n">
        <v>39.99</v>
      </c>
    </row>
    <row r="436">
      <c r="A436" s="1">
        <f>Hyperlink("https://www.tilemountain.co.uk/p/granito-black.html","Product")</f>
        <v/>
      </c>
      <c r="B436" s="1" t="inlineStr">
        <is>
          <t>444260</t>
        </is>
      </c>
      <c r="C436" s="1" t="inlineStr">
        <is>
          <t>Granito Black Outdoor Matt Porcelain Slab</t>
        </is>
      </c>
      <c r="D436" s="1" t="n">
        <v>39.99</v>
      </c>
      <c r="E436" s="1" t="inlineStr">
        <is>
          <t>400x800mm</t>
        </is>
      </c>
      <c r="F436" s="1" t="inlineStr">
        <is>
          <t>m2</t>
        </is>
      </c>
      <c r="G436" s="1" t="inlineStr">
        <is>
          <t>Porcelain</t>
        </is>
      </c>
      <c r="H436" s="1" t="inlineStr">
        <is>
          <t>Matt</t>
        </is>
      </c>
      <c r="I436" t="n">
        <v>39.99</v>
      </c>
    </row>
    <row r="437">
      <c r="A437" s="1">
        <f>Hyperlink("https://www.tilemountain.co.uk/p/granito-grey.html","Product")</f>
        <v/>
      </c>
      <c r="B437" s="1" t="inlineStr">
        <is>
          <t>444255</t>
        </is>
      </c>
      <c r="C437" s="1" t="inlineStr">
        <is>
          <t>Granito Grey Outdoor Matt Porcelain Slab</t>
        </is>
      </c>
      <c r="D437" s="1" t="n">
        <v>37.99</v>
      </c>
      <c r="E437" s="1" t="inlineStr">
        <is>
          <t>400x800mm</t>
        </is>
      </c>
      <c r="F437" s="1" t="inlineStr">
        <is>
          <t>m2</t>
        </is>
      </c>
      <c r="G437" s="1" t="inlineStr">
        <is>
          <t>Porcelain</t>
        </is>
      </c>
      <c r="H437" s="1" t="inlineStr">
        <is>
          <t>Matt</t>
        </is>
      </c>
      <c r="I437" t="n">
        <v>37.99</v>
      </c>
    </row>
    <row r="438">
      <c r="A438" s="1">
        <f>Hyperlink("https://www.tilemountain.co.uk/p/graziella-ice-grey-oak-wood-effect-porcelain-tile.html","Product")</f>
        <v/>
      </c>
      <c r="B438" s="1" t="inlineStr">
        <is>
          <t>449730</t>
        </is>
      </c>
      <c r="C438" s="1" t="inlineStr">
        <is>
          <t>Graziella Ice Grey Oak Wood Effect Porcelain Floor Tile</t>
        </is>
      </c>
      <c r="D438" s="1" t="n">
        <v>17.99</v>
      </c>
      <c r="E438" s="1" t="inlineStr">
        <is>
          <t>1200x230mm</t>
        </is>
      </c>
      <c r="F438" s="1" t="inlineStr">
        <is>
          <t>m2</t>
        </is>
      </c>
      <c r="G438" s="1" t="inlineStr">
        <is>
          <t>Porcelain</t>
        </is>
      </c>
      <c r="H438" s="1" t="inlineStr">
        <is>
          <t>Matt</t>
        </is>
      </c>
      <c r="I438" t="n">
        <v>17.99</v>
      </c>
    </row>
    <row r="439">
      <c r="A439" s="1">
        <f>Hyperlink("https://www.tilemountain.co.uk/p/graziella-roble-oak-wood-effect-porcelain-floor-tile.html","Product")</f>
        <v/>
      </c>
      <c r="B439" s="1" t="inlineStr">
        <is>
          <t>449720</t>
        </is>
      </c>
      <c r="C439" s="1" t="inlineStr">
        <is>
          <t>Graziella Roble Oak Wood Effect Porcelain Floor Tile</t>
        </is>
      </c>
      <c r="D439" s="1" t="n">
        <v>17.99</v>
      </c>
      <c r="E439" s="1" t="inlineStr">
        <is>
          <t>1200x230mm</t>
        </is>
      </c>
      <c r="F439" s="1" t="inlineStr">
        <is>
          <t>m2</t>
        </is>
      </c>
      <c r="G439" s="1" t="inlineStr">
        <is>
          <t>Porcelain</t>
        </is>
      </c>
      <c r="H439" s="1" t="inlineStr">
        <is>
          <t>Matt</t>
        </is>
      </c>
      <c r="I439" t="n">
        <v>17.99</v>
      </c>
    </row>
    <row r="440">
      <c r="A440" s="1">
        <f>Hyperlink("https://www.tilemountain.co.uk/p/graziella-smokey-oak-wood-effect-porcelain-floor-tile.html","Product")</f>
        <v/>
      </c>
      <c r="B440" s="1" t="inlineStr">
        <is>
          <t>449725</t>
        </is>
      </c>
      <c r="C440" s="1" t="inlineStr">
        <is>
          <t>Graziella Smokey Oak Wood Effect Porcelain Floor Tile</t>
        </is>
      </c>
      <c r="D440" s="1" t="n">
        <v>17.99</v>
      </c>
      <c r="E440" s="1" t="inlineStr">
        <is>
          <t>1200x230mm</t>
        </is>
      </c>
      <c r="F440" s="1" t="inlineStr">
        <is>
          <t>m2</t>
        </is>
      </c>
      <c r="G440" s="1" t="inlineStr">
        <is>
          <t>Porcelain</t>
        </is>
      </c>
      <c r="H440" s="1" t="inlineStr">
        <is>
          <t>Matt</t>
        </is>
      </c>
      <c r="I440" t="n">
        <v>17.99</v>
      </c>
    </row>
    <row r="441">
      <c r="A441" s="1">
        <f>Hyperlink("https://www.tilemountain.co.uk/p/grey-marble-split-face-mosaic.html","Product")</f>
        <v/>
      </c>
      <c r="B441" s="1" t="inlineStr">
        <is>
          <t>445530</t>
        </is>
      </c>
      <c r="C441" s="1" t="inlineStr">
        <is>
          <t>Grey Marble Split Face Mosaic</t>
        </is>
      </c>
      <c r="D441" s="1" t="n">
        <v>40.99</v>
      </c>
      <c r="E441" s="1" t="inlineStr">
        <is>
          <t>300x150mm</t>
        </is>
      </c>
      <c r="F441" s="1" t="inlineStr">
        <is>
          <t>m2</t>
        </is>
      </c>
      <c r="G441" s="1" t="inlineStr">
        <is>
          <t>Slate</t>
        </is>
      </c>
      <c r="H441" s="1" t="inlineStr">
        <is>
          <t>Riven</t>
        </is>
      </c>
      <c r="I441" t="n">
        <v>40.99</v>
      </c>
    </row>
    <row r="442">
      <c r="A442" s="1">
        <f>Hyperlink("https://www.tilemountain.co.uk/p/groove-art-snow-decor-tile.html","Product")</f>
        <v/>
      </c>
      <c r="B442" s="1" t="inlineStr">
        <is>
          <t>446125</t>
        </is>
      </c>
      <c r="C442" s="1" t="inlineStr">
        <is>
          <t>Groove Art Snow Decor Tiles</t>
        </is>
      </c>
      <c r="D442" s="1" t="n">
        <v>29.99</v>
      </c>
      <c r="E442" s="1" t="inlineStr">
        <is>
          <t>1200x400mm</t>
        </is>
      </c>
      <c r="F442" s="1" t="inlineStr">
        <is>
          <t>m2</t>
        </is>
      </c>
      <c r="G442" s="1" t="inlineStr">
        <is>
          <t>Ceramic</t>
        </is>
      </c>
      <c r="H442" s="1" t="inlineStr">
        <is>
          <t>Matt</t>
        </is>
      </c>
      <c r="I442" t="n">
        <v>29.99</v>
      </c>
    </row>
    <row r="443">
      <c r="A443" s="1">
        <f>Hyperlink("https://www.tilemountain.co.uk/p/groove-sand-matt-wall-tile.html","Product")</f>
        <v/>
      </c>
      <c r="B443" s="1" t="inlineStr">
        <is>
          <t>446115</t>
        </is>
      </c>
      <c r="C443" s="1" t="inlineStr">
        <is>
          <t>Groove Sand Matt Wall Tiles</t>
        </is>
      </c>
      <c r="D443" s="1" t="n">
        <v>28.99</v>
      </c>
      <c r="E443" s="1" t="inlineStr">
        <is>
          <t>1200x400mm</t>
        </is>
      </c>
      <c r="F443" s="1" t="inlineStr">
        <is>
          <t>m2</t>
        </is>
      </c>
      <c r="G443" s="1" t="inlineStr">
        <is>
          <t>Ceramic</t>
        </is>
      </c>
      <c r="H443" s="1" t="inlineStr">
        <is>
          <t>Matt</t>
        </is>
      </c>
      <c r="I443" t="n">
        <v>28.99</v>
      </c>
    </row>
    <row r="444">
      <c r="A444" s="1">
        <f>Hyperlink("https://www.tilemountain.co.uk/p/grout-float-5419.html","Product")</f>
        <v/>
      </c>
      <c r="B444" s="1" t="inlineStr">
        <is>
          <t>450685</t>
        </is>
      </c>
      <c r="C444" s="1" t="inlineStr">
        <is>
          <t>Grout Float</t>
        </is>
      </c>
      <c r="D444" s="1" t="n">
        <v>10.99</v>
      </c>
      <c r="E444" s="1" t="inlineStr">
        <is>
          <t>-</t>
        </is>
      </c>
      <c r="F444" s="1" t="inlineStr">
        <is>
          <t>Qty</t>
        </is>
      </c>
      <c r="G444" s="1" t="inlineStr">
        <is>
          <t>-</t>
        </is>
      </c>
      <c r="H444" s="1" t="inlineStr">
        <is>
          <t>-</t>
        </is>
      </c>
      <c r="I444" t="n">
        <v>10.99</v>
      </c>
    </row>
    <row r="445">
      <c r="A445" s="1">
        <f>Hyperlink("https://www.tilemountain.co.uk/p/grout-rake.html","Product")</f>
        <v/>
      </c>
      <c r="B445" s="1" t="inlineStr">
        <is>
          <t>450740</t>
        </is>
      </c>
      <c r="C445" s="1" t="inlineStr">
        <is>
          <t>Grout Rake</t>
        </is>
      </c>
      <c r="D445" s="1" t="n">
        <v>5.99</v>
      </c>
      <c r="E445" s="1" t="inlineStr">
        <is>
          <t>-</t>
        </is>
      </c>
      <c r="F445" s="1" t="inlineStr">
        <is>
          <t>Qty</t>
        </is>
      </c>
      <c r="G445" s="1" t="inlineStr">
        <is>
          <t>-</t>
        </is>
      </c>
      <c r="H445" s="1" t="inlineStr">
        <is>
          <t>-</t>
        </is>
      </c>
      <c r="I445" t="n">
        <v>5.99</v>
      </c>
    </row>
    <row r="446">
      <c r="A446" s="1">
        <f>Hyperlink("https://www.tilemountain.co.uk/p/hampton-black.html","Product")</f>
        <v/>
      </c>
      <c r="B446" s="1" t="inlineStr">
        <is>
          <t>ECB003</t>
        </is>
      </c>
      <c r="C446" s="1" t="inlineStr">
        <is>
          <t>Hampton Black Wall Tiles</t>
        </is>
      </c>
      <c r="D446" s="1" t="n">
        <v>22.99</v>
      </c>
      <c r="E446" s="1" t="inlineStr">
        <is>
          <t>150x75mm</t>
        </is>
      </c>
      <c r="F446" s="1" t="inlineStr">
        <is>
          <t>m2</t>
        </is>
      </c>
      <c r="G446" s="1" t="inlineStr">
        <is>
          <t>Ceramic</t>
        </is>
      </c>
      <c r="H446" s="1" t="inlineStr">
        <is>
          <t>Gloss</t>
        </is>
      </c>
      <c r="I446" t="n">
        <v>22.99</v>
      </c>
    </row>
    <row r="447">
      <c r="A447" s="1">
        <f>Hyperlink("https://www.tilemountain.co.uk/p/hannover-steel.html","Product")</f>
        <v/>
      </c>
      <c r="B447" s="1" t="inlineStr">
        <is>
          <t>446360</t>
        </is>
      </c>
      <c r="C447" s="1" t="inlineStr">
        <is>
          <t>Hannover Steel Floor Tiles</t>
        </is>
      </c>
      <c r="D447" s="1" t="n">
        <v>20.99</v>
      </c>
      <c r="E447" s="1" t="inlineStr">
        <is>
          <t>800x800mm</t>
        </is>
      </c>
      <c r="F447" s="1" t="inlineStr">
        <is>
          <t>m2</t>
        </is>
      </c>
      <c r="G447" s="1" t="inlineStr">
        <is>
          <t>Porcelain</t>
        </is>
      </c>
      <c r="H447" s="1" t="inlineStr">
        <is>
          <t>Matt</t>
        </is>
      </c>
      <c r="I447" t="n">
        <v>20.99</v>
      </c>
    </row>
    <row r="448">
      <c r="A448" s="1">
        <f>Hyperlink("https://www.tilemountain.co.uk/p/hanoi-black-floor-tile.html","Product")</f>
        <v/>
      </c>
      <c r="B448" s="1" t="inlineStr">
        <is>
          <t>444300</t>
        </is>
      </c>
      <c r="C448" s="1" t="inlineStr">
        <is>
          <t>Hanoi Black Floor Tiles</t>
        </is>
      </c>
      <c r="D448" s="1" t="n">
        <v>17.99</v>
      </c>
      <c r="E448" s="1" t="inlineStr">
        <is>
          <t>327x327mm</t>
        </is>
      </c>
      <c r="F448" s="1" t="inlineStr">
        <is>
          <t>m2</t>
        </is>
      </c>
      <c r="G448" s="1" t="inlineStr">
        <is>
          <t>Porcelain</t>
        </is>
      </c>
      <c r="H448" s="1" t="inlineStr">
        <is>
          <t>Matt</t>
        </is>
      </c>
      <c r="I448" t="n">
        <v>17.99</v>
      </c>
    </row>
    <row r="449">
      <c r="A449" s="1">
        <f>Hyperlink("https://www.tilemountain.co.uk/p/hanoi-cube-grey-floor-tile.html","Product")</f>
        <v/>
      </c>
      <c r="B449" s="1" t="inlineStr">
        <is>
          <t>444315</t>
        </is>
      </c>
      <c r="C449" s="1" t="inlineStr">
        <is>
          <t>Hanoi Cube Grey Floor Tiles</t>
        </is>
      </c>
      <c r="D449" s="1" t="n">
        <v>19.99</v>
      </c>
      <c r="E449" s="1" t="inlineStr">
        <is>
          <t>327x327mm</t>
        </is>
      </c>
      <c r="F449" s="1" t="inlineStr">
        <is>
          <t>m2</t>
        </is>
      </c>
      <c r="G449" s="1" t="inlineStr">
        <is>
          <t>Porcelain</t>
        </is>
      </c>
      <c r="H449" s="1" t="inlineStr">
        <is>
          <t>Matt</t>
        </is>
      </c>
      <c r="I449" t="n">
        <v>19.99</v>
      </c>
    </row>
    <row r="450">
      <c r="A450" s="1">
        <f>Hyperlink("https://www.tilemountain.co.uk/p/hanoi-flower-grey-floor-tile.html","Product")</f>
        <v/>
      </c>
      <c r="B450" s="1" t="inlineStr">
        <is>
          <t>444310</t>
        </is>
      </c>
      <c r="C450" s="1" t="inlineStr">
        <is>
          <t>Hanoi Flower Grey Floor Tiles</t>
        </is>
      </c>
      <c r="D450" s="1" t="n">
        <v>19.99</v>
      </c>
      <c r="E450" s="1" t="inlineStr">
        <is>
          <t>327x327mm</t>
        </is>
      </c>
      <c r="F450" s="1" t="inlineStr">
        <is>
          <t>m2</t>
        </is>
      </c>
      <c r="G450" s="1" t="inlineStr">
        <is>
          <t>Porcelain</t>
        </is>
      </c>
      <c r="H450" s="1" t="inlineStr">
        <is>
          <t>Matt</t>
        </is>
      </c>
      <c r="I450" t="n">
        <v>19.99</v>
      </c>
    </row>
    <row r="451">
      <c r="A451" s="1">
        <f>Hyperlink("https://www.tilemountain.co.uk/p/hanoi-grey-floor-tile.html","Product")</f>
        <v/>
      </c>
      <c r="B451" s="1" t="inlineStr">
        <is>
          <t>444295</t>
        </is>
      </c>
      <c r="C451" s="1" t="inlineStr">
        <is>
          <t>Hanoi Grey Floor Tiles</t>
        </is>
      </c>
      <c r="D451" s="1" t="n">
        <v>19.99</v>
      </c>
      <c r="E451" s="1" t="inlineStr">
        <is>
          <t>327x327mm</t>
        </is>
      </c>
      <c r="F451" s="1" t="inlineStr">
        <is>
          <t>m2</t>
        </is>
      </c>
      <c r="G451" s="1" t="inlineStr">
        <is>
          <t>Porcelain</t>
        </is>
      </c>
      <c r="H451" s="1" t="inlineStr">
        <is>
          <t>Matt</t>
        </is>
      </c>
      <c r="I451" t="n">
        <v>19.99</v>
      </c>
    </row>
    <row r="452">
      <c r="A452" s="1">
        <f>Hyperlink("https://www.tilemountain.co.uk/p/hanoi-star-blue-floor-tile.html","Product")</f>
        <v/>
      </c>
      <c r="B452" s="1" t="inlineStr">
        <is>
          <t>444305</t>
        </is>
      </c>
      <c r="C452" s="1" t="inlineStr">
        <is>
          <t>Hanoi Star Blue Floor Tiles</t>
        </is>
      </c>
      <c r="D452" s="1" t="n">
        <v>19.99</v>
      </c>
      <c r="E452" s="1" t="inlineStr">
        <is>
          <t>327x327mm</t>
        </is>
      </c>
      <c r="F452" s="1" t="inlineStr">
        <is>
          <t>m2</t>
        </is>
      </c>
      <c r="G452" s="1" t="inlineStr">
        <is>
          <t>Porcelain</t>
        </is>
      </c>
      <c r="H452" s="1" t="inlineStr">
        <is>
          <t>Matt</t>
        </is>
      </c>
      <c r="I452" t="n">
        <v>19.99</v>
      </c>
    </row>
    <row r="453">
      <c r="A453" s="1">
        <f>Hyperlink("https://www.tilemountain.co.uk/p/hanoi-white-floor-tile.html","Product")</f>
        <v/>
      </c>
      <c r="B453" s="1" t="inlineStr">
        <is>
          <t>444290</t>
        </is>
      </c>
      <c r="C453" s="1" t="inlineStr">
        <is>
          <t>Hanoi White Floor Tiles</t>
        </is>
      </c>
      <c r="D453" s="1" t="n">
        <v>17.99</v>
      </c>
      <c r="E453" s="1" t="inlineStr">
        <is>
          <t>327x327mm</t>
        </is>
      </c>
      <c r="F453" s="1" t="inlineStr">
        <is>
          <t>m2</t>
        </is>
      </c>
      <c r="G453" s="1" t="inlineStr">
        <is>
          <t>Porcelain</t>
        </is>
      </c>
      <c r="H453" s="1" t="inlineStr">
        <is>
          <t>Matt</t>
        </is>
      </c>
      <c r="I453" t="n">
        <v>17.99</v>
      </c>
    </row>
    <row r="454">
      <c r="A454" s="1">
        <f>Hyperlink("https://www.tilemountain.co.uk/p/hardblue-dark-grey-decor-porcelain-outdoor-slab.html","Product")</f>
        <v/>
      </c>
      <c r="B454" s="1" t="inlineStr">
        <is>
          <t>451320</t>
        </is>
      </c>
      <c r="C454" s="1" t="inlineStr">
        <is>
          <t>Hardblue Dark Grey Decor Porcelain Outdoor Slab</t>
        </is>
      </c>
      <c r="D454" s="1" t="n">
        <v>39.99</v>
      </c>
      <c r="E454" s="1" t="inlineStr">
        <is>
          <t>600x600mm</t>
        </is>
      </c>
      <c r="F454" s="1" t="inlineStr">
        <is>
          <t>m2</t>
        </is>
      </c>
      <c r="G454" s="1" t="inlineStr">
        <is>
          <t>Porcelain</t>
        </is>
      </c>
      <c r="H454" s="1" t="inlineStr">
        <is>
          <t>Matt</t>
        </is>
      </c>
      <c r="I454" t="n">
        <v>39.99</v>
      </c>
    </row>
    <row r="455">
      <c r="A455" s="1">
        <f>Hyperlink("https://www.tilemountain.co.uk/p/hardblue-grey-decor-porcelain-outdoor-slab.html","Product")</f>
        <v/>
      </c>
      <c r="B455" s="1" t="inlineStr">
        <is>
          <t>451325</t>
        </is>
      </c>
      <c r="C455" s="1" t="inlineStr">
        <is>
          <t>Hardblue Graphite Decor Porcelain Outdoor Slab</t>
        </is>
      </c>
      <c r="D455" s="1" t="n">
        <v>39.99</v>
      </c>
      <c r="E455" s="1" t="inlineStr">
        <is>
          <t>600x600mm</t>
        </is>
      </c>
      <c r="F455" s="1" t="inlineStr">
        <is>
          <t>m2</t>
        </is>
      </c>
      <c r="G455" s="1" t="inlineStr">
        <is>
          <t>Porcelain</t>
        </is>
      </c>
      <c r="H455" s="1" t="inlineStr">
        <is>
          <t>Matt</t>
        </is>
      </c>
      <c r="I455" t="n">
        <v>39.99</v>
      </c>
    </row>
    <row r="456">
      <c r="A456" s="1">
        <f>Hyperlink("https://www.tilemountain.co.uk/p/hardblue-grey-porcelain-outdoor-slab.html","Product")</f>
        <v/>
      </c>
      <c r="B456" s="1" t="inlineStr">
        <is>
          <t>451305</t>
        </is>
      </c>
      <c r="C456" s="1" t="inlineStr">
        <is>
          <t>Hardblue Graphite Porcelain Outdoor Slab</t>
        </is>
      </c>
      <c r="D456" s="1" t="n">
        <v>38.99</v>
      </c>
      <c r="E456" s="1" t="inlineStr">
        <is>
          <t>600x600mm</t>
        </is>
      </c>
      <c r="F456" s="1" t="inlineStr">
        <is>
          <t>m2</t>
        </is>
      </c>
      <c r="G456" s="1" t="inlineStr">
        <is>
          <t>Porcelain</t>
        </is>
      </c>
      <c r="H456" s="1" t="inlineStr">
        <is>
          <t>Matt</t>
        </is>
      </c>
      <c r="I456" t="n">
        <v>38.99</v>
      </c>
    </row>
    <row r="457">
      <c r="A457" s="1">
        <f>Hyperlink("https://www.tilemountain.co.uk/p/hardblue-light-grey-porcelain-outdoor-slab.html","Product")</f>
        <v/>
      </c>
      <c r="B457" s="1" t="inlineStr">
        <is>
          <t>451310</t>
        </is>
      </c>
      <c r="C457" s="1" t="inlineStr">
        <is>
          <t>Hardblue Grey Porcelain Outdoor Slab</t>
        </is>
      </c>
      <c r="D457" s="1" t="n">
        <v>38.99</v>
      </c>
      <c r="E457" s="1" t="inlineStr">
        <is>
          <t>600x600mm</t>
        </is>
      </c>
      <c r="F457" s="1" t="inlineStr">
        <is>
          <t>m2</t>
        </is>
      </c>
      <c r="G457" s="1" t="inlineStr">
        <is>
          <t>Porcelain</t>
        </is>
      </c>
      <c r="H457" s="1" t="inlineStr">
        <is>
          <t>Matt</t>
        </is>
      </c>
      <c r="I457" t="n">
        <v>38.99</v>
      </c>
    </row>
    <row r="458">
      <c r="A458" s="1">
        <f>Hyperlink("https://www.tilemountain.co.uk/p/hardblue-white-porcelain-outdoor-slab.html","Product")</f>
        <v/>
      </c>
      <c r="B458" s="1" t="inlineStr">
        <is>
          <t>451315</t>
        </is>
      </c>
      <c r="C458" s="1" t="inlineStr">
        <is>
          <t>Hardblue White Porcelain Outdoor Slab</t>
        </is>
      </c>
      <c r="D458" s="1" t="n">
        <v>39.99</v>
      </c>
      <c r="E458" s="1" t="inlineStr">
        <is>
          <t>600x600mm</t>
        </is>
      </c>
      <c r="F458" s="1" t="inlineStr">
        <is>
          <t>m2</t>
        </is>
      </c>
      <c r="G458" s="1" t="inlineStr">
        <is>
          <t>Porcelain</t>
        </is>
      </c>
      <c r="H458" s="1" t="inlineStr">
        <is>
          <t>Matt</t>
        </is>
      </c>
      <c r="I458" t="n">
        <v>39.99</v>
      </c>
    </row>
    <row r="459">
      <c r="A459" s="1">
        <f>Hyperlink("https://www.tilemountain.co.uk/p/hardblue-white-porcelain-outdoor-slab_1.html","Product")</f>
        <v/>
      </c>
      <c r="B459" s="1" t="inlineStr">
        <is>
          <t>451330</t>
        </is>
      </c>
      <c r="C459" s="1" t="inlineStr">
        <is>
          <t>Hardblue Grey Decor Porcelain Outdoor Slab</t>
        </is>
      </c>
      <c r="D459" s="1" t="n">
        <v>39.99</v>
      </c>
      <c r="E459" s="1" t="inlineStr">
        <is>
          <t>600x600mm</t>
        </is>
      </c>
      <c r="F459" s="1" t="inlineStr">
        <is>
          <t>m2</t>
        </is>
      </c>
      <c r="G459" s="1" t="inlineStr">
        <is>
          <t>Porcelain</t>
        </is>
      </c>
      <c r="H459" s="1" t="inlineStr">
        <is>
          <t>Matt</t>
        </is>
      </c>
      <c r="I459" t="n">
        <v>39.99</v>
      </c>
    </row>
    <row r="460">
      <c r="A460" s="1">
        <f>Hyperlink("https://www.tilemountain.co.uk/p/hardowood-beige-wood-effect-anti-slip-porcelain-tiles.html","Product")</f>
        <v/>
      </c>
      <c r="B460" s="1" t="inlineStr">
        <is>
          <t>449805</t>
        </is>
      </c>
      <c r="C460" s="1" t="inlineStr">
        <is>
          <t>Hardwood Beige Wood Effect Anti-Slip Porcelain Floor Tile</t>
        </is>
      </c>
      <c r="D460" s="1" t="n">
        <v>17.99</v>
      </c>
      <c r="E460" s="1" t="inlineStr">
        <is>
          <t>900x150mm</t>
        </is>
      </c>
      <c r="F460" s="1" t="inlineStr">
        <is>
          <t>m2</t>
        </is>
      </c>
      <c r="G460" s="1" t="inlineStr">
        <is>
          <t>Porcelain</t>
        </is>
      </c>
      <c r="H460" s="1" t="inlineStr">
        <is>
          <t>Matt</t>
        </is>
      </c>
      <c r="I460" t="n">
        <v>17.99</v>
      </c>
    </row>
    <row r="461">
      <c r="A461" s="1">
        <f>Hyperlink("https://www.tilemountain.co.uk/p/hardwood-greyed-wood-effect-anti-slip-porcelain-tiles.html","Product")</f>
        <v/>
      </c>
      <c r="B461" s="1" t="inlineStr">
        <is>
          <t>449800</t>
        </is>
      </c>
      <c r="C461" s="1" t="inlineStr">
        <is>
          <t>Hardwood Greyed Wood Effect Anti-Slip Porcelain Floor Tile</t>
        </is>
      </c>
      <c r="D461" s="1" t="n">
        <v>17.99</v>
      </c>
      <c r="E461" s="1" t="inlineStr">
        <is>
          <t>900x150mm</t>
        </is>
      </c>
      <c r="F461" s="1" t="inlineStr">
        <is>
          <t>m2</t>
        </is>
      </c>
      <c r="G461" s="1" t="inlineStr">
        <is>
          <t>Porcelain</t>
        </is>
      </c>
      <c r="H461" s="1" t="inlineStr">
        <is>
          <t>Matt</t>
        </is>
      </c>
      <c r="I461" t="n">
        <v>17.99</v>
      </c>
    </row>
    <row r="462">
      <c r="A462" s="1">
        <f>Hyperlink("https://www.tilemountain.co.uk/p/hardwood-nature-wood-effect-anti-slip-porcelain-tiles.html","Product")</f>
        <v/>
      </c>
      <c r="B462" s="1" t="inlineStr">
        <is>
          <t>449810</t>
        </is>
      </c>
      <c r="C462" s="1" t="inlineStr">
        <is>
          <t>Hardwood Nature Wood Effect Anti-Slip Porcelain Floor Tile</t>
        </is>
      </c>
      <c r="D462" s="1" t="n">
        <v>17.99</v>
      </c>
      <c r="E462" s="1" t="inlineStr">
        <is>
          <t>900x150mm</t>
        </is>
      </c>
      <c r="F462" s="1" t="inlineStr">
        <is>
          <t>m2</t>
        </is>
      </c>
      <c r="G462" s="1" t="inlineStr">
        <is>
          <t>Porcelain</t>
        </is>
      </c>
      <c r="H462" s="1" t="inlineStr">
        <is>
          <t>Matt</t>
        </is>
      </c>
      <c r="I462" t="n">
        <v>17.99</v>
      </c>
    </row>
    <row r="463">
      <c r="A463" s="1">
        <f>Hyperlink("https://www.tilemountain.co.uk/p/hardwood-white-wood-effect-anti-slip-porcelain-tiles.html","Product")</f>
        <v/>
      </c>
      <c r="B463" s="1" t="inlineStr">
        <is>
          <t>449795</t>
        </is>
      </c>
      <c r="C463" s="1" t="inlineStr">
        <is>
          <t>Hardwood White Wood Effect Anti-Slip Porcelain Floor Tile</t>
        </is>
      </c>
      <c r="D463" s="1" t="n">
        <v>17.99</v>
      </c>
      <c r="E463" s="1" t="inlineStr">
        <is>
          <t>900x150mm</t>
        </is>
      </c>
      <c r="F463" s="1" t="inlineStr">
        <is>
          <t>m2</t>
        </is>
      </c>
      <c r="G463" s="1" t="inlineStr">
        <is>
          <t>Porcelain</t>
        </is>
      </c>
      <c r="H463" s="1" t="inlineStr">
        <is>
          <t>Matt</t>
        </is>
      </c>
      <c r="I463" t="n">
        <v>17.99</v>
      </c>
    </row>
    <row r="464">
      <c r="A464" s="1">
        <f>Hyperlink("https://www.tilemountain.co.uk/p/harrogate-pattern-porcelain-floor-tile.html","Product")</f>
        <v/>
      </c>
      <c r="B464" s="1" t="inlineStr">
        <is>
          <t>445505</t>
        </is>
      </c>
      <c r="C464" s="1" t="inlineStr">
        <is>
          <t>Harrogate Pattern Porcelain Floor Tiles</t>
        </is>
      </c>
      <c r="D464" s="1" t="n">
        <v>17.99</v>
      </c>
      <c r="E464" s="1" t="inlineStr">
        <is>
          <t>333x333mm</t>
        </is>
      </c>
      <c r="F464" s="1" t="inlineStr">
        <is>
          <t>m2</t>
        </is>
      </c>
      <c r="G464" s="1" t="inlineStr">
        <is>
          <t>Porcelain</t>
        </is>
      </c>
      <c r="H464" s="1" t="inlineStr">
        <is>
          <t>Matt</t>
        </is>
      </c>
      <c r="I464" t="n">
        <v>17.99</v>
      </c>
    </row>
    <row r="465">
      <c r="A465" s="1">
        <f>Hyperlink("https://www.tilemountain.co.uk/p/heavy-duty-nipper.html","Product")</f>
        <v/>
      </c>
      <c r="B465" s="1" t="inlineStr">
        <is>
          <t>450690</t>
        </is>
      </c>
      <c r="C465" s="1" t="inlineStr">
        <is>
          <t>Heavy Duty Nipper</t>
        </is>
      </c>
      <c r="D465" s="1" t="n">
        <v>9.99</v>
      </c>
      <c r="E465" s="1" t="inlineStr">
        <is>
          <t>-</t>
        </is>
      </c>
      <c r="F465" s="1" t="inlineStr">
        <is>
          <t>Qty</t>
        </is>
      </c>
      <c r="G465" s="1" t="inlineStr">
        <is>
          <t>-</t>
        </is>
      </c>
      <c r="H465" s="1" t="inlineStr">
        <is>
          <t>-</t>
        </is>
      </c>
      <c r="I465" t="n">
        <v>9.99</v>
      </c>
    </row>
    <row r="466">
      <c r="A466" s="1">
        <f>Hyperlink("https://www.tilemountain.co.uk/p/hellas-marble-floor-tile-3489.html","Product")</f>
        <v/>
      </c>
      <c r="B466" s="1" t="inlineStr">
        <is>
          <t>443740</t>
        </is>
      </c>
      <c r="C466" s="1" t="inlineStr">
        <is>
          <t>Hellas Marble Effect Floor Tiles</t>
        </is>
      </c>
      <c r="D466" s="1" t="n">
        <v>19.99</v>
      </c>
      <c r="E466" s="1" t="inlineStr">
        <is>
          <t>600x600mm</t>
        </is>
      </c>
      <c r="F466" s="1" t="inlineStr">
        <is>
          <t>m2</t>
        </is>
      </c>
      <c r="G466" s="1" t="inlineStr">
        <is>
          <t>Porcelain</t>
        </is>
      </c>
      <c r="H466" s="1" t="inlineStr">
        <is>
          <t>Gloss</t>
        </is>
      </c>
      <c r="I466" t="n">
        <v>19.99</v>
      </c>
    </row>
    <row r="467">
      <c r="A467" s="1">
        <f>Hyperlink("https://www.tilemountain.co.uk/p/hellas-marble-floor-tile.html","Product")</f>
        <v/>
      </c>
      <c r="B467" s="1" t="inlineStr">
        <is>
          <t>439390</t>
        </is>
      </c>
      <c r="C467" s="1" t="inlineStr">
        <is>
          <t>Hellas Marble Effect Floor Tiles</t>
        </is>
      </c>
      <c r="D467" s="1" t="n">
        <v>20.99</v>
      </c>
      <c r="E467" s="1" t="inlineStr">
        <is>
          <t>800x800mm</t>
        </is>
      </c>
      <c r="F467" s="1" t="inlineStr">
        <is>
          <t>m2</t>
        </is>
      </c>
      <c r="G467" s="1" t="inlineStr">
        <is>
          <t>Porcelain</t>
        </is>
      </c>
      <c r="H467" s="1" t="inlineStr">
        <is>
          <t>Gloss</t>
        </is>
      </c>
      <c r="I467" t="n">
        <v>20.99</v>
      </c>
    </row>
    <row r="468">
      <c r="A468" s="1">
        <f>Hyperlink("https://www.tilemountain.co.uk/p/helton-silver.html","Product")</f>
        <v/>
      </c>
      <c r="B468" s="1" t="inlineStr">
        <is>
          <t>444450</t>
        </is>
      </c>
      <c r="C468" s="1" t="inlineStr">
        <is>
          <t>Helton Silver Floor Tile</t>
        </is>
      </c>
      <c r="D468" s="1" t="n">
        <v>34.99</v>
      </c>
      <c r="E468" s="1" t="inlineStr">
        <is>
          <t>1200x1200mm</t>
        </is>
      </c>
      <c r="F468" s="1" t="inlineStr">
        <is>
          <t>m2</t>
        </is>
      </c>
      <c r="G468" s="1" t="inlineStr">
        <is>
          <t>Porcelain</t>
        </is>
      </c>
      <c r="H468" s="1" t="inlineStr">
        <is>
          <t>Matt</t>
        </is>
      </c>
      <c r="I468" t="n">
        <v>34.99</v>
      </c>
    </row>
    <row r="469">
      <c r="A469" s="1">
        <f>Hyperlink("https://www.tilemountain.co.uk/p/heritage-antracita.html","Product")</f>
        <v/>
      </c>
      <c r="B469" s="1" t="inlineStr">
        <is>
          <t>454815</t>
        </is>
      </c>
      <c r="C469" s="1" t="inlineStr">
        <is>
          <t>Heritage Antracita Outdoor Slab</t>
        </is>
      </c>
      <c r="D469" s="1" t="n">
        <v>39.99</v>
      </c>
      <c r="E469" s="1" t="inlineStr">
        <is>
          <t>600x1200mm</t>
        </is>
      </c>
      <c r="F469" s="1" t="inlineStr">
        <is>
          <t>m2</t>
        </is>
      </c>
      <c r="G469" s="1" t="inlineStr">
        <is>
          <t>Porcelain</t>
        </is>
      </c>
      <c r="H469" s="1" t="inlineStr">
        <is>
          <t>Matt</t>
        </is>
      </c>
      <c r="I469" t="n">
        <v>39.99</v>
      </c>
    </row>
    <row r="470">
      <c r="A470" s="1">
        <f>Hyperlink("https://www.tilemountain.co.uk/p/heritage-ceniza.html","Product")</f>
        <v/>
      </c>
      <c r="B470" s="1" t="inlineStr">
        <is>
          <t>454810</t>
        </is>
      </c>
      <c r="C470" s="1" t="inlineStr">
        <is>
          <t>Heritage Ceniza Outdoor Slab</t>
        </is>
      </c>
      <c r="D470" s="1" t="n">
        <v>39.99</v>
      </c>
      <c r="E470" s="1" t="inlineStr">
        <is>
          <t>600x1200mm</t>
        </is>
      </c>
      <c r="F470" s="1" t="inlineStr">
        <is>
          <t>m2</t>
        </is>
      </c>
      <c r="G470" s="1" t="inlineStr">
        <is>
          <t>Porcelain</t>
        </is>
      </c>
      <c r="H470" s="1" t="inlineStr">
        <is>
          <t>Matt</t>
        </is>
      </c>
      <c r="I470" t="n">
        <v>39.99</v>
      </c>
    </row>
    <row r="471">
      <c r="A471" s="1">
        <f>Hyperlink("https://www.tilemountain.co.uk/p/hester-ocean-floor-tile.html","Product")</f>
        <v/>
      </c>
      <c r="B471" s="1" t="inlineStr">
        <is>
          <t>446420</t>
        </is>
      </c>
      <c r="C471" s="1" t="inlineStr">
        <is>
          <t>Hester Ocean Floor Tiles</t>
        </is>
      </c>
      <c r="D471" s="1" t="n">
        <v>15.99</v>
      </c>
      <c r="E471" s="1" t="inlineStr">
        <is>
          <t>450x450mm</t>
        </is>
      </c>
      <c r="F471" s="1" t="inlineStr">
        <is>
          <t>m2</t>
        </is>
      </c>
      <c r="G471" s="1" t="inlineStr">
        <is>
          <t>Ceramic</t>
        </is>
      </c>
      <c r="H471" s="1" t="inlineStr">
        <is>
          <t>Matt</t>
        </is>
      </c>
      <c r="I471" t="n">
        <v>15.99</v>
      </c>
    </row>
    <row r="472">
      <c r="A472" s="1">
        <f>Hyperlink("https://www.tilemountain.co.uk/p/hester-silver-floor-tile_1.html","Product")</f>
        <v/>
      </c>
      <c r="B472" s="1" t="inlineStr">
        <is>
          <t>446425</t>
        </is>
      </c>
      <c r="C472" s="1" t="inlineStr">
        <is>
          <t>Hester Silver Floor Tiles</t>
        </is>
      </c>
      <c r="D472" s="1" t="n">
        <v>15.99</v>
      </c>
      <c r="E472" s="1" t="inlineStr">
        <is>
          <t>450x450mm</t>
        </is>
      </c>
      <c r="F472" s="1" t="inlineStr">
        <is>
          <t>m2</t>
        </is>
      </c>
      <c r="G472" s="1" t="inlineStr">
        <is>
          <t>Ceramic</t>
        </is>
      </c>
      <c r="H472" s="1" t="inlineStr">
        <is>
          <t>Matt</t>
        </is>
      </c>
      <c r="I472" t="n">
        <v>15.99</v>
      </c>
    </row>
    <row r="473">
      <c r="A473" s="1">
        <f>Hyperlink("https://www.tilemountain.co.uk/p/hexagon-black-17-5x20cm.html","Product")</f>
        <v/>
      </c>
      <c r="B473" s="1" t="inlineStr">
        <is>
          <t>1006085</t>
        </is>
      </c>
      <c r="C473" s="1" t="inlineStr">
        <is>
          <t>Hexagon Black Wall Tile</t>
        </is>
      </c>
      <c r="D473" s="1" t="n">
        <v>24.99</v>
      </c>
      <c r="E473" s="1" t="inlineStr">
        <is>
          <t>200x175mm</t>
        </is>
      </c>
      <c r="F473" s="1" t="inlineStr">
        <is>
          <t>m2</t>
        </is>
      </c>
      <c r="G473" s="1" t="inlineStr">
        <is>
          <t>Porcelain</t>
        </is>
      </c>
      <c r="H473" s="1" t="inlineStr">
        <is>
          <t>Matt</t>
        </is>
      </c>
      <c r="I473" t="n">
        <v>24.99</v>
      </c>
    </row>
    <row r="474">
      <c r="A474" s="1">
        <f>Hyperlink("https://www.tilemountain.co.uk/p/hexagon-blue-mix-decor-wall-tile.html","Product")</f>
        <v/>
      </c>
      <c r="B474" s="1" t="inlineStr">
        <is>
          <t>446680</t>
        </is>
      </c>
      <c r="C474" s="1" t="inlineStr">
        <is>
          <t>Hexagon Blue Mix Wall And Floor Tiles</t>
        </is>
      </c>
      <c r="D474" s="1" t="n">
        <v>24.99</v>
      </c>
      <c r="E474" s="1" t="inlineStr">
        <is>
          <t>510x265mm</t>
        </is>
      </c>
      <c r="F474" s="1" t="inlineStr">
        <is>
          <t>m2</t>
        </is>
      </c>
      <c r="G474" s="1" t="inlineStr">
        <is>
          <t>Porcelain</t>
        </is>
      </c>
      <c r="H474" s="1" t="inlineStr">
        <is>
          <t>Matt</t>
        </is>
      </c>
      <c r="I474" t="n">
        <v>24.99</v>
      </c>
    </row>
    <row r="475">
      <c r="A475" s="1">
        <f>Hyperlink("https://www.tilemountain.co.uk/p/hexagon-carrara-marble-effect-wall-floor-tile-17-5x20cm.html","Product")</f>
        <v/>
      </c>
      <c r="B475" s="1" t="inlineStr">
        <is>
          <t>300715</t>
        </is>
      </c>
      <c r="C475" s="1" t="inlineStr">
        <is>
          <t>Hexagon Carrara Marble Effect Wall &amp; Floor Tiles</t>
        </is>
      </c>
      <c r="D475" s="1" t="n">
        <v>37.99</v>
      </c>
      <c r="E475" s="1" t="inlineStr">
        <is>
          <t>200x175mm</t>
        </is>
      </c>
      <c r="F475" s="1" t="inlineStr">
        <is>
          <t>m2</t>
        </is>
      </c>
      <c r="G475" s="1" t="inlineStr">
        <is>
          <t>Porcelain</t>
        </is>
      </c>
      <c r="H475" s="1" t="inlineStr">
        <is>
          <t>Satin</t>
        </is>
      </c>
      <c r="I475" t="n">
        <v>37.99</v>
      </c>
    </row>
    <row r="476">
      <c r="A476" s="1">
        <f>Hyperlink("https://www.tilemountain.co.uk/p/hexagon-grey-17-5x20cm.html","Product")</f>
        <v/>
      </c>
      <c r="B476" s="1" t="inlineStr">
        <is>
          <t>1006090</t>
        </is>
      </c>
      <c r="C476" s="1" t="inlineStr">
        <is>
          <t>Hexagon Grey Wall and Floor Tile</t>
        </is>
      </c>
      <c r="D476" s="1" t="n">
        <v>24.99</v>
      </c>
      <c r="E476" s="1" t="inlineStr">
        <is>
          <t>200x175mm</t>
        </is>
      </c>
      <c r="F476" s="1" t="inlineStr">
        <is>
          <t>m2</t>
        </is>
      </c>
      <c r="G476" s="1" t="inlineStr">
        <is>
          <t>Porcelain</t>
        </is>
      </c>
      <c r="H476" s="1" t="inlineStr">
        <is>
          <t>Matt</t>
        </is>
      </c>
      <c r="I476" t="n">
        <v>24.99</v>
      </c>
    </row>
    <row r="477">
      <c r="A477" s="1">
        <f>Hyperlink("https://www.tilemountain.co.uk/p/hexagon-white-17-5x20cm.html","Product")</f>
        <v/>
      </c>
      <c r="B477" s="1" t="inlineStr">
        <is>
          <t>1006095</t>
        </is>
      </c>
      <c r="C477" s="1" t="inlineStr">
        <is>
          <t>Hexagon White Wall and Floor Tile</t>
        </is>
      </c>
      <c r="D477" s="1" t="n">
        <v>24.99</v>
      </c>
      <c r="E477" s="1" t="inlineStr">
        <is>
          <t>200x175mm</t>
        </is>
      </c>
      <c r="F477" s="1" t="inlineStr">
        <is>
          <t>m2</t>
        </is>
      </c>
      <c r="G477" s="1" t="inlineStr">
        <is>
          <t>Porcelain</t>
        </is>
      </c>
      <c r="H477" s="1" t="inlineStr">
        <is>
          <t>Matt</t>
        </is>
      </c>
      <c r="I477" t="n">
        <v>24.99</v>
      </c>
    </row>
    <row r="478">
      <c r="A478" s="1">
        <f>Hyperlink("https://www.tilemountain.co.uk/p/hexagon-white-black-mosaic.html","Product")</f>
        <v/>
      </c>
      <c r="B478" s="1" t="inlineStr">
        <is>
          <t>438550</t>
        </is>
      </c>
      <c r="C478" s="1" t="inlineStr">
        <is>
          <t>Chequered Hexagon Black White Mosaic</t>
        </is>
      </c>
      <c r="D478" s="1" t="n">
        <v>3.99</v>
      </c>
      <c r="E478" s="1" t="inlineStr">
        <is>
          <t>300x300mm</t>
        </is>
      </c>
      <c r="F478" s="1" t="inlineStr">
        <is>
          <t>sheet</t>
        </is>
      </c>
      <c r="G478" s="1" t="inlineStr">
        <is>
          <t>Ceramic</t>
        </is>
      </c>
      <c r="H478" s="1" t="inlineStr">
        <is>
          <t>Gloss</t>
        </is>
      </c>
      <c r="I478" t="n">
        <v>3.99</v>
      </c>
    </row>
    <row r="479">
      <c r="A479" s="1">
        <f>Hyperlink("https://www.tilemountain.co.uk/p/hexagon-white-decor-wall-tile.html","Product")</f>
        <v/>
      </c>
      <c r="B479" s="1" t="inlineStr">
        <is>
          <t>446675</t>
        </is>
      </c>
      <c r="C479" s="1" t="inlineStr">
        <is>
          <t>Hexagon Lustre White Wall And Floor Tiles</t>
        </is>
      </c>
      <c r="D479" s="1" t="n">
        <v>24.99</v>
      </c>
      <c r="E479" s="1" t="inlineStr">
        <is>
          <t>510x265mm</t>
        </is>
      </c>
      <c r="F479" s="1" t="inlineStr">
        <is>
          <t>m2</t>
        </is>
      </c>
      <c r="G479" s="1" t="inlineStr">
        <is>
          <t>-</t>
        </is>
      </c>
      <c r="H479" s="1" t="inlineStr">
        <is>
          <t>-</t>
        </is>
      </c>
      <c r="I479" t="n">
        <v>24.99</v>
      </c>
    </row>
    <row r="480">
      <c r="A480" s="1">
        <f>Hyperlink("https://www.tilemountain.co.uk/p/himalaya-black-sparkle-split-face-effect_1.html","Product")</f>
        <v/>
      </c>
      <c r="B480" s="1" t="inlineStr">
        <is>
          <t>454120</t>
        </is>
      </c>
      <c r="C480" s="1" t="inlineStr">
        <is>
          <t>Himalaya Black Shimmer Split Face Effect</t>
        </is>
      </c>
      <c r="D480" s="1" t="n">
        <v>17.99</v>
      </c>
      <c r="E480" s="1" t="inlineStr">
        <is>
          <t>170x520mm</t>
        </is>
      </c>
      <c r="F480" s="1" t="inlineStr">
        <is>
          <t>m2</t>
        </is>
      </c>
      <c r="G480" s="1" t="inlineStr">
        <is>
          <t>Vitrified Ceramic</t>
        </is>
      </c>
      <c r="H480" s="1" t="inlineStr">
        <is>
          <t>Matt</t>
        </is>
      </c>
      <c r="I480" t="n">
        <v>17.99</v>
      </c>
    </row>
    <row r="481">
      <c r="A481" s="1">
        <f>Hyperlink("https://www.tilemountain.co.uk/p/himalaya-ivory-split-face-effect_1.html","Product")</f>
        <v/>
      </c>
      <c r="B481" s="1" t="inlineStr">
        <is>
          <t>454105</t>
        </is>
      </c>
      <c r="C481" s="1" t="inlineStr">
        <is>
          <t>Himalaya Ivory Split Face Effect</t>
        </is>
      </c>
      <c r="D481" s="1" t="n">
        <v>17.99</v>
      </c>
      <c r="E481" s="1" t="inlineStr">
        <is>
          <t>170x520mm</t>
        </is>
      </c>
      <c r="F481" s="1" t="inlineStr">
        <is>
          <t>m2</t>
        </is>
      </c>
      <c r="G481" s="1" t="inlineStr">
        <is>
          <t>Vitrified Ceramic</t>
        </is>
      </c>
      <c r="H481" s="1" t="inlineStr">
        <is>
          <t>Matt</t>
        </is>
      </c>
      <c r="I481" t="n">
        <v>17.99</v>
      </c>
    </row>
    <row r="482">
      <c r="A482" s="1">
        <f>Hyperlink("https://www.tilemountain.co.uk/p/himalaya-madera-gris-wood-split-face-effect_1.html","Product")</f>
        <v/>
      </c>
      <c r="B482" s="1" t="inlineStr">
        <is>
          <t>454110</t>
        </is>
      </c>
      <c r="C482" s="1" t="inlineStr">
        <is>
          <t>Himalaya Gris Wood Split Face Effect</t>
        </is>
      </c>
      <c r="D482" s="1" t="n">
        <v>17.99</v>
      </c>
      <c r="E482" s="1" t="inlineStr">
        <is>
          <t>170x520mm</t>
        </is>
      </c>
      <c r="F482" s="1" t="inlineStr">
        <is>
          <t>m2</t>
        </is>
      </c>
      <c r="G482" s="1" t="inlineStr">
        <is>
          <t>Vitrified Ceramic</t>
        </is>
      </c>
      <c r="H482" s="1" t="inlineStr">
        <is>
          <t>Matt</t>
        </is>
      </c>
      <c r="I482" t="n">
        <v>17.99</v>
      </c>
    </row>
    <row r="483">
      <c r="A483" s="1">
        <f>Hyperlink("https://www.tilemountain.co.uk/p/himalaya-madera-roble-wood-split-face-effect_1.html","Product")</f>
        <v/>
      </c>
      <c r="B483" s="1" t="inlineStr">
        <is>
          <t>454115</t>
        </is>
      </c>
      <c r="C483" s="1" t="inlineStr">
        <is>
          <t>Himalaya Roble Wood Split Face Effect</t>
        </is>
      </c>
      <c r="D483" s="1" t="n">
        <v>17.99</v>
      </c>
      <c r="E483" s="1" t="inlineStr">
        <is>
          <t>170x520mm</t>
        </is>
      </c>
      <c r="F483" s="1" t="inlineStr">
        <is>
          <t>m2</t>
        </is>
      </c>
      <c r="G483" s="1" t="inlineStr">
        <is>
          <t>Vitrified Ceramic</t>
        </is>
      </c>
      <c r="H483" s="1" t="inlineStr">
        <is>
          <t>Matt</t>
        </is>
      </c>
      <c r="I483" t="n">
        <v>17.99</v>
      </c>
    </row>
    <row r="484">
      <c r="A484" s="1">
        <f>Hyperlink("https://www.tilemountain.co.uk/p/himalaya-white-sparkle-split-face-effect_1.html","Product")</f>
        <v/>
      </c>
      <c r="B484" s="1" t="inlineStr">
        <is>
          <t>454125</t>
        </is>
      </c>
      <c r="C484" s="1" t="inlineStr">
        <is>
          <t>Himalaya White Shimmer Split Face Effect</t>
        </is>
      </c>
      <c r="D484" s="1" t="n">
        <v>17.99</v>
      </c>
      <c r="E484" s="1" t="inlineStr">
        <is>
          <t>170x520mm</t>
        </is>
      </c>
      <c r="F484" s="1" t="inlineStr">
        <is>
          <t>m2</t>
        </is>
      </c>
      <c r="G484" s="1" t="inlineStr">
        <is>
          <t>Vitrified Ceramic</t>
        </is>
      </c>
      <c r="H484" s="1" t="inlineStr">
        <is>
          <t>Matt</t>
        </is>
      </c>
      <c r="I484" t="n">
        <v>17.99</v>
      </c>
    </row>
    <row r="485">
      <c r="A485" s="1">
        <f>Hyperlink("https://www.tilemountain.co.uk/p/hong-kong-beige-mix-glass-mosaic-23x23.html","Product")</f>
        <v/>
      </c>
      <c r="B485" s="1" t="inlineStr">
        <is>
          <t>430850</t>
        </is>
      </c>
      <c r="C485" s="1" t="inlineStr">
        <is>
          <t>Hong Kong Beige Mix Glass Mosaic 23x23</t>
        </is>
      </c>
      <c r="D485" s="1" t="n">
        <v>7.99</v>
      </c>
      <c r="E485" s="1" t="inlineStr">
        <is>
          <t>300x300mm</t>
        </is>
      </c>
      <c r="F485" s="1" t="inlineStr">
        <is>
          <t>sheet</t>
        </is>
      </c>
      <c r="G485" s="1" t="inlineStr">
        <is>
          <t>Glass</t>
        </is>
      </c>
      <c r="H485" s="1" t="inlineStr">
        <is>
          <t>Gloss</t>
        </is>
      </c>
      <c r="I485" t="n">
        <v>7.99</v>
      </c>
    </row>
    <row r="486">
      <c r="A486" s="1">
        <f>Hyperlink("https://www.tilemountain.co.uk/p/hong-kong-blue-mix-glass-mosaic-23x23.html","Product")</f>
        <v/>
      </c>
      <c r="B486" s="1" t="inlineStr">
        <is>
          <t>430845</t>
        </is>
      </c>
      <c r="C486" s="1" t="inlineStr">
        <is>
          <t>Hong Kong Blue Mix Glass Mosaic 23x23</t>
        </is>
      </c>
      <c r="D486" s="1" t="n">
        <v>5.75</v>
      </c>
      <c r="E486" s="1" t="inlineStr">
        <is>
          <t>300x300mm</t>
        </is>
      </c>
      <c r="F486" s="1" t="inlineStr">
        <is>
          <t>sheet</t>
        </is>
      </c>
      <c r="G486" s="1" t="inlineStr">
        <is>
          <t>Glass</t>
        </is>
      </c>
      <c r="H486" s="1" t="inlineStr">
        <is>
          <t>Gloss</t>
        </is>
      </c>
      <c r="I486" t="n">
        <v>5.75</v>
      </c>
    </row>
    <row r="487">
      <c r="A487" s="1">
        <f>Hyperlink("https://www.tilemountain.co.uk/p/hong-kong-silver-mix-glass-mosaic-23x48.html","Product")</f>
        <v/>
      </c>
      <c r="B487" s="1" t="inlineStr">
        <is>
          <t>430860</t>
        </is>
      </c>
      <c r="C487" s="1" t="inlineStr">
        <is>
          <t>Hong Kong Silver Mix Glass Mosaic 23x48</t>
        </is>
      </c>
      <c r="D487" s="1" t="n">
        <v>7.99</v>
      </c>
      <c r="E487" s="1" t="inlineStr">
        <is>
          <t>300x300mm</t>
        </is>
      </c>
      <c r="F487" s="1" t="inlineStr">
        <is>
          <t>sheet</t>
        </is>
      </c>
      <c r="G487" s="1" t="inlineStr">
        <is>
          <t>Glass</t>
        </is>
      </c>
      <c r="H487" s="1" t="inlineStr">
        <is>
          <t>Gloss</t>
        </is>
      </c>
      <c r="I487" t="n">
        <v>7.99</v>
      </c>
    </row>
    <row r="488">
      <c r="A488" s="1">
        <f>Hyperlink("https://www.tilemountain.co.uk/p/hong-kong-silver-mix-glass-mosaic-48x48.html","Product")</f>
        <v/>
      </c>
      <c r="B488" s="1" t="inlineStr">
        <is>
          <t>430855</t>
        </is>
      </c>
      <c r="C488" s="1" t="inlineStr">
        <is>
          <t>Hong Kong Silver Mix Glass Mosaic 48x48</t>
        </is>
      </c>
      <c r="D488" s="1" t="n">
        <v>7.99</v>
      </c>
      <c r="E488" s="1" t="inlineStr">
        <is>
          <t>300x300mm</t>
        </is>
      </c>
      <c r="F488" s="1" t="inlineStr">
        <is>
          <t>sheet</t>
        </is>
      </c>
      <c r="G488" s="1" t="inlineStr">
        <is>
          <t>Glass</t>
        </is>
      </c>
      <c r="H488" s="1" t="inlineStr">
        <is>
          <t>Gloss</t>
        </is>
      </c>
      <c r="I488" t="n">
        <v>7.99</v>
      </c>
    </row>
    <row r="489">
      <c r="A489" s="1">
        <f>Hyperlink("https://www.tilemountain.co.uk/p/houston-modular-porcelain-wall-and-floor-tile.html","Product")</f>
        <v/>
      </c>
      <c r="B489" s="1" t="inlineStr">
        <is>
          <t>440640</t>
        </is>
      </c>
      <c r="C489" s="1" t="inlineStr">
        <is>
          <t>Houston Modular Porcelain Wall And Floor Tiles</t>
        </is>
      </c>
      <c r="D489" s="1" t="n">
        <v>32.99</v>
      </c>
      <c r="E489" s="1" t="inlineStr">
        <is>
          <t>870x1000mm</t>
        </is>
      </c>
      <c r="F489" s="1" t="inlineStr">
        <is>
          <t>piece</t>
        </is>
      </c>
      <c r="G489" s="1" t="inlineStr">
        <is>
          <t>Porcelain</t>
        </is>
      </c>
      <c r="H489" s="1" t="inlineStr">
        <is>
          <t>Matt</t>
        </is>
      </c>
      <c r="I489" t="n">
        <v>32.99</v>
      </c>
    </row>
    <row r="490">
      <c r="A490" s="1">
        <f>Hyperlink("https://www.tilemountain.co.uk/p/hudson-black.html","Product")</f>
        <v/>
      </c>
      <c r="B490" s="1" t="inlineStr">
        <is>
          <t>439425</t>
        </is>
      </c>
      <c r="C490" s="1" t="inlineStr">
        <is>
          <t>Hudson Black  Wall Tiles</t>
        </is>
      </c>
      <c r="D490" s="1" t="n">
        <v>19.99</v>
      </c>
      <c r="E490" s="1" t="inlineStr">
        <is>
          <t>400x100mm</t>
        </is>
      </c>
      <c r="F490" s="1" t="inlineStr">
        <is>
          <t>m2</t>
        </is>
      </c>
      <c r="G490" s="1" t="inlineStr">
        <is>
          <t>Ceramic</t>
        </is>
      </c>
      <c r="H490" s="1" t="inlineStr">
        <is>
          <t>Matt</t>
        </is>
      </c>
      <c r="I490" t="n">
        <v>19.99</v>
      </c>
    </row>
    <row r="491">
      <c r="A491" s="1">
        <f>Hyperlink("https://www.tilemountain.co.uk/p/hudson-cream.html","Product")</f>
        <v/>
      </c>
      <c r="B491" s="1" t="inlineStr">
        <is>
          <t>439420</t>
        </is>
      </c>
      <c r="C491" s="1" t="inlineStr">
        <is>
          <t>Hudson Cream Wall Tiles</t>
        </is>
      </c>
      <c r="D491" s="1" t="n">
        <v>19.99</v>
      </c>
      <c r="E491" s="1" t="inlineStr">
        <is>
          <t>400x100mm</t>
        </is>
      </c>
      <c r="F491" s="1" t="inlineStr">
        <is>
          <t>m2</t>
        </is>
      </c>
      <c r="G491" s="1" t="inlineStr">
        <is>
          <t>Ceramic</t>
        </is>
      </c>
      <c r="H491" s="1" t="inlineStr">
        <is>
          <t>Matt</t>
        </is>
      </c>
      <c r="I491" t="n">
        <v>19.99</v>
      </c>
    </row>
    <row r="492">
      <c r="A492" s="1">
        <f>Hyperlink("https://www.tilemountain.co.uk/p/hudson-grey.html","Product")</f>
        <v/>
      </c>
      <c r="B492" s="1" t="inlineStr">
        <is>
          <t>439430</t>
        </is>
      </c>
      <c r="C492" s="1" t="inlineStr">
        <is>
          <t>Hudson Grey Wall Tiles</t>
        </is>
      </c>
      <c r="D492" s="1" t="n">
        <v>19.99</v>
      </c>
      <c r="E492" s="1" t="inlineStr">
        <is>
          <t>400x100mm</t>
        </is>
      </c>
      <c r="F492" s="1" t="inlineStr">
        <is>
          <t>m2</t>
        </is>
      </c>
      <c r="G492" s="1" t="inlineStr">
        <is>
          <t>Ceramic</t>
        </is>
      </c>
      <c r="H492" s="1" t="inlineStr">
        <is>
          <t>Matt</t>
        </is>
      </c>
      <c r="I492" t="n">
        <v>19.99</v>
      </c>
    </row>
    <row r="493">
      <c r="A493" s="1">
        <f>Hyperlink("https://www.tilemountain.co.uk/p/icarus-beige-porcelain-outdoor-slab.html","Product")</f>
        <v/>
      </c>
      <c r="B493" s="1" t="inlineStr">
        <is>
          <t>451340</t>
        </is>
      </c>
      <c r="C493" s="1" t="inlineStr">
        <is>
          <t>Icarus Beige Porcelain Outdoor Slab</t>
        </is>
      </c>
      <c r="D493" s="1" t="n">
        <v>25.99</v>
      </c>
      <c r="E493" s="1" t="inlineStr">
        <is>
          <t>595x595mm</t>
        </is>
      </c>
      <c r="F493" s="1" t="inlineStr">
        <is>
          <t>m2</t>
        </is>
      </c>
      <c r="G493" s="1" t="inlineStr">
        <is>
          <t>Porcelain</t>
        </is>
      </c>
      <c r="H493" s="1" t="inlineStr">
        <is>
          <t>Matt</t>
        </is>
      </c>
      <c r="I493" t="n">
        <v>25.99</v>
      </c>
    </row>
    <row r="494">
      <c r="A494" s="1">
        <f>Hyperlink("https://www.tilemountain.co.uk/p/icon-almond-natural-300x600.html","Product")</f>
        <v/>
      </c>
      <c r="B494" s="1" t="inlineStr">
        <is>
          <t>449460</t>
        </is>
      </c>
      <c r="C494" s="1" t="inlineStr">
        <is>
          <t>Icon Almond Natural Floor Tile</t>
        </is>
      </c>
      <c r="D494" s="1" t="n">
        <v>34.99</v>
      </c>
      <c r="E494" s="1" t="inlineStr">
        <is>
          <t>600x300mm</t>
        </is>
      </c>
      <c r="F494" s="1" t="inlineStr">
        <is>
          <t>m2</t>
        </is>
      </c>
      <c r="G494" s="1" t="inlineStr">
        <is>
          <t>Porcelain</t>
        </is>
      </c>
      <c r="H494" s="1" t="inlineStr">
        <is>
          <t>Matt</t>
        </is>
      </c>
      <c r="I494" t="n">
        <v>34.99</v>
      </c>
    </row>
    <row r="495">
      <c r="A495" s="1">
        <f>Hyperlink("https://www.tilemountain.co.uk/p/impact-grey-slate-effect-porcelain-tile-31-6x63-7cm_1.html","Product")</f>
        <v/>
      </c>
      <c r="B495" s="1" t="inlineStr">
        <is>
          <t>1006135</t>
        </is>
      </c>
      <c r="C495" s="1" t="inlineStr">
        <is>
          <t>Impact Grey Slate Effect Porcelain Wall and Floor Tile</t>
        </is>
      </c>
      <c r="D495" s="1" t="n">
        <v>21.99</v>
      </c>
      <c r="E495" s="1" t="inlineStr">
        <is>
          <t>637x316mm</t>
        </is>
      </c>
      <c r="F495" s="1" t="inlineStr">
        <is>
          <t>m2</t>
        </is>
      </c>
      <c r="G495" s="1" t="inlineStr">
        <is>
          <t>Porcelain</t>
        </is>
      </c>
      <c r="H495" s="1" t="inlineStr">
        <is>
          <t>Matt</t>
        </is>
      </c>
      <c r="I495" t="n">
        <v>21.99</v>
      </c>
    </row>
    <row r="496">
      <c r="A496" s="1">
        <f>Hyperlink("https://www.tilemountain.co.uk/p/imperial-grey-polished.html","Product")</f>
        <v/>
      </c>
      <c r="B496" s="1" t="inlineStr">
        <is>
          <t>445620</t>
        </is>
      </c>
      <c r="C496" s="1" t="inlineStr">
        <is>
          <t>Imperial Grey Polished Porcelain Floor Tile</t>
        </is>
      </c>
      <c r="D496" s="1" t="n">
        <v>18.99</v>
      </c>
      <c r="E496" s="1" t="inlineStr">
        <is>
          <t>600x600mm</t>
        </is>
      </c>
      <c r="F496" s="1" t="inlineStr">
        <is>
          <t>m2</t>
        </is>
      </c>
      <c r="G496" s="1" t="inlineStr">
        <is>
          <t>Porcelain</t>
        </is>
      </c>
      <c r="H496" s="1" t="inlineStr">
        <is>
          <t>Polished</t>
        </is>
      </c>
      <c r="I496" t="n">
        <v>18.99</v>
      </c>
    </row>
    <row r="497">
      <c r="A497" s="1">
        <f>Hyperlink("https://www.tilemountain.co.uk/p/inverno-grey-marble-mosaic.html","Product")</f>
        <v/>
      </c>
      <c r="B497" s="1" t="inlineStr">
        <is>
          <t>439300</t>
        </is>
      </c>
      <c r="C497" s="1" t="inlineStr">
        <is>
          <t>Inverno Grey Marble Effect  Mosaic</t>
        </is>
      </c>
      <c r="D497" s="1" t="n">
        <v>6.99</v>
      </c>
      <c r="E497" s="1" t="inlineStr">
        <is>
          <t>305x305mm</t>
        </is>
      </c>
      <c r="F497" s="1" t="inlineStr">
        <is>
          <t>sheet</t>
        </is>
      </c>
      <c r="G497" s="1" t="inlineStr">
        <is>
          <t>Glazed Porcelain</t>
        </is>
      </c>
      <c r="H497" s="1" t="inlineStr">
        <is>
          <t>Matt</t>
        </is>
      </c>
      <c r="I497" t="n">
        <v>6.99</v>
      </c>
    </row>
    <row r="498">
      <c r="A498" s="1">
        <f>Hyperlink("https://www.tilemountain.co.uk/p/inverno-grey-marble-rectified-floor-tile.html","Product")</f>
        <v/>
      </c>
      <c r="B498" s="1" t="inlineStr">
        <is>
          <t>440160</t>
        </is>
      </c>
      <c r="C498" s="1" t="inlineStr">
        <is>
          <t>Inverno Grey Marble Effect Rectified Floor Tiles</t>
        </is>
      </c>
      <c r="D498" s="1" t="n">
        <v>18.99</v>
      </c>
      <c r="E498" s="1" t="inlineStr">
        <is>
          <t>585x585mm</t>
        </is>
      </c>
      <c r="F498" s="1" t="inlineStr">
        <is>
          <t>m2</t>
        </is>
      </c>
      <c r="G498" s="1" t="inlineStr">
        <is>
          <t>Porcelain</t>
        </is>
      </c>
      <c r="H498" s="1" t="inlineStr">
        <is>
          <t>Matt</t>
        </is>
      </c>
      <c r="I498" t="n">
        <v>18.99</v>
      </c>
    </row>
    <row r="499">
      <c r="A499" s="1">
        <f>Hyperlink("https://www.tilemountain.co.uk/p/invictus-white-mix-mosaic.html","Product")</f>
        <v/>
      </c>
      <c r="B499" s="1" t="inlineStr">
        <is>
          <t>450600</t>
        </is>
      </c>
      <c r="C499" s="1" t="inlineStr">
        <is>
          <t>Invictus White Mix Mosaic</t>
        </is>
      </c>
      <c r="D499" s="1" t="n">
        <v>8.19</v>
      </c>
      <c r="E499" s="1" t="inlineStr">
        <is>
          <t>300x300mm</t>
        </is>
      </c>
      <c r="F499" s="1" t="inlineStr">
        <is>
          <t>sheet</t>
        </is>
      </c>
      <c r="G499" s="1" t="inlineStr">
        <is>
          <t>Porcelain</t>
        </is>
      </c>
      <c r="H499" s="1" t="inlineStr">
        <is>
          <t>Polished</t>
        </is>
      </c>
      <c r="I499" t="n">
        <v>8.19</v>
      </c>
    </row>
    <row r="500">
      <c r="A500" s="1">
        <f>Hyperlink("https://www.tilemountain.co.uk/p/invictus-white-polished-porcelain-floor-tile.html","Product")</f>
        <v/>
      </c>
      <c r="B500" s="1" t="inlineStr">
        <is>
          <t>450140</t>
        </is>
      </c>
      <c r="C500" s="1" t="inlineStr">
        <is>
          <t>Invictus White Polished Porcelain Wall and Floor Tile</t>
        </is>
      </c>
      <c r="D500" s="1" t="n">
        <v>24.99</v>
      </c>
      <c r="E500" s="1" t="inlineStr">
        <is>
          <t>800x800mm</t>
        </is>
      </c>
      <c r="F500" s="1" t="inlineStr">
        <is>
          <t>m2</t>
        </is>
      </c>
      <c r="G500" s="1" t="inlineStr">
        <is>
          <t>Porcelain</t>
        </is>
      </c>
      <c r="H500" s="1" t="inlineStr">
        <is>
          <t>Polished</t>
        </is>
      </c>
      <c r="I500" t="n">
        <v>24.99</v>
      </c>
    </row>
    <row r="501">
      <c r="A501" s="1">
        <f>Hyperlink("https://www.tilemountain.co.uk/p/invisible-marble-gloss-floor-tile-5794.html","Product")</f>
        <v/>
      </c>
      <c r="B501" s="1" t="inlineStr">
        <is>
          <t>452495</t>
        </is>
      </c>
      <c r="C501" s="1" t="inlineStr">
        <is>
          <t>Invisible Marble Gloss Wall and Floor Tile</t>
        </is>
      </c>
      <c r="D501" s="1" t="n">
        <v>19.99</v>
      </c>
      <c r="E501" s="1" t="inlineStr">
        <is>
          <t>1200x600mm</t>
        </is>
      </c>
      <c r="F501" s="1" t="inlineStr">
        <is>
          <t>m2</t>
        </is>
      </c>
      <c r="G501" s="1" t="inlineStr">
        <is>
          <t>Vitrified Ceramic</t>
        </is>
      </c>
      <c r="H501" s="1" t="inlineStr">
        <is>
          <t>Gloss</t>
        </is>
      </c>
      <c r="I501" t="n">
        <v>19.99</v>
      </c>
    </row>
    <row r="502">
      <c r="A502" s="1">
        <f>Hyperlink("https://www.tilemountain.co.uk/p/invisible-marble-gloss-floor-tile.html","Product")</f>
        <v/>
      </c>
      <c r="B502" s="1" t="inlineStr">
        <is>
          <t>452490</t>
        </is>
      </c>
      <c r="C502" s="1" t="inlineStr">
        <is>
          <t>Invisible Marble Gloss Floor Tile</t>
        </is>
      </c>
      <c r="D502" s="1" t="n">
        <v>17.99</v>
      </c>
      <c r="E502" s="1" t="inlineStr">
        <is>
          <t>600x600mm</t>
        </is>
      </c>
      <c r="F502" s="1" t="inlineStr">
        <is>
          <t>m2</t>
        </is>
      </c>
      <c r="G502" s="1" t="inlineStr">
        <is>
          <t>Vitrified Ceramic</t>
        </is>
      </c>
      <c r="H502" s="1" t="inlineStr">
        <is>
          <t>Gloss</t>
        </is>
      </c>
      <c r="I502" t="n">
        <v>17.99</v>
      </c>
    </row>
    <row r="503">
      <c r="A503" s="1">
        <f>Hyperlink("https://www.tilemountain.co.uk/p/ivory-polished.html","Product")</f>
        <v/>
      </c>
      <c r="B503" s="1" t="inlineStr">
        <is>
          <t>445450</t>
        </is>
      </c>
      <c r="C503" s="1" t="inlineStr">
        <is>
          <t>Imperial Ivory Polished Porcelain Floor Tile</t>
        </is>
      </c>
      <c r="D503" s="1" t="n">
        <v>15.99</v>
      </c>
      <c r="E503" s="1" t="inlineStr">
        <is>
          <t>600x600mm</t>
        </is>
      </c>
      <c r="F503" s="1" t="inlineStr">
        <is>
          <t>m2</t>
        </is>
      </c>
      <c r="G503" s="1" t="inlineStr">
        <is>
          <t>Porcelain</t>
        </is>
      </c>
      <c r="H503" s="1" t="inlineStr">
        <is>
          <t>Polished</t>
        </is>
      </c>
      <c r="I503" t="n">
        <v>15.99</v>
      </c>
    </row>
    <row r="504">
      <c r="A504" s="1">
        <f>Hyperlink("https://www.tilemountain.co.uk/p/james-vinyl-daily-cleaner_1.html","Product")</f>
        <v/>
      </c>
      <c r="B504" s="1" t="inlineStr">
        <is>
          <t>453895</t>
        </is>
      </c>
      <c r="C504" s="1" t="inlineStr">
        <is>
          <t>James Vinyl Daily Cleaner</t>
        </is>
      </c>
      <c r="D504" s="1" t="n">
        <v>9.99</v>
      </c>
      <c r="E504" s="1" t="inlineStr">
        <is>
          <t>-</t>
        </is>
      </c>
      <c r="F504" s="1" t="inlineStr">
        <is>
          <t>Qty</t>
        </is>
      </c>
      <c r="G504" s="1" t="inlineStr">
        <is>
          <t>-</t>
        </is>
      </c>
      <c r="H504" s="1" t="inlineStr">
        <is>
          <t>-</t>
        </is>
      </c>
      <c r="I504" t="n">
        <v>9.99</v>
      </c>
    </row>
    <row r="505">
      <c r="A505" s="1">
        <f>Hyperlink("https://www.tilemountain.co.uk/p/java-amber-grey-matt-rectified-floor-tile.html","Product")</f>
        <v/>
      </c>
      <c r="B505" s="1" t="inlineStr">
        <is>
          <t>445215</t>
        </is>
      </c>
      <c r="C505" s="1" t="inlineStr">
        <is>
          <t>Java Amber Grey Matt Rectified Floor Tiles</t>
        </is>
      </c>
      <c r="D505" s="1" t="n">
        <v>17.99</v>
      </c>
      <c r="E505" s="1" t="inlineStr">
        <is>
          <t>600x600mm</t>
        </is>
      </c>
      <c r="F505" s="1" t="inlineStr">
        <is>
          <t>m2</t>
        </is>
      </c>
      <c r="G505" s="1" t="inlineStr">
        <is>
          <t>Porcelain</t>
        </is>
      </c>
      <c r="H505" s="1" t="inlineStr">
        <is>
          <t>Matt</t>
        </is>
      </c>
      <c r="I505" t="n">
        <v>17.99</v>
      </c>
    </row>
    <row r="506">
      <c r="A506" s="1">
        <f>Hyperlink("https://www.tilemountain.co.uk/p/java-oyster-grey-matt-rectified-floor-tile.html","Product")</f>
        <v/>
      </c>
      <c r="B506" s="1" t="inlineStr">
        <is>
          <t>445210</t>
        </is>
      </c>
      <c r="C506" s="1" t="inlineStr">
        <is>
          <t>Java Oyster Grey Matt Rectified Floor Tiles</t>
        </is>
      </c>
      <c r="D506" s="1" t="n">
        <v>17.99</v>
      </c>
      <c r="E506" s="1" t="inlineStr">
        <is>
          <t>600x600mm</t>
        </is>
      </c>
      <c r="F506" s="1" t="inlineStr">
        <is>
          <t>m2</t>
        </is>
      </c>
      <c r="G506" s="1" t="inlineStr">
        <is>
          <t>Porcelain</t>
        </is>
      </c>
      <c r="H506" s="1" t="inlineStr">
        <is>
          <t>Matt</t>
        </is>
      </c>
      <c r="I506" t="n">
        <v>17.99</v>
      </c>
    </row>
    <row r="507">
      <c r="A507" s="1">
        <f>Hyperlink("https://www.tilemountain.co.uk/p/kalos-rectified-dark-grey-porcelain-floor-tile_1.html","Product")</f>
        <v/>
      </c>
      <c r="B507" s="1" t="inlineStr">
        <is>
          <t>448735</t>
        </is>
      </c>
      <c r="C507" s="1" t="inlineStr">
        <is>
          <t>Kalos Dark Grey Gloss Rectified Porcelain Floor Tiles</t>
        </is>
      </c>
      <c r="D507" s="1" t="n">
        <v>14.99</v>
      </c>
      <c r="E507" s="1" t="inlineStr">
        <is>
          <t>600x600mm</t>
        </is>
      </c>
      <c r="F507" s="1" t="inlineStr">
        <is>
          <t>m2</t>
        </is>
      </c>
      <c r="G507" s="1" t="inlineStr">
        <is>
          <t>Porcelain</t>
        </is>
      </c>
      <c r="H507" s="1" t="inlineStr">
        <is>
          <t>Gloss</t>
        </is>
      </c>
      <c r="I507" t="n">
        <v>14.99</v>
      </c>
    </row>
    <row r="508">
      <c r="A508" s="1">
        <f>Hyperlink("https://www.tilemountain.co.uk/p/kalos-rectified-light-grey-porcelain-floor-tiles_1.html","Product")</f>
        <v/>
      </c>
      <c r="B508" s="1" t="inlineStr">
        <is>
          <t>448730</t>
        </is>
      </c>
      <c r="C508" s="1" t="inlineStr">
        <is>
          <t>Kalos Light Grey Gloss Rectified Porcelain Floor Tiles</t>
        </is>
      </c>
      <c r="D508" s="1" t="n">
        <v>14.99</v>
      </c>
      <c r="E508" s="1" t="inlineStr">
        <is>
          <t>600x600mm</t>
        </is>
      </c>
      <c r="F508" s="1" t="inlineStr">
        <is>
          <t>m2</t>
        </is>
      </c>
      <c r="G508" s="1" t="inlineStr">
        <is>
          <t>Porcelain</t>
        </is>
      </c>
      <c r="H508" s="1" t="inlineStr">
        <is>
          <t>Gloss</t>
        </is>
      </c>
      <c r="I508" t="n">
        <v>14.99</v>
      </c>
    </row>
    <row r="509">
      <c r="A509" s="1">
        <f>Hyperlink("https://www.tilemountain.co.uk/p/kanna-ceniza-porcelain-floor-tile.html","Product")</f>
        <v/>
      </c>
      <c r="B509" s="1" t="inlineStr">
        <is>
          <t>445370</t>
        </is>
      </c>
      <c r="C509" s="1" t="inlineStr">
        <is>
          <t>Kanna Ceniza Wood Effect Floor Tiles</t>
        </is>
      </c>
      <c r="D509" s="1" t="n">
        <v>14.99</v>
      </c>
      <c r="E509" s="1" t="inlineStr">
        <is>
          <t>608x608mm</t>
        </is>
      </c>
      <c r="F509" s="1" t="inlineStr">
        <is>
          <t>m2</t>
        </is>
      </c>
      <c r="G509" s="1" t="inlineStr">
        <is>
          <t>Porcelain</t>
        </is>
      </c>
      <c r="H509" s="1" t="inlineStr">
        <is>
          <t>Matt</t>
        </is>
      </c>
      <c r="I509" t="n">
        <v>14.99</v>
      </c>
    </row>
    <row r="510">
      <c r="A510" s="1">
        <f>Hyperlink("https://www.tilemountain.co.uk/p/kanna-natural-porcelain-floor-tile.html","Product")</f>
        <v/>
      </c>
      <c r="B510" s="1" t="inlineStr">
        <is>
          <t>445380</t>
        </is>
      </c>
      <c r="C510" s="1" t="inlineStr">
        <is>
          <t>Kanna Natural Wood Effect Floor Tiles</t>
        </is>
      </c>
      <c r="D510" s="1" t="n">
        <v>14.99</v>
      </c>
      <c r="E510" s="1" t="inlineStr">
        <is>
          <t>608x608mm</t>
        </is>
      </c>
      <c r="F510" s="1" t="inlineStr">
        <is>
          <t>m2</t>
        </is>
      </c>
      <c r="G510" s="1" t="inlineStr">
        <is>
          <t>Porcelain</t>
        </is>
      </c>
      <c r="H510" s="1" t="inlineStr">
        <is>
          <t>Matt</t>
        </is>
      </c>
      <c r="I510" t="n">
        <v>14.99</v>
      </c>
    </row>
    <row r="511">
      <c r="A511" s="1">
        <f>Hyperlink("https://www.tilemountain.co.uk/p/kanna-nogal-porcelain-floor-tile.html","Product")</f>
        <v/>
      </c>
      <c r="B511" s="1" t="inlineStr">
        <is>
          <t>445375</t>
        </is>
      </c>
      <c r="C511" s="1" t="inlineStr">
        <is>
          <t>Kanna Nogal Wood Effect Floor Tiles</t>
        </is>
      </c>
      <c r="D511" s="1" t="n">
        <v>14.99</v>
      </c>
      <c r="E511" s="1" t="inlineStr">
        <is>
          <t>608x608mm</t>
        </is>
      </c>
      <c r="F511" s="1" t="inlineStr">
        <is>
          <t>m2</t>
        </is>
      </c>
      <c r="G511" s="1" t="inlineStr">
        <is>
          <t>Porcelain</t>
        </is>
      </c>
      <c r="H511" s="1" t="inlineStr">
        <is>
          <t>Matt</t>
        </is>
      </c>
      <c r="I511" t="n">
        <v>14.99</v>
      </c>
    </row>
    <row r="512">
      <c r="A512" s="1">
        <f>Hyperlink("https://www.tilemountain.co.uk/p/kashmir-natura.html","Product")</f>
        <v/>
      </c>
      <c r="B512" s="1" t="inlineStr">
        <is>
          <t>446975</t>
        </is>
      </c>
      <c r="C512" s="1" t="inlineStr">
        <is>
          <t>Kashmir Natura Outdoor Slab Tiles</t>
        </is>
      </c>
      <c r="D512" s="1" t="n">
        <v>25.99</v>
      </c>
      <c r="E512" s="1" t="inlineStr">
        <is>
          <t>600x600mm</t>
        </is>
      </c>
      <c r="F512" s="1" t="inlineStr">
        <is>
          <t>m2</t>
        </is>
      </c>
      <c r="G512" s="1" t="inlineStr">
        <is>
          <t>Porcelain</t>
        </is>
      </c>
      <c r="H512" s="1" t="inlineStr">
        <is>
          <t>Matt</t>
        </is>
      </c>
      <c r="I512" t="n">
        <v>25.99</v>
      </c>
    </row>
    <row r="513">
      <c r="A513" s="1">
        <f>Hyperlink("https://www.tilemountain.co.uk/p/keracolor-flex-pearl-321-5kg.html","Product")</f>
        <v/>
      </c>
      <c r="B513" s="1" t="inlineStr">
        <is>
          <t>5N32105</t>
        </is>
      </c>
      <c r="C513" s="1" t="inlineStr">
        <is>
          <t>Keracolor Flex Pearl 321 5kg</t>
        </is>
      </c>
      <c r="D513" s="1" t="n">
        <v>10.99</v>
      </c>
      <c r="E513" s="1" t="inlineStr">
        <is>
          <t>-</t>
        </is>
      </c>
      <c r="F513" s="1" t="inlineStr">
        <is>
          <t>Qty</t>
        </is>
      </c>
      <c r="G513" s="1" t="inlineStr">
        <is>
          <t>-</t>
        </is>
      </c>
      <c r="H513" s="1" t="inlineStr">
        <is>
          <t>-</t>
        </is>
      </c>
      <c r="I513" t="n">
        <v>10.99</v>
      </c>
    </row>
    <row r="514">
      <c r="A514" s="1">
        <f>Hyperlink("https://www.tilemountain.co.uk/p/keracolor-flex-pebble-317-5kg.html","Product")</f>
        <v/>
      </c>
      <c r="B514" s="1" t="inlineStr">
        <is>
          <t>5N31705</t>
        </is>
      </c>
      <c r="C514" s="1" t="inlineStr">
        <is>
          <t>Keracolor Flex Pebble 317 5kg</t>
        </is>
      </c>
      <c r="D514" s="1" t="n">
        <v>10.99</v>
      </c>
      <c r="E514" s="1" t="inlineStr">
        <is>
          <t>-</t>
        </is>
      </c>
      <c r="F514" s="1" t="inlineStr">
        <is>
          <t>Qty</t>
        </is>
      </c>
      <c r="G514" s="1" t="inlineStr">
        <is>
          <t>-</t>
        </is>
      </c>
      <c r="H514" s="1" t="inlineStr">
        <is>
          <t>-</t>
        </is>
      </c>
      <c r="I514" t="n">
        <v>10.99</v>
      </c>
    </row>
    <row r="515">
      <c r="A515" s="1">
        <f>Hyperlink("https://www.tilemountain.co.uk/p/keracolor-sf-100-white-grout-5kg-2318.html","Product")</f>
        <v/>
      </c>
      <c r="B515" s="1" t="inlineStr">
        <is>
          <t>4B10005</t>
        </is>
      </c>
      <c r="C515" s="1" t="inlineStr">
        <is>
          <t>Keracolor SF 100 White Grout 5KG</t>
        </is>
      </c>
      <c r="D515" s="1" t="n">
        <v>9.99</v>
      </c>
      <c r="E515" s="1" t="inlineStr">
        <is>
          <t>-</t>
        </is>
      </c>
      <c r="F515" s="1" t="inlineStr">
        <is>
          <t>Qty</t>
        </is>
      </c>
      <c r="G515" s="1" t="inlineStr">
        <is>
          <t>-</t>
        </is>
      </c>
      <c r="H515" s="1" t="inlineStr">
        <is>
          <t>-</t>
        </is>
      </c>
      <c r="I515" t="n">
        <v>9.99</v>
      </c>
    </row>
    <row r="516">
      <c r="A516" s="1">
        <f>Hyperlink("https://www.tilemountain.co.uk/p/keracolor-sf-113-cement-grey-grout-5kg.html","Product")</f>
        <v/>
      </c>
      <c r="B516" s="1" t="inlineStr">
        <is>
          <t>4B11305</t>
        </is>
      </c>
      <c r="C516" s="1" t="inlineStr">
        <is>
          <t>Keracolor SF 113 Cement Grey Grout 5kg</t>
        </is>
      </c>
      <c r="D516" s="1" t="n">
        <v>10.99</v>
      </c>
      <c r="E516" s="1" t="inlineStr">
        <is>
          <t>-</t>
        </is>
      </c>
      <c r="F516" s="1" t="inlineStr">
        <is>
          <t>Qty</t>
        </is>
      </c>
      <c r="G516" s="1" t="inlineStr">
        <is>
          <t>-</t>
        </is>
      </c>
      <c r="H516" s="1" t="inlineStr">
        <is>
          <t>-</t>
        </is>
      </c>
      <c r="I516" t="n">
        <v>10.99</v>
      </c>
    </row>
    <row r="517">
      <c r="A517" s="1">
        <f>Hyperlink("https://www.tilemountain.co.uk/p/keracolor-sf-114-anthracite-grout-5kg.html","Product")</f>
        <v/>
      </c>
      <c r="B517" s="1" t="inlineStr">
        <is>
          <t>4B11405</t>
        </is>
      </c>
      <c r="C517" s="1" t="inlineStr">
        <is>
          <t>Keracolor SF 114 Anthracite Grout 5KG</t>
        </is>
      </c>
      <c r="D517" s="1" t="n">
        <v>10.99</v>
      </c>
      <c r="E517" s="1" t="inlineStr">
        <is>
          <t>-</t>
        </is>
      </c>
      <c r="F517" s="1" t="inlineStr">
        <is>
          <t>Qty</t>
        </is>
      </c>
      <c r="G517" s="1" t="inlineStr">
        <is>
          <t>-</t>
        </is>
      </c>
      <c r="H517" s="1" t="inlineStr">
        <is>
          <t>-</t>
        </is>
      </c>
      <c r="I517" t="n">
        <v>10.99</v>
      </c>
    </row>
    <row r="518">
      <c r="A518" s="1">
        <f>Hyperlink("https://www.tilemountain.co.uk/p/keracolor-sf-130-jasmine-grout-5kg.html","Product")</f>
        <v/>
      </c>
      <c r="B518" s="1" t="inlineStr">
        <is>
          <t>4B13005</t>
        </is>
      </c>
      <c r="C518" s="1" t="inlineStr">
        <is>
          <t>Keracolor SF 130 Jasmine Grout 5KG</t>
        </is>
      </c>
      <c r="D518" s="1" t="n">
        <v>10.99</v>
      </c>
      <c r="E518" s="1" t="inlineStr">
        <is>
          <t>-</t>
        </is>
      </c>
      <c r="F518" s="1" t="inlineStr">
        <is>
          <t>Qty</t>
        </is>
      </c>
      <c r="G518" s="1" t="inlineStr">
        <is>
          <t>-</t>
        </is>
      </c>
      <c r="H518" s="1" t="inlineStr">
        <is>
          <t>-</t>
        </is>
      </c>
      <c r="I518" t="n">
        <v>10.99</v>
      </c>
    </row>
    <row r="519">
      <c r="A519" s="1">
        <f>Hyperlink("https://www.tilemountain.co.uk/p/keracolor-sf-132-beige-grout-5kg.html","Product")</f>
        <v/>
      </c>
      <c r="B519" s="1" t="inlineStr">
        <is>
          <t>4B13205</t>
        </is>
      </c>
      <c r="C519" s="1" t="inlineStr">
        <is>
          <t>Keracolor SF 132 Beige Grout 5kg</t>
        </is>
      </c>
      <c r="D519" s="1" t="n">
        <v>10.99</v>
      </c>
      <c r="E519" s="1" t="inlineStr">
        <is>
          <t>-</t>
        </is>
      </c>
      <c r="F519" s="1" t="inlineStr">
        <is>
          <t>Qty</t>
        </is>
      </c>
      <c r="G519" s="1" t="inlineStr">
        <is>
          <t>-</t>
        </is>
      </c>
      <c r="H519" s="1" t="inlineStr">
        <is>
          <t>-</t>
        </is>
      </c>
      <c r="I519" t="n">
        <v>10.99</v>
      </c>
    </row>
    <row r="520">
      <c r="A520" s="1">
        <f>Hyperlink("https://www.tilemountain.co.uk/p/keraflex-maxi-s1-grey-slow-setting-adhesive-20kg-pallet-deal-48-bags.html","Product")</f>
        <v/>
      </c>
      <c r="B520" s="1" t="inlineStr">
        <is>
          <t>1202620-pd</t>
        </is>
      </c>
      <c r="C520" s="1" t="inlineStr">
        <is>
          <t>Keraflex Maxi S1 Grey Slow Setting Adhesive 20kg Pallet Deal- 48 Bags</t>
        </is>
      </c>
      <c r="D520" s="1" t="n">
        <v>849.99</v>
      </c>
      <c r="E520" s="1" t="inlineStr">
        <is>
          <t>PALLET</t>
        </is>
      </c>
      <c r="F520" s="1" t="inlineStr">
        <is>
          <t>Qty</t>
        </is>
      </c>
      <c r="G520" s="1" t="inlineStr">
        <is>
          <t>-</t>
        </is>
      </c>
      <c r="H520" s="1" t="inlineStr">
        <is>
          <t>-</t>
        </is>
      </c>
      <c r="I520" t="n">
        <v>849.99</v>
      </c>
    </row>
    <row r="521">
      <c r="A521" s="1">
        <f>Hyperlink("https://www.tilemountain.co.uk/p/keraflex-maxi-s1-grey-slow-setting-adhesive-20kg.html","Product")</f>
        <v/>
      </c>
      <c r="B521" s="1" t="inlineStr">
        <is>
          <t>1202620</t>
        </is>
      </c>
      <c r="C521" s="1" t="inlineStr">
        <is>
          <t>Keraflex Maxi S1 Grey Slow Setting Adhesive 20kg</t>
        </is>
      </c>
      <c r="D521" s="1" t="n">
        <v>21.49</v>
      </c>
      <c r="E521" s="1" t="inlineStr">
        <is>
          <t>-</t>
        </is>
      </c>
      <c r="F521" s="1" t="inlineStr">
        <is>
          <t>Qty</t>
        </is>
      </c>
      <c r="G521" s="1" t="inlineStr">
        <is>
          <t>-</t>
        </is>
      </c>
      <c r="H521" s="1" t="inlineStr">
        <is>
          <t>-</t>
        </is>
      </c>
      <c r="I521" t="n">
        <v>21.49</v>
      </c>
    </row>
    <row r="522">
      <c r="A522" s="1">
        <f>Hyperlink("https://www.tilemountain.co.uk/p/keraflex-maxi-s1-white-slow-setting-adhesive-20kg-pallet-deal-48-bags.html","Product")</f>
        <v/>
      </c>
      <c r="B522" s="1" t="inlineStr">
        <is>
          <t>1202120-pd</t>
        </is>
      </c>
      <c r="C522" s="1" t="inlineStr">
        <is>
          <t>Keraflex Maxi S1 White Slow Setting Adhesive 20kg Pallet Deal- 48 Bags</t>
        </is>
      </c>
      <c r="D522" s="1" t="n">
        <v>799.99</v>
      </c>
      <c r="E522" s="1" t="inlineStr">
        <is>
          <t>PALLET</t>
        </is>
      </c>
      <c r="F522" s="1" t="inlineStr">
        <is>
          <t>Qty</t>
        </is>
      </c>
      <c r="G522" s="1" t="inlineStr">
        <is>
          <t>-</t>
        </is>
      </c>
      <c r="H522" s="1" t="inlineStr">
        <is>
          <t>-</t>
        </is>
      </c>
      <c r="I522" t="n">
        <v>799.99</v>
      </c>
    </row>
    <row r="523">
      <c r="A523" s="1">
        <f>Hyperlink("https://www.tilemountain.co.uk/p/keraflex-maxi-s1-white-slow-setting-adhesive-20kg.html","Product")</f>
        <v/>
      </c>
      <c r="B523" s="1" t="inlineStr">
        <is>
          <t>1202120</t>
        </is>
      </c>
      <c r="C523" s="1" t="inlineStr">
        <is>
          <t>Keraflex Maxi S1 White Slow Setting Adhesive 20kg</t>
        </is>
      </c>
      <c r="D523" s="1" t="n">
        <v>24.49</v>
      </c>
      <c r="E523" s="1" t="inlineStr">
        <is>
          <t>-</t>
        </is>
      </c>
      <c r="F523" s="1" t="inlineStr">
        <is>
          <t>Qty</t>
        </is>
      </c>
      <c r="G523" s="1" t="inlineStr">
        <is>
          <t>-</t>
        </is>
      </c>
      <c r="H523" s="1" t="inlineStr">
        <is>
          <t>-</t>
        </is>
      </c>
      <c r="I523" t="n">
        <v>24.49</v>
      </c>
    </row>
    <row r="524">
      <c r="A524" s="1">
        <f>Hyperlink("https://www.tilemountain.co.uk/p/kerapoxy-design-anthracite-114-grout-3kg.html","Product")</f>
        <v/>
      </c>
      <c r="B524" s="1" t="inlineStr">
        <is>
          <t>5K11403</t>
        </is>
      </c>
      <c r="C524" s="1" t="inlineStr">
        <is>
          <t>Kerapoxy Design Anthracite 114 Grout 3kg</t>
        </is>
      </c>
      <c r="D524" s="1" t="n">
        <v>34.99</v>
      </c>
      <c r="E524" s="1" t="inlineStr">
        <is>
          <t>-</t>
        </is>
      </c>
      <c r="F524" s="1" t="inlineStr">
        <is>
          <t>Qty</t>
        </is>
      </c>
      <c r="G524" s="1" t="inlineStr">
        <is>
          <t>-</t>
        </is>
      </c>
      <c r="H524" s="1" t="inlineStr">
        <is>
          <t>-</t>
        </is>
      </c>
      <c r="I524" t="n">
        <v>34.99</v>
      </c>
    </row>
    <row r="525">
      <c r="A525" s="1">
        <f>Hyperlink("https://www.tilemountain.co.uk/p/kerapoxy-design-ice-white-710-grout-3kg.html","Product")</f>
        <v/>
      </c>
      <c r="B525" s="1" t="inlineStr">
        <is>
          <t>5K71003</t>
        </is>
      </c>
      <c r="C525" s="1" t="inlineStr">
        <is>
          <t>Kerapoxy Design Ice White 710 Grout 3kg</t>
        </is>
      </c>
      <c r="D525" s="1" t="n">
        <v>35.99</v>
      </c>
      <c r="E525" s="1" t="inlineStr">
        <is>
          <t>-</t>
        </is>
      </c>
      <c r="F525" s="1" t="inlineStr">
        <is>
          <t>Qty</t>
        </is>
      </c>
      <c r="G525" s="1" t="inlineStr">
        <is>
          <t>-</t>
        </is>
      </c>
      <c r="H525" s="1" t="inlineStr">
        <is>
          <t>-</t>
        </is>
      </c>
      <c r="I525" t="n">
        <v>35.99</v>
      </c>
    </row>
    <row r="526">
      <c r="A526" s="1">
        <f>Hyperlink("https://www.tilemountain.co.uk/p/kerapoxy-design-pearl-grey-720-grout-3kg.html","Product")</f>
        <v/>
      </c>
      <c r="B526" s="1" t="inlineStr">
        <is>
          <t>5K72003</t>
        </is>
      </c>
      <c r="C526" s="1" t="inlineStr">
        <is>
          <t>Kerapoxy Design Pearl Grey 720 Grout 3kg</t>
        </is>
      </c>
      <c r="D526" s="1" t="n">
        <v>35.99</v>
      </c>
      <c r="E526" s="1" t="inlineStr">
        <is>
          <t>-</t>
        </is>
      </c>
      <c r="F526" s="1" t="inlineStr">
        <is>
          <t>Qty</t>
        </is>
      </c>
      <c r="G526" s="1" t="inlineStr">
        <is>
          <t>-</t>
        </is>
      </c>
      <c r="H526" s="1" t="inlineStr">
        <is>
          <t>-</t>
        </is>
      </c>
      <c r="I526" t="n">
        <v>35.99</v>
      </c>
    </row>
    <row r="527">
      <c r="A527" s="1">
        <f>Hyperlink("https://www.tilemountain.co.uk/p/kerapoxy-design-translucent-700-grout-3kg.html","Product")</f>
        <v/>
      </c>
      <c r="B527" s="1" t="inlineStr">
        <is>
          <t>5K70003</t>
        </is>
      </c>
      <c r="C527" s="1" t="inlineStr">
        <is>
          <t>Kerapoxy Design Translucent 700 Grout 3kg</t>
        </is>
      </c>
      <c r="D527" s="1" t="n">
        <v>35.99</v>
      </c>
      <c r="E527" s="1" t="inlineStr">
        <is>
          <t>-</t>
        </is>
      </c>
      <c r="F527" s="1" t="inlineStr">
        <is>
          <t>Qty</t>
        </is>
      </c>
      <c r="G527" s="1" t="inlineStr">
        <is>
          <t>-</t>
        </is>
      </c>
      <c r="H527" s="1" t="inlineStr">
        <is>
          <t>-</t>
        </is>
      </c>
      <c r="I527" t="n">
        <v>35.99</v>
      </c>
    </row>
    <row r="528">
      <c r="A528" s="1">
        <f>Hyperlink("https://www.tilemountain.co.uk/p/kerapoxy-jasmine-130-grout-5kg.html","Product")</f>
        <v/>
      </c>
      <c r="B528" s="1" t="inlineStr">
        <is>
          <t>KJG5KG</t>
        </is>
      </c>
      <c r="C528" s="1" t="inlineStr">
        <is>
          <t>Kerapoxy Jasmine 130 Grout 5kg</t>
        </is>
      </c>
      <c r="D528" s="1" t="n">
        <v>34.99</v>
      </c>
      <c r="E528" s="1" t="inlineStr">
        <is>
          <t>-</t>
        </is>
      </c>
      <c r="F528" s="1" t="inlineStr">
        <is>
          <t>Qty</t>
        </is>
      </c>
      <c r="G528" s="1" t="inlineStr">
        <is>
          <t>-</t>
        </is>
      </c>
      <c r="H528" s="1" t="inlineStr">
        <is>
          <t>-</t>
        </is>
      </c>
      <c r="I528" t="n">
        <v>34.99</v>
      </c>
    </row>
    <row r="529">
      <c r="A529" s="1">
        <f>Hyperlink("https://www.tilemountain.co.uk/p/kerapoxy-white-100-grout-5kg.html","Product")</f>
        <v/>
      </c>
      <c r="B529" s="1" t="inlineStr">
        <is>
          <t>4510005</t>
        </is>
      </c>
      <c r="C529" s="1" t="inlineStr">
        <is>
          <t>Kerapoxy White 100 Grout 5kg</t>
        </is>
      </c>
      <c r="D529" s="1" t="n">
        <v>34.99</v>
      </c>
      <c r="E529" s="1" t="inlineStr">
        <is>
          <t>-</t>
        </is>
      </c>
      <c r="F529" s="1" t="inlineStr">
        <is>
          <t>Qty</t>
        </is>
      </c>
      <c r="G529" s="1" t="inlineStr">
        <is>
          <t>-</t>
        </is>
      </c>
      <c r="H529" s="1" t="inlineStr">
        <is>
          <t>-</t>
        </is>
      </c>
      <c r="I529" t="n">
        <v>34.99</v>
      </c>
    </row>
    <row r="530">
      <c r="A530" s="1">
        <f>Hyperlink("https://www.tilemountain.co.uk/p/keraquick-grey-fast-setting-adhesive-20kg-pallet-deal-48-bags.html","Product")</f>
        <v/>
      </c>
      <c r="B530" s="1" t="inlineStr">
        <is>
          <t>012120UK-pd</t>
        </is>
      </c>
      <c r="C530" s="1" t="inlineStr">
        <is>
          <t>Keraquick Grey Fast Setting Adhesive 20kg Pallet Deal- 48 Bags</t>
        </is>
      </c>
      <c r="D530" s="1" t="n">
        <v>767.52</v>
      </c>
      <c r="E530" s="1" t="inlineStr">
        <is>
          <t>PALLET</t>
        </is>
      </c>
      <c r="F530" s="1" t="inlineStr">
        <is>
          <t>Qty</t>
        </is>
      </c>
      <c r="G530" s="1" t="inlineStr">
        <is>
          <t>-</t>
        </is>
      </c>
      <c r="H530" s="1" t="inlineStr">
        <is>
          <t>-</t>
        </is>
      </c>
      <c r="I530" t="n">
        <v>767.52</v>
      </c>
    </row>
    <row r="531">
      <c r="A531" s="1">
        <f>Hyperlink("https://www.tilemountain.co.uk/p/keraquick-grey-fast-setting-adhesive-20kg.html","Product")</f>
        <v/>
      </c>
      <c r="B531" s="1" t="inlineStr">
        <is>
          <t>012120UK</t>
        </is>
      </c>
      <c r="C531" s="1" t="inlineStr">
        <is>
          <t>Keraquick Grey Fast Setting Adhesive 20kg</t>
        </is>
      </c>
      <c r="D531" s="1" t="n">
        <v>21.49</v>
      </c>
      <c r="E531" s="1" t="inlineStr">
        <is>
          <t>-</t>
        </is>
      </c>
      <c r="F531" s="1" t="inlineStr">
        <is>
          <t>Qty</t>
        </is>
      </c>
      <c r="G531" s="1" t="inlineStr">
        <is>
          <t>-</t>
        </is>
      </c>
      <c r="H531" s="1" t="inlineStr">
        <is>
          <t>-</t>
        </is>
      </c>
      <c r="I531" t="n">
        <v>21.49</v>
      </c>
    </row>
    <row r="532">
      <c r="A532" s="1">
        <f>Hyperlink("https://www.tilemountain.co.uk/p/keraquick-white-fast-setting-adhesive-20kg-pallet-deal-48-bags.html","Product")</f>
        <v/>
      </c>
      <c r="B532" s="1" t="inlineStr">
        <is>
          <t>012520-pd</t>
        </is>
      </c>
      <c r="C532" s="1" t="inlineStr">
        <is>
          <t>Keraquick White Fast Setting Adhesive 20kg Pallet Deal-48 Bags</t>
        </is>
      </c>
      <c r="D532" s="1" t="n">
        <v>919.6799999999999</v>
      </c>
      <c r="E532" s="1" t="inlineStr">
        <is>
          <t>PALLET</t>
        </is>
      </c>
      <c r="F532" s="1" t="inlineStr">
        <is>
          <t>Qty</t>
        </is>
      </c>
      <c r="G532" s="1" t="inlineStr">
        <is>
          <t>-</t>
        </is>
      </c>
      <c r="H532" s="1" t="inlineStr">
        <is>
          <t>-</t>
        </is>
      </c>
      <c r="I532" t="n">
        <v>919.6799999999999</v>
      </c>
    </row>
    <row r="533">
      <c r="A533" s="1">
        <f>Hyperlink("https://www.tilemountain.co.uk/p/keraquick-white-fast-setting-adhesive-20kg.html","Product")</f>
        <v/>
      </c>
      <c r="B533" s="1" t="inlineStr">
        <is>
          <t>012520</t>
        </is>
      </c>
      <c r="C533" s="1" t="inlineStr">
        <is>
          <t>Keraquick White Fast Setting Adhesive 20kg</t>
        </is>
      </c>
      <c r="D533" s="1" t="n">
        <v>25.99</v>
      </c>
      <c r="E533" s="1" t="inlineStr">
        <is>
          <t>-</t>
        </is>
      </c>
      <c r="F533" s="1" t="inlineStr">
        <is>
          <t>Qty</t>
        </is>
      </c>
      <c r="G533" s="1" t="inlineStr">
        <is>
          <t>-</t>
        </is>
      </c>
      <c r="H533" s="1" t="inlineStr">
        <is>
          <t>-</t>
        </is>
      </c>
      <c r="I533" t="n">
        <v>25.99</v>
      </c>
    </row>
    <row r="534">
      <c r="A534" s="1">
        <f>Hyperlink("https://www.tilemountain.co.uk/p/key-bond_1.html","Product")</f>
        <v/>
      </c>
      <c r="B534" s="1" t="inlineStr">
        <is>
          <t>450400</t>
        </is>
      </c>
      <c r="C534" s="1" t="inlineStr">
        <is>
          <t>Key Bond For Porous &amp; Non-Porous Substrates</t>
        </is>
      </c>
      <c r="D534" s="1" t="n">
        <v>27.99</v>
      </c>
      <c r="E534" s="1" t="inlineStr">
        <is>
          <t>-</t>
        </is>
      </c>
      <c r="F534" s="1" t="inlineStr">
        <is>
          <t>Qty</t>
        </is>
      </c>
      <c r="G534" s="1" t="inlineStr">
        <is>
          <t>-</t>
        </is>
      </c>
      <c r="H534" s="1" t="inlineStr">
        <is>
          <t>-</t>
        </is>
      </c>
      <c r="I534" t="n">
        <v>27.99</v>
      </c>
    </row>
    <row r="535">
      <c r="A535" s="1">
        <f>Hyperlink("https://www.tilemountain.co.uk/p/keystone-brown-matte-slate-effect-tile.html","Product")</f>
        <v/>
      </c>
      <c r="B535" s="1" t="inlineStr">
        <is>
          <t>448415</t>
        </is>
      </c>
      <c r="C535" s="1" t="inlineStr">
        <is>
          <t>Keystone Brown Matte Slate Effect Wall and Floor Tile</t>
        </is>
      </c>
      <c r="D535" s="1" t="n">
        <v>14.99</v>
      </c>
      <c r="E535" s="1" t="inlineStr">
        <is>
          <t>600x400mm</t>
        </is>
      </c>
      <c r="F535" s="1" t="inlineStr">
        <is>
          <t>m2</t>
        </is>
      </c>
      <c r="G535" s="1" t="inlineStr">
        <is>
          <t>Porcelain</t>
        </is>
      </c>
      <c r="H535" s="1" t="inlineStr">
        <is>
          <t>Matt</t>
        </is>
      </c>
      <c r="I535" t="n">
        <v>14.99</v>
      </c>
    </row>
    <row r="536">
      <c r="A536" s="1">
        <f>Hyperlink("https://www.tilemountain.co.uk/p/keystone-grey-matte-slate-effect-tile_1.html","Product")</f>
        <v/>
      </c>
      <c r="B536" s="1" t="inlineStr">
        <is>
          <t>448420</t>
        </is>
      </c>
      <c r="C536" s="1" t="inlineStr">
        <is>
          <t>Keystone Grey Matte Slate Effect Wall and Floor Tile</t>
        </is>
      </c>
      <c r="D536" s="1" t="n">
        <v>14.99</v>
      </c>
      <c r="E536" s="1" t="inlineStr">
        <is>
          <t>600x400mm</t>
        </is>
      </c>
      <c r="F536" s="1" t="inlineStr">
        <is>
          <t>m2</t>
        </is>
      </c>
      <c r="G536" s="1" t="inlineStr">
        <is>
          <t>Porcelain</t>
        </is>
      </c>
      <c r="H536" s="1" t="inlineStr">
        <is>
          <t>Matt</t>
        </is>
      </c>
      <c r="I536" t="n">
        <v>14.99</v>
      </c>
    </row>
    <row r="537">
      <c r="A537" s="1">
        <f>Hyperlink("https://www.tilemountain.co.uk/p/kite-gloss-grey-floor-tile.html","Product")</f>
        <v/>
      </c>
      <c r="B537" s="1" t="inlineStr">
        <is>
          <t>448665</t>
        </is>
      </c>
      <c r="C537" s="1" t="inlineStr">
        <is>
          <t>Kite Gloss Grey Floor Tile</t>
        </is>
      </c>
      <c r="D537" s="1" t="n">
        <v>11.99</v>
      </c>
      <c r="E537" s="1" t="inlineStr">
        <is>
          <t>450x450mm</t>
        </is>
      </c>
      <c r="F537" s="1" t="inlineStr">
        <is>
          <t>m2</t>
        </is>
      </c>
      <c r="G537" s="1" t="inlineStr">
        <is>
          <t>Ceramic</t>
        </is>
      </c>
      <c r="H537" s="1" t="inlineStr">
        <is>
          <t>Gloss</t>
        </is>
      </c>
      <c r="I537" t="n">
        <v>11.99</v>
      </c>
    </row>
    <row r="538">
      <c r="A538" s="1">
        <f>Hyperlink("https://www.tilemountain.co.uk/p/kite-gloss-grey-split-face-effect-wall-tile.html","Product")</f>
        <v/>
      </c>
      <c r="B538" s="1" t="inlineStr">
        <is>
          <t>448660</t>
        </is>
      </c>
      <c r="C538" s="1" t="inlineStr">
        <is>
          <t>Kite Gloss Grey Split Face Effect Wall Tile</t>
        </is>
      </c>
      <c r="D538" s="1" t="n">
        <v>14.99</v>
      </c>
      <c r="E538" s="1" t="inlineStr">
        <is>
          <t>600x316mm</t>
        </is>
      </c>
      <c r="F538" s="1" t="inlineStr">
        <is>
          <t>m2</t>
        </is>
      </c>
      <c r="G538" s="1" t="inlineStr">
        <is>
          <t>Ceramic</t>
        </is>
      </c>
      <c r="H538" s="1" t="inlineStr">
        <is>
          <t>Gloss</t>
        </is>
      </c>
      <c r="I538" t="n">
        <v>14.99</v>
      </c>
    </row>
    <row r="539">
      <c r="A539" s="1">
        <f>Hyperlink("https://www.tilemountain.co.uk/p/kite-gloss-perla-wall-tile.html","Product")</f>
        <v/>
      </c>
      <c r="B539" s="1" t="inlineStr">
        <is>
          <t>448650</t>
        </is>
      </c>
      <c r="C539" s="1" t="inlineStr">
        <is>
          <t>Kite Gloss Perla Wall Tile</t>
        </is>
      </c>
      <c r="D539" s="1" t="n">
        <v>11.99</v>
      </c>
      <c r="E539" s="1" t="inlineStr">
        <is>
          <t>600x316mm</t>
        </is>
      </c>
      <c r="F539" s="1" t="inlineStr">
        <is>
          <t>m2</t>
        </is>
      </c>
      <c r="G539" s="1" t="inlineStr">
        <is>
          <t>Ceramic</t>
        </is>
      </c>
      <c r="H539" s="1" t="inlineStr">
        <is>
          <t>Gloss</t>
        </is>
      </c>
      <c r="I539" t="n">
        <v>11.99</v>
      </c>
    </row>
    <row r="540">
      <c r="A540" s="1">
        <f>Hyperlink("https://www.tilemountain.co.uk/p/kite-matt-grey-split-face-effect-wall-tile.html","Product")</f>
        <v/>
      </c>
      <c r="B540" s="1" t="inlineStr">
        <is>
          <t>448640</t>
        </is>
      </c>
      <c r="C540" s="1" t="inlineStr">
        <is>
          <t>Kite Matt Grey Split Face Effect Wall Tile</t>
        </is>
      </c>
      <c r="D540" s="1" t="n">
        <v>14.99</v>
      </c>
      <c r="E540" s="1" t="inlineStr">
        <is>
          <t>600x316mm</t>
        </is>
      </c>
      <c r="F540" s="1" t="inlineStr">
        <is>
          <t>m2</t>
        </is>
      </c>
      <c r="G540" s="1" t="inlineStr">
        <is>
          <t>Ceramic</t>
        </is>
      </c>
      <c r="H540" s="1" t="inlineStr">
        <is>
          <t>Matt</t>
        </is>
      </c>
      <c r="I540" t="n">
        <v>14.99</v>
      </c>
    </row>
    <row r="541">
      <c r="A541" s="1">
        <f>Hyperlink("https://www.tilemountain.co.uk/p/kite-matt-grey-wall-tile.html","Product")</f>
        <v/>
      </c>
      <c r="B541" s="1" t="inlineStr">
        <is>
          <t>448635</t>
        </is>
      </c>
      <c r="C541" s="1" t="inlineStr">
        <is>
          <t>Kite Matt Grey Wall Tile</t>
        </is>
      </c>
      <c r="D541" s="1" t="n">
        <v>11.99</v>
      </c>
      <c r="E541" s="1" t="inlineStr">
        <is>
          <t>600x316mm</t>
        </is>
      </c>
      <c r="F541" s="1" t="inlineStr">
        <is>
          <t>m2</t>
        </is>
      </c>
      <c r="G541" s="1" t="inlineStr">
        <is>
          <t>Ceramic</t>
        </is>
      </c>
      <c r="H541" s="1" t="inlineStr">
        <is>
          <t>Matt</t>
        </is>
      </c>
      <c r="I541" t="n">
        <v>11.99</v>
      </c>
    </row>
    <row r="542">
      <c r="A542" s="1">
        <f>Hyperlink("https://www.tilemountain.co.uk/p/kite-matt-perla-wall-tile.html","Product")</f>
        <v/>
      </c>
      <c r="B542" s="1" t="inlineStr">
        <is>
          <t>448630</t>
        </is>
      </c>
      <c r="C542" s="1" t="inlineStr">
        <is>
          <t>Kite Matt Perla Wall Tile</t>
        </is>
      </c>
      <c r="D542" s="1" t="n">
        <v>11.99</v>
      </c>
      <c r="E542" s="1" t="inlineStr">
        <is>
          <t>600x316mm</t>
        </is>
      </c>
      <c r="F542" s="1" t="inlineStr">
        <is>
          <t>m2</t>
        </is>
      </c>
      <c r="G542" s="1" t="inlineStr">
        <is>
          <t>Ceramic</t>
        </is>
      </c>
      <c r="H542" s="1" t="inlineStr">
        <is>
          <t>Matt</t>
        </is>
      </c>
      <c r="I542" t="n">
        <v>11.99</v>
      </c>
    </row>
    <row r="543">
      <c r="A543" s="1">
        <f>Hyperlink("https://www.tilemountain.co.uk/p/kromatika-black-wall-tile.html","Product")</f>
        <v/>
      </c>
      <c r="B543" s="1" t="inlineStr">
        <is>
          <t>451680</t>
        </is>
      </c>
      <c r="C543" s="1" t="inlineStr">
        <is>
          <t>Kromatika Hexagon Black Porcelain Wall &amp; Floor Tile</t>
        </is>
      </c>
      <c r="D543" s="1" t="n">
        <v>39.95</v>
      </c>
      <c r="E543" s="1" t="inlineStr">
        <is>
          <t>116x101mm</t>
        </is>
      </c>
      <c r="F543" s="1" t="inlineStr">
        <is>
          <t>m2</t>
        </is>
      </c>
      <c r="G543" s="1" t="inlineStr">
        <is>
          <t>Porcelain</t>
        </is>
      </c>
      <c r="H543" s="1" t="inlineStr">
        <is>
          <t>Matt</t>
        </is>
      </c>
      <c r="I543" t="n">
        <v>39.95</v>
      </c>
    </row>
    <row r="544">
      <c r="A544" s="1">
        <f>Hyperlink("https://www.tilemountain.co.uk/p/kromatika-bleu-clair-wall-tile.html","Product")</f>
        <v/>
      </c>
      <c r="B544" s="1" t="inlineStr">
        <is>
          <t>451685</t>
        </is>
      </c>
      <c r="C544" s="1" t="inlineStr">
        <is>
          <t>Kromatika Hexagon Bleu Clair Porcelain Wall &amp; Floor Tile</t>
        </is>
      </c>
      <c r="D544" s="1" t="n">
        <v>39.95</v>
      </c>
      <c r="E544" s="1" t="inlineStr">
        <is>
          <t>116x101mm</t>
        </is>
      </c>
      <c r="F544" s="1" t="inlineStr">
        <is>
          <t>m2</t>
        </is>
      </c>
      <c r="G544" s="1" t="inlineStr">
        <is>
          <t>Porcelain</t>
        </is>
      </c>
      <c r="H544" s="1" t="inlineStr">
        <is>
          <t>Matt</t>
        </is>
      </c>
      <c r="I544" t="n">
        <v>39.95</v>
      </c>
    </row>
    <row r="545">
      <c r="A545" s="1">
        <f>Hyperlink("https://www.tilemountain.co.uk/p/kromatika-green-wall-tile.html","Product")</f>
        <v/>
      </c>
      <c r="B545" s="1" t="inlineStr">
        <is>
          <t>451705</t>
        </is>
      </c>
      <c r="C545" s="1" t="inlineStr">
        <is>
          <t>Kromatika Hexagon Green Porcelain Wall &amp; Floor Tile</t>
        </is>
      </c>
      <c r="D545" s="1" t="n">
        <v>39.95</v>
      </c>
      <c r="E545" s="1" t="inlineStr">
        <is>
          <t>116x101mm</t>
        </is>
      </c>
      <c r="F545" s="1" t="inlineStr">
        <is>
          <t>m2</t>
        </is>
      </c>
      <c r="G545" s="1" t="inlineStr">
        <is>
          <t>Porcelain</t>
        </is>
      </c>
      <c r="H545" s="1" t="inlineStr">
        <is>
          <t>Matt</t>
        </is>
      </c>
      <c r="I545" t="n">
        <v>39.95</v>
      </c>
    </row>
    <row r="546">
      <c r="A546" s="1">
        <f>Hyperlink("https://www.tilemountain.co.uk/p/kromatika-grey-wall-tile.html","Product")</f>
        <v/>
      </c>
      <c r="B546" s="1" t="inlineStr">
        <is>
          <t>451710</t>
        </is>
      </c>
      <c r="C546" s="1" t="inlineStr">
        <is>
          <t>Kromatika Hexagon Grey Porcelain Wall &amp; Floor Tile</t>
        </is>
      </c>
      <c r="D546" s="1" t="n">
        <v>39.95</v>
      </c>
      <c r="E546" s="1" t="inlineStr">
        <is>
          <t>116x101mm</t>
        </is>
      </c>
      <c r="F546" s="1" t="inlineStr">
        <is>
          <t>m2</t>
        </is>
      </c>
      <c r="G546" s="1" t="inlineStr">
        <is>
          <t>Porcelain</t>
        </is>
      </c>
      <c r="H546" s="1" t="inlineStr">
        <is>
          <t>Matt</t>
        </is>
      </c>
      <c r="I546" t="n">
        <v>39.95</v>
      </c>
    </row>
    <row r="547">
      <c r="A547" s="1">
        <f>Hyperlink("https://www.tilemountain.co.uk/p/kromatika-naval-blue-wall-tile.html","Product")</f>
        <v/>
      </c>
      <c r="B547" s="1" t="inlineStr">
        <is>
          <t>451720</t>
        </is>
      </c>
      <c r="C547" s="1" t="inlineStr">
        <is>
          <t>Kromatika Hexagon Naval Blue Wall &amp; Floor Tile</t>
        </is>
      </c>
      <c r="D547" s="1" t="n">
        <v>39.95</v>
      </c>
      <c r="E547" s="1" t="inlineStr">
        <is>
          <t>116x101mm</t>
        </is>
      </c>
      <c r="F547" s="1" t="inlineStr">
        <is>
          <t>m2</t>
        </is>
      </c>
      <c r="G547" s="1" t="inlineStr">
        <is>
          <t>Porcelain</t>
        </is>
      </c>
      <c r="H547" s="1" t="inlineStr">
        <is>
          <t>Matt</t>
        </is>
      </c>
      <c r="I547" t="n">
        <v>39.95</v>
      </c>
    </row>
    <row r="548">
      <c r="A548" s="1">
        <f>Hyperlink("https://www.tilemountain.co.uk/p/kromatika-rosa-wall-tile.html","Product")</f>
        <v/>
      </c>
      <c r="B548" s="1" t="inlineStr">
        <is>
          <t>451725</t>
        </is>
      </c>
      <c r="C548" s="1" t="inlineStr">
        <is>
          <t>Kromatika Hexagon Rosa Pink Porcelain Wall &amp; Floor Tile</t>
        </is>
      </c>
      <c r="D548" s="1" t="n">
        <v>39.95</v>
      </c>
      <c r="E548" s="1" t="inlineStr">
        <is>
          <t>116x101mm</t>
        </is>
      </c>
      <c r="F548" s="1" t="inlineStr">
        <is>
          <t>m2</t>
        </is>
      </c>
      <c r="G548" s="1" t="inlineStr">
        <is>
          <t>Porcelain</t>
        </is>
      </c>
      <c r="H548" s="1" t="inlineStr">
        <is>
          <t>Matt</t>
        </is>
      </c>
      <c r="I548" t="n">
        <v>39.95</v>
      </c>
    </row>
    <row r="549">
      <c r="A549" s="1">
        <f>Hyperlink("https://www.tilemountain.co.uk/p/kromatika-white-wall-tile.html","Product")</f>
        <v/>
      </c>
      <c r="B549" s="1" t="inlineStr">
        <is>
          <t>451730</t>
        </is>
      </c>
      <c r="C549" s="1" t="inlineStr">
        <is>
          <t>Kromatika Hexagon White Porcelain Wall &amp; Floor Tile</t>
        </is>
      </c>
      <c r="D549" s="1" t="n">
        <v>39.95</v>
      </c>
      <c r="E549" s="1" t="inlineStr">
        <is>
          <t>116x101mm</t>
        </is>
      </c>
      <c r="F549" s="1" t="inlineStr">
        <is>
          <t>m2</t>
        </is>
      </c>
      <c r="G549" s="1" t="inlineStr">
        <is>
          <t>Porcelain</t>
        </is>
      </c>
      <c r="H549" s="1" t="inlineStr">
        <is>
          <t>Matt</t>
        </is>
      </c>
      <c r="I549" t="n">
        <v>39.95</v>
      </c>
    </row>
    <row r="550">
      <c r="A550" s="1">
        <f>Hyperlink("https://www.tilemountain.co.uk/p/lancaster-grey-patterned-porcelain-wall-and-floor-tile-1_1.html","Product")</f>
        <v/>
      </c>
      <c r="B550" s="1" t="inlineStr">
        <is>
          <t>448680</t>
        </is>
      </c>
      <c r="C550" s="1" t="inlineStr">
        <is>
          <t>Lancaster Grey Patterned Porcelain Wall and Floor Tile</t>
        </is>
      </c>
      <c r="D550" s="1" t="n">
        <v>17.99</v>
      </c>
      <c r="E550" s="1" t="inlineStr">
        <is>
          <t>450x450mm</t>
        </is>
      </c>
      <c r="F550" s="1" t="inlineStr">
        <is>
          <t>m2</t>
        </is>
      </c>
      <c r="G550" s="1" t="inlineStr">
        <is>
          <t>Porcelain</t>
        </is>
      </c>
      <c r="H550" s="1" t="inlineStr">
        <is>
          <t>Matt</t>
        </is>
      </c>
      <c r="I550" t="n">
        <v>17.99</v>
      </c>
    </row>
    <row r="551">
      <c r="A551" s="1">
        <f>Hyperlink("https://www.tilemountain.co.uk/p/lancaster-white-outdoor-slab-tiles.html","Product")</f>
        <v/>
      </c>
      <c r="B551" s="1" t="inlineStr">
        <is>
          <t>451655</t>
        </is>
      </c>
      <c r="C551" s="1" t="inlineStr">
        <is>
          <t>Carrara Marble White Outdoor Slab Tiles</t>
        </is>
      </c>
      <c r="D551" s="1" t="n">
        <v>29.99</v>
      </c>
      <c r="E551" s="1" t="inlineStr">
        <is>
          <t>595x595mm</t>
        </is>
      </c>
      <c r="F551" s="1" t="inlineStr">
        <is>
          <t>m2</t>
        </is>
      </c>
      <c r="G551" s="1" t="inlineStr">
        <is>
          <t>Porcelain</t>
        </is>
      </c>
      <c r="H551" s="1" t="inlineStr">
        <is>
          <t>Matt</t>
        </is>
      </c>
      <c r="I551" t="n">
        <v>29.99</v>
      </c>
    </row>
    <row r="552">
      <c r="A552" s="1">
        <f>Hyperlink("https://www.tilemountain.co.uk/p/latex-plus-6kg.html","Product")</f>
        <v/>
      </c>
      <c r="B552" s="1" t="inlineStr">
        <is>
          <t>215106UK</t>
        </is>
      </c>
      <c r="C552" s="1" t="inlineStr">
        <is>
          <t>Latex Plus 6kg</t>
        </is>
      </c>
      <c r="D552" s="1" t="n">
        <v>27.99</v>
      </c>
      <c r="E552" s="1" t="inlineStr">
        <is>
          <t>-</t>
        </is>
      </c>
      <c r="F552" s="1" t="inlineStr">
        <is>
          <t>Qty</t>
        </is>
      </c>
      <c r="G552" s="1" t="inlineStr">
        <is>
          <t>-</t>
        </is>
      </c>
      <c r="H552" s="1" t="inlineStr">
        <is>
          <t>-</t>
        </is>
      </c>
      <c r="I552" t="n">
        <v>27.99</v>
      </c>
    </row>
    <row r="553">
      <c r="A553" s="1">
        <f>Hyperlink("https://www.tilemountain.co.uk/p/laura-ashley-artisan-white-wall-tiles-7-5x15cm.html","Product")</f>
        <v/>
      </c>
      <c r="B553" s="1" t="inlineStr">
        <is>
          <t>1003760</t>
        </is>
      </c>
      <c r="C553" s="1" t="inlineStr">
        <is>
          <t>Laura Ashley Artisan White Wall Tiles</t>
        </is>
      </c>
      <c r="D553" s="1" t="n">
        <v>49.99</v>
      </c>
      <c r="E553" s="1" t="inlineStr">
        <is>
          <t>150x75mm</t>
        </is>
      </c>
      <c r="F553" s="1" t="inlineStr">
        <is>
          <t>m2</t>
        </is>
      </c>
      <c r="G553" s="1" t="inlineStr">
        <is>
          <t>Ceramic</t>
        </is>
      </c>
      <c r="H553" s="1" t="inlineStr">
        <is>
          <t>Gloss</t>
        </is>
      </c>
      <c r="I553" t="n">
        <v>49.99</v>
      </c>
    </row>
    <row r="554">
      <c r="A554" s="1">
        <f>Hyperlink("https://www.tilemountain.co.uk/p/lemmy-excalibur-grey-wall-and-floor-tiles-600x1200mm.html","Product")</f>
        <v/>
      </c>
      <c r="B554" s="1" t="inlineStr">
        <is>
          <t>454375</t>
        </is>
      </c>
      <c r="C554" s="1" t="inlineStr">
        <is>
          <t>Lemmy Excalibur Grey Wall and Floor Tiles</t>
        </is>
      </c>
      <c r="D554" s="1" t="n">
        <v>34.99</v>
      </c>
      <c r="E554" s="1" t="inlineStr">
        <is>
          <t>600x1200mm</t>
        </is>
      </c>
      <c r="F554" s="1" t="inlineStr">
        <is>
          <t>m2</t>
        </is>
      </c>
      <c r="G554" s="1" t="inlineStr">
        <is>
          <t>Porcelain</t>
        </is>
      </c>
      <c r="H554" s="1" t="inlineStr">
        <is>
          <t>Matt</t>
        </is>
      </c>
      <c r="I554" t="n">
        <v>34.99</v>
      </c>
    </row>
    <row r="555">
      <c r="A555" s="1">
        <f>Hyperlink("https://www.tilemountain.co.uk/p/lemmy-indio-blue-wall-and-floor-tiles-600x1200mm.html","Product")</f>
        <v/>
      </c>
      <c r="B555" s="1" t="inlineStr">
        <is>
          <t>454385</t>
        </is>
      </c>
      <c r="C555" s="1" t="inlineStr">
        <is>
          <t>Lemmy Indio Blue Wall and Floor Tiles</t>
        </is>
      </c>
      <c r="D555" s="1" t="n">
        <v>34.99</v>
      </c>
      <c r="E555" s="1" t="inlineStr">
        <is>
          <t>600x1200mm</t>
        </is>
      </c>
      <c r="F555" s="1" t="inlineStr">
        <is>
          <t>m2</t>
        </is>
      </c>
      <c r="G555" s="1" t="inlineStr">
        <is>
          <t>Porcelain</t>
        </is>
      </c>
      <c r="H555" s="1" t="inlineStr">
        <is>
          <t>Matt</t>
        </is>
      </c>
      <c r="I555" t="n">
        <v>34.99</v>
      </c>
    </row>
    <row r="556">
      <c r="A556" s="1">
        <f>Hyperlink("https://www.tilemountain.co.uk/p/lemmy-nimbus-grey-wall-and-floor-tiles-600x1200mm.html","Product")</f>
        <v/>
      </c>
      <c r="B556" s="1" t="inlineStr">
        <is>
          <t>454370</t>
        </is>
      </c>
      <c r="C556" s="1" t="inlineStr">
        <is>
          <t>Lemmy Nimbus Grey Wall and Floor Tiles</t>
        </is>
      </c>
      <c r="D556" s="1" t="n">
        <v>34.99</v>
      </c>
      <c r="E556" s="1" t="inlineStr">
        <is>
          <t>600x1200mm</t>
        </is>
      </c>
      <c r="F556" s="1" t="inlineStr">
        <is>
          <t>m2</t>
        </is>
      </c>
      <c r="G556" s="1" t="inlineStr">
        <is>
          <t>Porcelain</t>
        </is>
      </c>
      <c r="H556" s="1" t="inlineStr">
        <is>
          <t>Matt</t>
        </is>
      </c>
      <c r="I556" t="n">
        <v>34.99</v>
      </c>
    </row>
    <row r="557">
      <c r="A557" s="1">
        <f>Hyperlink("https://www.tilemountain.co.uk/p/lemmy-nimbus-grey-wall-and-floor-tiles-600x600mm.html","Product")</f>
        <v/>
      </c>
      <c r="B557" s="1" t="inlineStr">
        <is>
          <t>454355</t>
        </is>
      </c>
      <c r="C557" s="1" t="inlineStr">
        <is>
          <t>Lemmy Nimbus Grey Wall and Floor Tiles</t>
        </is>
      </c>
      <c r="D557" s="1" t="n">
        <v>28.99</v>
      </c>
      <c r="E557" s="1" t="inlineStr">
        <is>
          <t>600x600mm</t>
        </is>
      </c>
      <c r="F557" s="1" t="inlineStr">
        <is>
          <t>m2</t>
        </is>
      </c>
      <c r="G557" s="1" t="inlineStr">
        <is>
          <t>Porcelain</t>
        </is>
      </c>
      <c r="H557" s="1" t="inlineStr">
        <is>
          <t>Matt</t>
        </is>
      </c>
      <c r="I557" t="n">
        <v>28.99</v>
      </c>
    </row>
    <row r="558">
      <c r="A558" s="1">
        <f>Hyperlink("https://www.tilemountain.co.uk/p/lemmy-pumpkin-gold-wall-and-floor-tiles-600x1200mm.html","Product")</f>
        <v/>
      </c>
      <c r="B558" s="1" t="inlineStr">
        <is>
          <t>454390</t>
        </is>
      </c>
      <c r="C558" s="1" t="inlineStr">
        <is>
          <t>Lemmy Pumpkin Gold Wall and Floor Tiles</t>
        </is>
      </c>
      <c r="D558" s="1" t="n">
        <v>34.99</v>
      </c>
      <c r="E558" s="1" t="inlineStr">
        <is>
          <t>600x1200mm</t>
        </is>
      </c>
      <c r="F558" s="1" t="inlineStr">
        <is>
          <t>m2</t>
        </is>
      </c>
      <c r="G558" s="1" t="inlineStr">
        <is>
          <t>Porcelain</t>
        </is>
      </c>
      <c r="H558" s="1" t="inlineStr">
        <is>
          <t>Matt</t>
        </is>
      </c>
      <c r="I558" t="n">
        <v>34.99</v>
      </c>
    </row>
    <row r="559">
      <c r="A559" s="1">
        <f>Hyperlink("https://www.tilemountain.co.uk/p/lemmy-venom-black-wall-and-floor-tiles-600x1200mm.html","Product")</f>
        <v/>
      </c>
      <c r="B559" s="1" t="inlineStr">
        <is>
          <t>454365</t>
        </is>
      </c>
      <c r="C559" s="1" t="inlineStr">
        <is>
          <t>Lemmy Venom Black Wall and Floor Tiles</t>
        </is>
      </c>
      <c r="D559" s="1" t="n">
        <v>34.99</v>
      </c>
      <c r="E559" s="1" t="inlineStr">
        <is>
          <t>600x1200mm</t>
        </is>
      </c>
      <c r="F559" s="1" t="inlineStr">
        <is>
          <t>m2</t>
        </is>
      </c>
      <c r="G559" s="1" t="inlineStr">
        <is>
          <t>Porcelain</t>
        </is>
      </c>
      <c r="H559" s="1" t="inlineStr">
        <is>
          <t>Matt</t>
        </is>
      </c>
      <c r="I559" t="n">
        <v>34.99</v>
      </c>
    </row>
    <row r="560">
      <c r="A560" s="1">
        <f>Hyperlink("https://www.tilemountain.co.uk/p/lemmy-venom-black-wall-and-floor-tiles-600x600mm.html","Product")</f>
        <v/>
      </c>
      <c r="B560" s="1" t="inlineStr">
        <is>
          <t>454350</t>
        </is>
      </c>
      <c r="C560" s="1" t="inlineStr">
        <is>
          <t>Lemmy Venom Black Wall and Floor Tiles</t>
        </is>
      </c>
      <c r="D560" s="1" t="n">
        <v>28.99</v>
      </c>
      <c r="E560" s="1" t="inlineStr">
        <is>
          <t>600x600mm</t>
        </is>
      </c>
      <c r="F560" s="1" t="inlineStr">
        <is>
          <t>m2</t>
        </is>
      </c>
      <c r="G560" s="1" t="inlineStr">
        <is>
          <t>Porcelain</t>
        </is>
      </c>
      <c r="H560" s="1" t="inlineStr">
        <is>
          <t>Matt</t>
        </is>
      </c>
      <c r="I560" t="n">
        <v>28.99</v>
      </c>
    </row>
    <row r="561">
      <c r="A561" s="1">
        <f>Hyperlink("https://www.tilemountain.co.uk/p/lemmy-viridium-green-wall-and-floor-tiles-600x1200mm.html","Product")</f>
        <v/>
      </c>
      <c r="B561" s="1" t="inlineStr">
        <is>
          <t>454380</t>
        </is>
      </c>
      <c r="C561" s="1" t="inlineStr">
        <is>
          <t>Lemmy Viridium Green Wall and Floor Tiles</t>
        </is>
      </c>
      <c r="D561" s="1" t="n">
        <v>34.99</v>
      </c>
      <c r="E561" s="1" t="inlineStr">
        <is>
          <t>600x1200mm</t>
        </is>
      </c>
      <c r="F561" s="1" t="inlineStr">
        <is>
          <t>m2</t>
        </is>
      </c>
      <c r="G561" s="1" t="inlineStr">
        <is>
          <t>Porcelain</t>
        </is>
      </c>
      <c r="H561" s="1" t="inlineStr">
        <is>
          <t>Matt</t>
        </is>
      </c>
      <c r="I561" t="n">
        <v>34.99</v>
      </c>
    </row>
    <row r="562">
      <c r="A562" s="1">
        <f>Hyperlink("https://www.tilemountain.co.uk/p/limestone-matt-almond-floor-and-wall-tile.html","Product")</f>
        <v/>
      </c>
      <c r="B562" s="1" t="inlineStr">
        <is>
          <t>434850</t>
        </is>
      </c>
      <c r="C562" s="1" t="inlineStr">
        <is>
          <t>Limestone Matt Almond Floor and Wall Tiles</t>
        </is>
      </c>
      <c r="D562" s="1" t="n">
        <v>24.99</v>
      </c>
      <c r="E562" s="1" t="inlineStr">
        <is>
          <t>300x600mm</t>
        </is>
      </c>
      <c r="F562" s="1" t="inlineStr">
        <is>
          <t>m2</t>
        </is>
      </c>
      <c r="G562" s="1" t="inlineStr">
        <is>
          <t>Glazed Porcelain</t>
        </is>
      </c>
      <c r="H562" s="1" t="inlineStr">
        <is>
          <t>Matt</t>
        </is>
      </c>
      <c r="I562" t="n">
        <v>24.99</v>
      </c>
    </row>
    <row r="563">
      <c r="A563" s="1">
        <f>Hyperlink("https://www.tilemountain.co.uk/p/limestone-matt-almond-floor-tile-1640.html","Product")</f>
        <v/>
      </c>
      <c r="B563" s="1" t="inlineStr">
        <is>
          <t>434860</t>
        </is>
      </c>
      <c r="C563" s="1" t="inlineStr">
        <is>
          <t>Limestone Matt Almond Floor Tiles</t>
        </is>
      </c>
      <c r="D563" s="1" t="n">
        <v>30.99</v>
      </c>
      <c r="E563" s="1" t="inlineStr">
        <is>
          <t>500x1000mm</t>
        </is>
      </c>
      <c r="F563" s="1" t="inlineStr">
        <is>
          <t>m2</t>
        </is>
      </c>
      <c r="G563" s="1" t="inlineStr">
        <is>
          <t>Through Bodied Porcelain</t>
        </is>
      </c>
      <c r="H563" s="1" t="inlineStr">
        <is>
          <t>Matt</t>
        </is>
      </c>
      <c r="I563" t="n">
        <v>30.99</v>
      </c>
    </row>
    <row r="564">
      <c r="A564" s="1">
        <f>Hyperlink("https://www.tilemountain.co.uk/p/limestone-matt-almond-floor-tile.html","Product")</f>
        <v/>
      </c>
      <c r="B564" s="1" t="inlineStr">
        <is>
          <t>434855</t>
        </is>
      </c>
      <c r="C564" s="1" t="inlineStr">
        <is>
          <t>Limestone Matt Almond Floor Tiles</t>
        </is>
      </c>
      <c r="D564" s="1" t="n">
        <v>24.99</v>
      </c>
      <c r="E564" s="1" t="inlineStr">
        <is>
          <t>600x600mm</t>
        </is>
      </c>
      <c r="F564" s="1" t="inlineStr">
        <is>
          <t>m2</t>
        </is>
      </c>
      <c r="G564" s="1" t="inlineStr">
        <is>
          <t>Through Bodied Porcelain</t>
        </is>
      </c>
      <c r="H564" s="1" t="inlineStr">
        <is>
          <t>Matt</t>
        </is>
      </c>
      <c r="I564" t="n">
        <v>24.99</v>
      </c>
    </row>
    <row r="565">
      <c r="A565" s="1">
        <f>Hyperlink("https://www.tilemountain.co.uk/p/limestone-matt-white-wall-and-floor-tile.html","Product")</f>
        <v/>
      </c>
      <c r="B565" s="1" t="inlineStr">
        <is>
          <t>440525</t>
        </is>
      </c>
      <c r="C565" s="1" t="inlineStr">
        <is>
          <t>Limestone Matt White Wall And Floor Tiles</t>
        </is>
      </c>
      <c r="D565" s="1" t="n">
        <v>24.99</v>
      </c>
      <c r="E565" s="1" t="inlineStr">
        <is>
          <t>300x600mm</t>
        </is>
      </c>
      <c r="F565" s="1" t="inlineStr">
        <is>
          <t>m2</t>
        </is>
      </c>
      <c r="G565" s="1" t="inlineStr">
        <is>
          <t>Porcelain</t>
        </is>
      </c>
      <c r="H565" s="1" t="inlineStr">
        <is>
          <t>Matt</t>
        </is>
      </c>
      <c r="I565" t="n">
        <v>24.99</v>
      </c>
    </row>
    <row r="566">
      <c r="A566" s="1">
        <f>Hyperlink("https://www.tilemountain.co.uk/p/lineal-white-gloss-wall-tile-250x500.html","Product")</f>
        <v/>
      </c>
      <c r="B566" s="1" t="inlineStr">
        <is>
          <t>449050</t>
        </is>
      </c>
      <c r="C566" s="1" t="inlineStr">
        <is>
          <t>Lineal White Gloss Wall Tiles</t>
        </is>
      </c>
      <c r="D566" s="1" t="n">
        <v>12.99</v>
      </c>
      <c r="E566" s="1" t="inlineStr">
        <is>
          <t>500x250mm</t>
        </is>
      </c>
      <c r="F566" s="1" t="inlineStr">
        <is>
          <t>m2</t>
        </is>
      </c>
      <c r="G566" s="1" t="inlineStr">
        <is>
          <t>Ceramic</t>
        </is>
      </c>
      <c r="H566" s="1" t="inlineStr">
        <is>
          <t>Gloss</t>
        </is>
      </c>
      <c r="I566" t="n">
        <v>12.99</v>
      </c>
    </row>
    <row r="567">
      <c r="A567" s="1">
        <f>Hyperlink("https://www.tilemountain.co.uk/p/linear-black-gloss-wall-tile.html","Product")</f>
        <v/>
      </c>
      <c r="B567" s="1" t="inlineStr">
        <is>
          <t>435530</t>
        </is>
      </c>
      <c r="C567" s="1" t="inlineStr">
        <is>
          <t>Linear Black Gloss Wall Tiles</t>
        </is>
      </c>
      <c r="D567" s="1" t="n">
        <v>17.99</v>
      </c>
      <c r="E567" s="1" t="inlineStr">
        <is>
          <t>300x100mm</t>
        </is>
      </c>
      <c r="F567" s="1" t="inlineStr">
        <is>
          <t>m2</t>
        </is>
      </c>
      <c r="G567" s="1" t="inlineStr">
        <is>
          <t>Ceramic</t>
        </is>
      </c>
      <c r="H567" s="1" t="inlineStr">
        <is>
          <t>Gloss</t>
        </is>
      </c>
      <c r="I567" t="n">
        <v>17.99</v>
      </c>
    </row>
    <row r="568">
      <c r="A568" s="1">
        <f>Hyperlink("https://www.tilemountain.co.uk/p/linear-blue-gloss-wall-tile.html","Product")</f>
        <v/>
      </c>
      <c r="B568" s="1" t="inlineStr">
        <is>
          <t>435470</t>
        </is>
      </c>
      <c r="C568" s="1" t="inlineStr">
        <is>
          <t>Linear Blue Gloss Wall Tiles</t>
        </is>
      </c>
      <c r="D568" s="1" t="n">
        <v>17.99</v>
      </c>
      <c r="E568" s="1" t="inlineStr">
        <is>
          <t>300x100mm</t>
        </is>
      </c>
      <c r="F568" s="1" t="inlineStr">
        <is>
          <t>m2</t>
        </is>
      </c>
      <c r="G568" s="1" t="inlineStr">
        <is>
          <t>Ceramic</t>
        </is>
      </c>
      <c r="H568" s="1" t="inlineStr">
        <is>
          <t>Gloss</t>
        </is>
      </c>
      <c r="I568" t="n">
        <v>17.99</v>
      </c>
    </row>
    <row r="569">
      <c r="A569" s="1">
        <f>Hyperlink("https://www.tilemountain.co.uk/p/linear-cappuccino-gloss-wall-tile.html","Product")</f>
        <v/>
      </c>
      <c r="B569" s="1" t="inlineStr">
        <is>
          <t>435505</t>
        </is>
      </c>
      <c r="C569" s="1" t="inlineStr">
        <is>
          <t>Linear Cappuccino Gloss Wall Tiles</t>
        </is>
      </c>
      <c r="D569" s="1" t="n">
        <v>17.99</v>
      </c>
      <c r="E569" s="1" t="inlineStr">
        <is>
          <t>300x100mm</t>
        </is>
      </c>
      <c r="F569" s="1" t="inlineStr">
        <is>
          <t>m2</t>
        </is>
      </c>
      <c r="G569" s="1" t="inlineStr">
        <is>
          <t>Ceramic</t>
        </is>
      </c>
      <c r="H569" s="1" t="inlineStr">
        <is>
          <t>Gloss</t>
        </is>
      </c>
      <c r="I569" t="n">
        <v>17.99</v>
      </c>
    </row>
    <row r="570">
      <c r="A570" s="1">
        <f>Hyperlink("https://www.tilemountain.co.uk/p/linear-cream-gloss-wall-tile.html","Product")</f>
        <v/>
      </c>
      <c r="B570" s="1" t="inlineStr">
        <is>
          <t>435510</t>
        </is>
      </c>
      <c r="C570" s="1" t="inlineStr">
        <is>
          <t>Linear Cream Gloss Wall Tiles</t>
        </is>
      </c>
      <c r="D570" s="1" t="n">
        <v>17.99</v>
      </c>
      <c r="E570" s="1" t="inlineStr">
        <is>
          <t>300x100mm</t>
        </is>
      </c>
      <c r="F570" s="1" t="inlineStr">
        <is>
          <t>m2</t>
        </is>
      </c>
      <c r="G570" s="1" t="inlineStr">
        <is>
          <t>Ceramic</t>
        </is>
      </c>
      <c r="H570" s="1" t="inlineStr">
        <is>
          <t>Gloss</t>
        </is>
      </c>
      <c r="I570" t="n">
        <v>17.99</v>
      </c>
    </row>
    <row r="571">
      <c r="A571" s="1">
        <f>Hyperlink("https://www.tilemountain.co.uk/p/linear-dark-grey-gloss-wall-tile.html","Product")</f>
        <v/>
      </c>
      <c r="B571" s="1" t="inlineStr">
        <is>
          <t>435500</t>
        </is>
      </c>
      <c r="C571" s="1" t="inlineStr">
        <is>
          <t>Linear Dark Grey Gloss Wall Tiles</t>
        </is>
      </c>
      <c r="D571" s="1" t="n">
        <v>17.99</v>
      </c>
      <c r="E571" s="1" t="inlineStr">
        <is>
          <t>300x100mm</t>
        </is>
      </c>
      <c r="F571" s="1" t="inlineStr">
        <is>
          <t>m2</t>
        </is>
      </c>
      <c r="G571" s="1" t="inlineStr">
        <is>
          <t>Ceramic</t>
        </is>
      </c>
      <c r="H571" s="1" t="inlineStr">
        <is>
          <t>Gloss</t>
        </is>
      </c>
      <c r="I571" t="n">
        <v>17.99</v>
      </c>
    </row>
    <row r="572">
      <c r="A572" s="1">
        <f>Hyperlink("https://www.tilemountain.co.uk/p/linear-green-gloss-wall-tile.html","Product")</f>
        <v/>
      </c>
      <c r="B572" s="1" t="inlineStr">
        <is>
          <t>435485</t>
        </is>
      </c>
      <c r="C572" s="1" t="inlineStr">
        <is>
          <t>Linear Green Gloss Wall Tiles</t>
        </is>
      </c>
      <c r="D572" s="1" t="n">
        <v>17.99</v>
      </c>
      <c r="E572" s="1" t="inlineStr">
        <is>
          <t>300x100mm</t>
        </is>
      </c>
      <c r="F572" s="1" t="inlineStr">
        <is>
          <t>m2</t>
        </is>
      </c>
      <c r="G572" s="1" t="inlineStr">
        <is>
          <t>Ceramic</t>
        </is>
      </c>
      <c r="H572" s="1" t="inlineStr">
        <is>
          <t>Gloss</t>
        </is>
      </c>
      <c r="I572" t="n">
        <v>17.99</v>
      </c>
    </row>
    <row r="573">
      <c r="A573" s="1">
        <f>Hyperlink("https://www.tilemountain.co.uk/p/linear-grey-gloss-wall-tile.html","Product")</f>
        <v/>
      </c>
      <c r="B573" s="1" t="inlineStr">
        <is>
          <t>435525</t>
        </is>
      </c>
      <c r="C573" s="1" t="inlineStr">
        <is>
          <t>Linear Grey Gloss Wall Tiles</t>
        </is>
      </c>
      <c r="D573" s="1" t="n">
        <v>17.99</v>
      </c>
      <c r="E573" s="1" t="inlineStr">
        <is>
          <t>300x100mm</t>
        </is>
      </c>
      <c r="F573" s="1" t="inlineStr">
        <is>
          <t>m2</t>
        </is>
      </c>
      <c r="G573" s="1" t="inlineStr">
        <is>
          <t>Ceramic</t>
        </is>
      </c>
      <c r="H573" s="1" t="inlineStr">
        <is>
          <t>Gloss</t>
        </is>
      </c>
      <c r="I573" t="n">
        <v>17.99</v>
      </c>
    </row>
    <row r="574">
      <c r="A574" s="1">
        <f>Hyperlink("https://www.tilemountain.co.uk/p/linear-navy-blue-gloss-wall-tile.html","Product")</f>
        <v/>
      </c>
      <c r="B574" s="1" t="inlineStr">
        <is>
          <t>435490</t>
        </is>
      </c>
      <c r="C574" s="1" t="inlineStr">
        <is>
          <t>Linear Navy Blue Gloss Wall Tiles</t>
        </is>
      </c>
      <c r="D574" s="1" t="n">
        <v>17.99</v>
      </c>
      <c r="E574" s="1" t="inlineStr">
        <is>
          <t>300x100mm</t>
        </is>
      </c>
      <c r="F574" s="1" t="inlineStr">
        <is>
          <t>m2</t>
        </is>
      </c>
      <c r="G574" s="1" t="inlineStr">
        <is>
          <t>Ceramic</t>
        </is>
      </c>
      <c r="H574" s="1" t="inlineStr">
        <is>
          <t>Gloss</t>
        </is>
      </c>
      <c r="I574" t="n">
        <v>17.99</v>
      </c>
    </row>
    <row r="575">
      <c r="A575" s="1">
        <f>Hyperlink("https://www.tilemountain.co.uk/p/linear-red-gloss-wall-tile.html","Product")</f>
        <v/>
      </c>
      <c r="B575" s="1" t="inlineStr">
        <is>
          <t>435515</t>
        </is>
      </c>
      <c r="C575" s="1" t="inlineStr">
        <is>
          <t>Linear Red Gloss Wall Tiles</t>
        </is>
      </c>
      <c r="D575" s="1" t="n">
        <v>19.99</v>
      </c>
      <c r="E575" s="1" t="inlineStr">
        <is>
          <t>300x100mm</t>
        </is>
      </c>
      <c r="F575" s="1" t="inlineStr">
        <is>
          <t>m2</t>
        </is>
      </c>
      <c r="G575" s="1" t="inlineStr">
        <is>
          <t>Ceramic</t>
        </is>
      </c>
      <c r="H575" s="1" t="inlineStr">
        <is>
          <t>Gloss</t>
        </is>
      </c>
      <c r="I575" t="n">
        <v>19.99</v>
      </c>
    </row>
    <row r="576">
      <c r="A576" s="1">
        <f>Hyperlink("https://www.tilemountain.co.uk/p/linear-white-gloss-wall-tile.html","Product")</f>
        <v/>
      </c>
      <c r="B576" s="1" t="inlineStr">
        <is>
          <t>435475</t>
        </is>
      </c>
      <c r="C576" s="1" t="inlineStr">
        <is>
          <t>Linear White Gloss Wall Tiles</t>
        </is>
      </c>
      <c r="D576" s="1" t="n">
        <v>17.99</v>
      </c>
      <c r="E576" s="1" t="inlineStr">
        <is>
          <t>300x100mm</t>
        </is>
      </c>
      <c r="F576" s="1" t="inlineStr">
        <is>
          <t>m2</t>
        </is>
      </c>
      <c r="G576" s="1" t="inlineStr">
        <is>
          <t>Ceramic</t>
        </is>
      </c>
      <c r="H576" s="1" t="inlineStr">
        <is>
          <t>Gloss</t>
        </is>
      </c>
      <c r="I576" t="n">
        <v>17.99</v>
      </c>
    </row>
    <row r="577">
      <c r="A577" s="1">
        <f>Hyperlink("https://www.tilemountain.co.uk/p/london-red-brick-wall-tile.html","Product")</f>
        <v/>
      </c>
      <c r="B577" s="1" t="inlineStr">
        <is>
          <t>437920</t>
        </is>
      </c>
      <c r="C577" s="1" t="inlineStr">
        <is>
          <t>London Red Brick Wall Tiles</t>
        </is>
      </c>
      <c r="D577" s="1" t="n">
        <v>21.99</v>
      </c>
      <c r="E577" s="1" t="inlineStr">
        <is>
          <t>660x440mm</t>
        </is>
      </c>
      <c r="F577" s="1" t="inlineStr">
        <is>
          <t>m2</t>
        </is>
      </c>
      <c r="G577" s="1" t="inlineStr">
        <is>
          <t>Glazed Porcelain</t>
        </is>
      </c>
      <c r="H577" s="1" t="inlineStr">
        <is>
          <t>Matt</t>
        </is>
      </c>
      <c r="I577" t="n">
        <v>21.99</v>
      </c>
    </row>
    <row r="578">
      <c r="A578" s="1">
        <f>Hyperlink("https://www.tilemountain.co.uk/p/london-white-brick-wall-tile.html","Product")</f>
        <v/>
      </c>
      <c r="B578" s="1" t="inlineStr">
        <is>
          <t>437915</t>
        </is>
      </c>
      <c r="C578" s="1" t="inlineStr">
        <is>
          <t>London White Brick Wall Tiles</t>
        </is>
      </c>
      <c r="D578" s="1" t="n">
        <v>21.99</v>
      </c>
      <c r="E578" s="1" t="inlineStr">
        <is>
          <t>660x440mm</t>
        </is>
      </c>
      <c r="F578" s="1" t="inlineStr">
        <is>
          <t>m2</t>
        </is>
      </c>
      <c r="G578" s="1" t="inlineStr">
        <is>
          <t>Glazed Porcelain</t>
        </is>
      </c>
      <c r="H578" s="1" t="inlineStr">
        <is>
          <t>Matt</t>
        </is>
      </c>
      <c r="I578" t="n">
        <v>21.99</v>
      </c>
    </row>
    <row r="579">
      <c r="A579" s="1">
        <f>Hyperlink("https://www.tilemountain.co.uk/p/lounge-black-matt-porcelain-870.html","Product")</f>
        <v/>
      </c>
      <c r="B579" s="1" t="inlineStr">
        <is>
          <t>431285</t>
        </is>
      </c>
      <c r="C579" s="1" t="inlineStr">
        <is>
          <t>Lounge Black Matt Porcelain Floor Tile</t>
        </is>
      </c>
      <c r="D579" s="1" t="n">
        <v>23.99</v>
      </c>
      <c r="E579" s="1" t="inlineStr">
        <is>
          <t>600x600mm</t>
        </is>
      </c>
      <c r="F579" s="1" t="inlineStr">
        <is>
          <t>m2</t>
        </is>
      </c>
      <c r="G579" s="1" t="inlineStr">
        <is>
          <t>Porcelain</t>
        </is>
      </c>
      <c r="H579" s="1" t="inlineStr">
        <is>
          <t>Matt</t>
        </is>
      </c>
      <c r="I579" t="n">
        <v>23.99</v>
      </c>
    </row>
    <row r="580">
      <c r="A580" s="1">
        <f>Hyperlink("https://www.tilemountain.co.uk/p/lounge-black-matt-porcelain.html","Product")</f>
        <v/>
      </c>
      <c r="B580" s="1" t="inlineStr">
        <is>
          <t>431270</t>
        </is>
      </c>
      <c r="C580" s="1" t="inlineStr">
        <is>
          <t>Lounge Black Matt Porcelain Wall and Floor Tile</t>
        </is>
      </c>
      <c r="D580" s="1" t="n">
        <v>22.95</v>
      </c>
      <c r="E580" s="1" t="inlineStr">
        <is>
          <t>300x600mm</t>
        </is>
      </c>
      <c r="F580" s="1" t="inlineStr">
        <is>
          <t>m2</t>
        </is>
      </c>
      <c r="G580" s="1" t="inlineStr">
        <is>
          <t>Porcelain</t>
        </is>
      </c>
      <c r="H580" s="1" t="inlineStr">
        <is>
          <t>Matt</t>
        </is>
      </c>
      <c r="I580" t="n">
        <v>22.95</v>
      </c>
    </row>
    <row r="581">
      <c r="A581" s="1">
        <f>Hyperlink("https://www.tilemountain.co.uk/p/lounge-black-polished-porcelain-873.html","Product")</f>
        <v/>
      </c>
      <c r="B581" s="1" t="inlineStr">
        <is>
          <t>431280</t>
        </is>
      </c>
      <c r="C581" s="1" t="inlineStr">
        <is>
          <t>Lounge Black Polished Porcelain Floor Tile</t>
        </is>
      </c>
      <c r="D581" s="1" t="n">
        <v>24.99</v>
      </c>
      <c r="E581" s="1" t="inlineStr">
        <is>
          <t>600x600mm</t>
        </is>
      </c>
      <c r="F581" s="1" t="inlineStr">
        <is>
          <t>m2</t>
        </is>
      </c>
      <c r="G581" s="1" t="inlineStr">
        <is>
          <t>Porcelain</t>
        </is>
      </c>
      <c r="H581" s="1" t="inlineStr">
        <is>
          <t>Polished</t>
        </is>
      </c>
      <c r="I581" t="n">
        <v>24.99</v>
      </c>
    </row>
    <row r="582">
      <c r="A582" s="1">
        <f>Hyperlink("https://www.tilemountain.co.uk/p/lounge-black-polished-porcelain.html","Product")</f>
        <v/>
      </c>
      <c r="B582" s="1" t="inlineStr">
        <is>
          <t>431265</t>
        </is>
      </c>
      <c r="C582" s="1" t="inlineStr">
        <is>
          <t>Lounge Black Polished Porcelain Wall and Floor Tile</t>
        </is>
      </c>
      <c r="D582" s="1" t="n">
        <v>23.95</v>
      </c>
      <c r="E582" s="1" t="inlineStr">
        <is>
          <t>300x600mm</t>
        </is>
      </c>
      <c r="F582" s="1" t="inlineStr">
        <is>
          <t>m2</t>
        </is>
      </c>
      <c r="G582" s="1" t="inlineStr">
        <is>
          <t>Porcelain</t>
        </is>
      </c>
      <c r="H582" s="1" t="inlineStr">
        <is>
          <t>Polished</t>
        </is>
      </c>
      <c r="I582" t="n">
        <v>23.95</v>
      </c>
    </row>
    <row r="583">
      <c r="A583" s="1">
        <f>Hyperlink("https://www.tilemountain.co.uk/p/lounge-dark-grey-polished.html","Product")</f>
        <v/>
      </c>
      <c r="B583" s="1" t="inlineStr">
        <is>
          <t>446270</t>
        </is>
      </c>
      <c r="C583" s="1" t="inlineStr">
        <is>
          <t>Lounge Dark Grey Polished Floor Tile</t>
        </is>
      </c>
      <c r="D583" s="1" t="n">
        <v>21.99</v>
      </c>
      <c r="E583" s="1" t="inlineStr">
        <is>
          <t>600x600mm</t>
        </is>
      </c>
      <c r="F583" s="1" t="inlineStr">
        <is>
          <t>m2</t>
        </is>
      </c>
      <c r="G583" s="1" t="inlineStr">
        <is>
          <t>Porcelain</t>
        </is>
      </c>
      <c r="H583" s="1" t="inlineStr">
        <is>
          <t>Polished</t>
        </is>
      </c>
      <c r="I583" t="n">
        <v>21.99</v>
      </c>
    </row>
    <row r="584">
      <c r="A584" s="1">
        <f>Hyperlink("https://www.tilemountain.co.uk/p/lounge-ivory-matt-porcelain-879.html","Product")</f>
        <v/>
      </c>
      <c r="B584" s="1" t="inlineStr">
        <is>
          <t>431315</t>
        </is>
      </c>
      <c r="C584" s="1" t="inlineStr">
        <is>
          <t>Lounge Ivory Matt Porcelain Floor Tile</t>
        </is>
      </c>
      <c r="D584" s="1" t="n">
        <v>23.99</v>
      </c>
      <c r="E584" s="1" t="inlineStr">
        <is>
          <t>600x600mm</t>
        </is>
      </c>
      <c r="F584" s="1" t="inlineStr">
        <is>
          <t>m2</t>
        </is>
      </c>
      <c r="G584" s="1" t="inlineStr">
        <is>
          <t>Porcelain</t>
        </is>
      </c>
      <c r="H584" s="1" t="inlineStr">
        <is>
          <t>Matt</t>
        </is>
      </c>
      <c r="I584" t="n">
        <v>23.99</v>
      </c>
    </row>
    <row r="585">
      <c r="A585" s="1">
        <f>Hyperlink("https://www.tilemountain.co.uk/p/lounge-ivory-matt-porcelain.html","Product")</f>
        <v/>
      </c>
      <c r="B585" s="1" t="inlineStr">
        <is>
          <t>431305</t>
        </is>
      </c>
      <c r="C585" s="1" t="inlineStr">
        <is>
          <t>Lounge Ivory Matt Porcelain Wall and Floor Tile</t>
        </is>
      </c>
      <c r="D585" s="1" t="n">
        <v>22.95</v>
      </c>
      <c r="E585" s="1" t="inlineStr">
        <is>
          <t>300x600mm</t>
        </is>
      </c>
      <c r="F585" s="1" t="inlineStr">
        <is>
          <t>m2</t>
        </is>
      </c>
      <c r="G585" s="1" t="inlineStr">
        <is>
          <t>Porcelain</t>
        </is>
      </c>
      <c r="H585" s="1" t="inlineStr">
        <is>
          <t>Matt</t>
        </is>
      </c>
      <c r="I585" t="n">
        <v>22.95</v>
      </c>
    </row>
    <row r="586">
      <c r="A586" s="1">
        <f>Hyperlink("https://www.tilemountain.co.uk/p/lounge-ivory-polished-porcelain-877.html","Product")</f>
        <v/>
      </c>
      <c r="B586" s="1" t="inlineStr">
        <is>
          <t>431310</t>
        </is>
      </c>
      <c r="C586" s="1" t="inlineStr">
        <is>
          <t>Lounge Ivory Polished Porcelain Floor Tile</t>
        </is>
      </c>
      <c r="D586" s="1" t="n">
        <v>24.99</v>
      </c>
      <c r="E586" s="1" t="inlineStr">
        <is>
          <t>600x600mm</t>
        </is>
      </c>
      <c r="F586" s="1" t="inlineStr">
        <is>
          <t>m2</t>
        </is>
      </c>
      <c r="G586" s="1" t="inlineStr">
        <is>
          <t>Polished Porcelain</t>
        </is>
      </c>
      <c r="H586" s="1" t="inlineStr">
        <is>
          <t>Polished</t>
        </is>
      </c>
      <c r="I586" t="n">
        <v>24.99</v>
      </c>
    </row>
    <row r="587">
      <c r="A587" s="1">
        <f>Hyperlink("https://www.tilemountain.co.uk/p/lounge-light-grey-matt-porcelain-882.html","Product")</f>
        <v/>
      </c>
      <c r="B587" s="1" t="inlineStr">
        <is>
          <t>431255</t>
        </is>
      </c>
      <c r="C587" s="1" t="inlineStr">
        <is>
          <t>Lounge Light Grey Matt Porcelain Floor Tile</t>
        </is>
      </c>
      <c r="D587" s="1" t="n">
        <v>23.99</v>
      </c>
      <c r="E587" s="1" t="inlineStr">
        <is>
          <t>600x600mm</t>
        </is>
      </c>
      <c r="F587" s="1" t="inlineStr">
        <is>
          <t>m2</t>
        </is>
      </c>
      <c r="G587" s="1" t="inlineStr">
        <is>
          <t>Porcelain</t>
        </is>
      </c>
      <c r="H587" s="1" t="inlineStr">
        <is>
          <t>Matt</t>
        </is>
      </c>
      <c r="I587" t="n">
        <v>23.99</v>
      </c>
    </row>
    <row r="588">
      <c r="A588" s="1">
        <f>Hyperlink("https://www.tilemountain.co.uk/p/lounge-light-grey-matt-porcelain.html","Product")</f>
        <v/>
      </c>
      <c r="B588" s="1" t="inlineStr">
        <is>
          <t>431245</t>
        </is>
      </c>
      <c r="C588" s="1" t="inlineStr">
        <is>
          <t>Lounge Light Grey Matt Porcelain Wall and Floor Tile</t>
        </is>
      </c>
      <c r="D588" s="1" t="n">
        <v>22.95</v>
      </c>
      <c r="E588" s="1" t="inlineStr">
        <is>
          <t>300x600mm</t>
        </is>
      </c>
      <c r="F588" s="1" t="inlineStr">
        <is>
          <t>m2</t>
        </is>
      </c>
      <c r="G588" s="1" t="inlineStr">
        <is>
          <t>Porcelain</t>
        </is>
      </c>
      <c r="H588" s="1" t="inlineStr">
        <is>
          <t>Matt</t>
        </is>
      </c>
      <c r="I588" t="n">
        <v>22.95</v>
      </c>
    </row>
    <row r="589">
      <c r="A589" s="1">
        <f>Hyperlink("https://www.tilemountain.co.uk/p/lounge-light-grey-polished-porcelain-885.html","Product")</f>
        <v/>
      </c>
      <c r="B589" s="1" t="inlineStr">
        <is>
          <t>431250</t>
        </is>
      </c>
      <c r="C589" s="1" t="inlineStr">
        <is>
          <t>Lounge Light Grey Polished Porcelain Floor Tile</t>
        </is>
      </c>
      <c r="D589" s="1" t="n">
        <v>24.99</v>
      </c>
      <c r="E589" s="1" t="inlineStr">
        <is>
          <t>600x600mm</t>
        </is>
      </c>
      <c r="F589" s="1" t="inlineStr">
        <is>
          <t>m2</t>
        </is>
      </c>
      <c r="G589" s="1" t="inlineStr">
        <is>
          <t>Polished Porcelain</t>
        </is>
      </c>
      <c r="H589" s="1" t="inlineStr">
        <is>
          <t>Polished</t>
        </is>
      </c>
      <c r="I589" t="n">
        <v>24.99</v>
      </c>
    </row>
    <row r="590">
      <c r="A590" s="1">
        <f>Hyperlink("https://www.tilemountain.co.uk/p/lounge-light-grey-polished-porcelain.html","Product")</f>
        <v/>
      </c>
      <c r="B590" s="1" t="inlineStr">
        <is>
          <t>431240</t>
        </is>
      </c>
      <c r="C590" s="1" t="inlineStr">
        <is>
          <t>Lounge Light Grey Polished Porcelain Wall and Floor Tile</t>
        </is>
      </c>
      <c r="D590" s="1" t="n">
        <v>23.95</v>
      </c>
      <c r="E590" s="1" t="inlineStr">
        <is>
          <t>300x600mm</t>
        </is>
      </c>
      <c r="F590" s="1" t="inlineStr">
        <is>
          <t>m2</t>
        </is>
      </c>
      <c r="G590" s="1" t="inlineStr">
        <is>
          <t>Polished Porcelain</t>
        </is>
      </c>
      <c r="H590" s="1" t="inlineStr">
        <is>
          <t>Polished</t>
        </is>
      </c>
      <c r="I590" t="n">
        <v>23.95</v>
      </c>
    </row>
    <row r="591">
      <c r="A591" s="1">
        <f>Hyperlink("https://www.tilemountain.co.uk/p/ltp-black-spot-algae-remover-5-litre.html","Product")</f>
        <v/>
      </c>
      <c r="B591" s="1" t="inlineStr">
        <is>
          <t>LTP405</t>
        </is>
      </c>
      <c r="C591" s="1" t="inlineStr">
        <is>
          <t>LTP Black Spot &amp; Algae Remover (5 Litre)</t>
        </is>
      </c>
      <c r="D591" s="1" t="n">
        <v>44.99</v>
      </c>
      <c r="E591" s="1" t="inlineStr">
        <is>
          <t>-</t>
        </is>
      </c>
      <c r="F591" s="1" t="inlineStr">
        <is>
          <t>Qty</t>
        </is>
      </c>
      <c r="G591" s="1" t="inlineStr">
        <is>
          <t>-</t>
        </is>
      </c>
      <c r="H591" s="1" t="inlineStr">
        <is>
          <t>-</t>
        </is>
      </c>
      <c r="I591" t="n">
        <v>44.99</v>
      </c>
    </row>
    <row r="592">
      <c r="A592" s="1">
        <f>Hyperlink("https://www.tilemountain.co.uk/p/ltp-cement-grout-salt-residue-remover-1-litre.html","Product")</f>
        <v/>
      </c>
      <c r="B592" s="1" t="inlineStr">
        <is>
          <t>LTP381</t>
        </is>
      </c>
      <c r="C592" s="1" t="inlineStr">
        <is>
          <t>LTP Cement,Grout &amp; Salt Residue Remover (1 Litre)</t>
        </is>
      </c>
      <c r="D592" s="1" t="n">
        <v>16.9</v>
      </c>
      <c r="E592" s="1" t="inlineStr">
        <is>
          <t>-</t>
        </is>
      </c>
      <c r="F592" s="1" t="inlineStr">
        <is>
          <t>Qty</t>
        </is>
      </c>
      <c r="G592" s="1" t="inlineStr">
        <is>
          <t>-</t>
        </is>
      </c>
      <c r="H592" s="1" t="inlineStr">
        <is>
          <t>-</t>
        </is>
      </c>
      <c r="I592" t="n">
        <v>16.9</v>
      </c>
    </row>
    <row r="593">
      <c r="A593" s="1">
        <f>Hyperlink("https://www.tilemountain.co.uk/p/ltp-colour-intensifier-1-litre.html","Product")</f>
        <v/>
      </c>
      <c r="B593" s="1" t="inlineStr">
        <is>
          <t>LTP131</t>
        </is>
      </c>
      <c r="C593" s="1" t="inlineStr">
        <is>
          <t>LTP Colour Intensifier (1 Litre)</t>
        </is>
      </c>
      <c r="D593" s="1" t="n">
        <v>15.99</v>
      </c>
      <c r="E593" s="1" t="inlineStr">
        <is>
          <t>-</t>
        </is>
      </c>
      <c r="F593" s="1" t="inlineStr">
        <is>
          <t>Qty</t>
        </is>
      </c>
      <c r="G593" s="1" t="inlineStr">
        <is>
          <t>-</t>
        </is>
      </c>
      <c r="H593" s="1" t="inlineStr">
        <is>
          <t>-</t>
        </is>
      </c>
      <c r="I593" t="n">
        <v>15.99</v>
      </c>
    </row>
    <row r="594">
      <c r="A594" s="1">
        <f>Hyperlink("https://www.tilemountain.co.uk/p/ltp-floorshine-1-litre.html","Product")</f>
        <v/>
      </c>
      <c r="B594" s="1" t="inlineStr">
        <is>
          <t>LTP61</t>
        </is>
      </c>
      <c r="C594" s="1" t="inlineStr">
        <is>
          <t>LTP Floorshine (1 Litre)</t>
        </is>
      </c>
      <c r="D594" s="1" t="n">
        <v>10.99</v>
      </c>
      <c r="E594" s="1" t="inlineStr">
        <is>
          <t>-</t>
        </is>
      </c>
      <c r="F594" s="1" t="inlineStr">
        <is>
          <t>Qty</t>
        </is>
      </c>
      <c r="G594" s="1" t="inlineStr">
        <is>
          <t>-</t>
        </is>
      </c>
      <c r="H594" s="1" t="inlineStr">
        <is>
          <t>-</t>
        </is>
      </c>
      <c r="I594" t="n">
        <v>10.99</v>
      </c>
    </row>
    <row r="595">
      <c r="A595" s="1">
        <f>Hyperlink("https://www.tilemountain.co.uk/p/ltp-glaze-protector-1-litre.html","Product")</f>
        <v/>
      </c>
      <c r="B595" s="1" t="inlineStr">
        <is>
          <t>LTP201</t>
        </is>
      </c>
      <c r="C595" s="1" t="inlineStr">
        <is>
          <t>LTP Glaze Protector (1 Litre)</t>
        </is>
      </c>
      <c r="D595" s="1" t="n">
        <v>15.99</v>
      </c>
      <c r="E595" s="1" t="inlineStr">
        <is>
          <t>-</t>
        </is>
      </c>
      <c r="F595" s="1" t="inlineStr">
        <is>
          <t>Qty</t>
        </is>
      </c>
      <c r="G595" s="1" t="inlineStr">
        <is>
          <t>-</t>
        </is>
      </c>
      <c r="H595" s="1" t="inlineStr">
        <is>
          <t>-</t>
        </is>
      </c>
      <c r="I595" t="n">
        <v>15.99</v>
      </c>
    </row>
    <row r="596">
      <c r="A596" s="1">
        <f>Hyperlink("https://www.tilemountain.co.uk/p/ltp-grimex-heavy-duty-tile-cleaner.html","Product")</f>
        <v/>
      </c>
      <c r="B596" s="1" t="inlineStr">
        <is>
          <t>LTP71</t>
        </is>
      </c>
      <c r="C596" s="1" t="inlineStr">
        <is>
          <t>LTP Grimex Heavy Duty Tile Cleaner</t>
        </is>
      </c>
      <c r="D596" s="1" t="n">
        <v>8.99</v>
      </c>
      <c r="E596" s="1" t="inlineStr">
        <is>
          <t>-</t>
        </is>
      </c>
      <c r="F596" s="1" t="inlineStr">
        <is>
          <t>Qty</t>
        </is>
      </c>
      <c r="G596" s="1" t="inlineStr">
        <is>
          <t>-</t>
        </is>
      </c>
      <c r="H596" s="1" t="inlineStr">
        <is>
          <t>-</t>
        </is>
      </c>
      <c r="I596" t="n">
        <v>8.99</v>
      </c>
    </row>
    <row r="597">
      <c r="A597" s="1">
        <f>Hyperlink("https://www.tilemountain.co.uk/p/ltp-grout-protector-spray-600ml.html","Product")</f>
        <v/>
      </c>
      <c r="B597" s="1" t="inlineStr">
        <is>
          <t>LTP156</t>
        </is>
      </c>
      <c r="C597" s="1" t="inlineStr">
        <is>
          <t>LTP Grout Protector Spray 600ml</t>
        </is>
      </c>
      <c r="D597" s="1" t="n">
        <v>14.95</v>
      </c>
      <c r="E597" s="1" t="inlineStr">
        <is>
          <t>-</t>
        </is>
      </c>
      <c r="F597" s="1" t="inlineStr">
        <is>
          <t>Qty</t>
        </is>
      </c>
      <c r="G597" s="1" t="inlineStr">
        <is>
          <t>-</t>
        </is>
      </c>
      <c r="H597" s="1" t="inlineStr">
        <is>
          <t>-</t>
        </is>
      </c>
      <c r="I597" t="n">
        <v>14.95</v>
      </c>
    </row>
    <row r="598">
      <c r="A598" s="1">
        <f>Hyperlink("https://www.tilemountain.co.uk/p/ltp-grout-stain-residue-remover-1-litre.html","Product")</f>
        <v/>
      </c>
      <c r="B598" s="1" t="inlineStr">
        <is>
          <t>LTP81</t>
        </is>
      </c>
      <c r="C598" s="1" t="inlineStr">
        <is>
          <t>LTP Grout Stain Residue Remover 1 Litre</t>
        </is>
      </c>
      <c r="D598" s="1" t="n">
        <v>8.949999999999999</v>
      </c>
      <c r="E598" s="1" t="inlineStr">
        <is>
          <t>-</t>
        </is>
      </c>
      <c r="F598" s="1" t="inlineStr">
        <is>
          <t>Qty</t>
        </is>
      </c>
      <c r="G598" s="1" t="inlineStr">
        <is>
          <t>-</t>
        </is>
      </c>
      <c r="H598" s="1" t="inlineStr">
        <is>
          <t>-</t>
        </is>
      </c>
      <c r="I598" t="n">
        <v>8.949999999999999</v>
      </c>
    </row>
    <row r="599">
      <c r="A599" s="1">
        <f>Hyperlink("https://www.tilemountain.co.uk/p/ltp-mattstone-1-litre.html","Product")</f>
        <v/>
      </c>
      <c r="B599" s="1" t="inlineStr">
        <is>
          <t>LTP121</t>
        </is>
      </c>
      <c r="C599" s="1" t="inlineStr">
        <is>
          <t>LTP Mattstone (1 Litre)</t>
        </is>
      </c>
      <c r="D599" s="1" t="n">
        <v>15.49</v>
      </c>
      <c r="E599" s="1" t="inlineStr">
        <is>
          <t>-</t>
        </is>
      </c>
      <c r="F599" s="1" t="inlineStr">
        <is>
          <t>Qty</t>
        </is>
      </c>
      <c r="G599" s="1" t="inlineStr">
        <is>
          <t>-</t>
        </is>
      </c>
      <c r="H599" s="1" t="inlineStr">
        <is>
          <t>-</t>
        </is>
      </c>
      <c r="I599" t="n">
        <v>15.49</v>
      </c>
    </row>
    <row r="600">
      <c r="A600" s="1">
        <f>Hyperlink("https://www.tilemountain.co.uk/p/ltp-mouldex-spray-500ml.html","Product")</f>
        <v/>
      </c>
      <c r="B600" s="1" t="inlineStr">
        <is>
          <t>LTP25</t>
        </is>
      </c>
      <c r="C600" s="1" t="inlineStr">
        <is>
          <t>LTP Mouldex Spray (500ml)</t>
        </is>
      </c>
      <c r="D600" s="1" t="n">
        <v>8.949999999999999</v>
      </c>
      <c r="E600" s="1" t="inlineStr">
        <is>
          <t>-</t>
        </is>
      </c>
      <c r="F600" s="1" t="inlineStr">
        <is>
          <t>Qty</t>
        </is>
      </c>
      <c r="G600" s="1" t="inlineStr">
        <is>
          <t>-</t>
        </is>
      </c>
      <c r="H600" s="1" t="inlineStr">
        <is>
          <t>-</t>
        </is>
      </c>
      <c r="I600" t="n">
        <v>8.949999999999999</v>
      </c>
    </row>
    <row r="601">
      <c r="A601" s="1">
        <f>Hyperlink("https://www.tilemountain.co.uk/p/ltp-mpg-polished-tile-sealer-5119.html","Product")</f>
        <v/>
      </c>
      <c r="B601" s="1" t="inlineStr">
        <is>
          <t>LTP211</t>
        </is>
      </c>
      <c r="C601" s="1" t="inlineStr">
        <is>
          <t>LTP MPG Polished Tile Sealer 1L</t>
        </is>
      </c>
      <c r="D601" s="1" t="n">
        <v>18.95</v>
      </c>
      <c r="E601" s="1" t="inlineStr">
        <is>
          <t>-</t>
        </is>
      </c>
      <c r="F601" s="1" t="inlineStr">
        <is>
          <t>Qty</t>
        </is>
      </c>
      <c r="G601" s="1" t="inlineStr">
        <is>
          <t>-</t>
        </is>
      </c>
      <c r="H601" s="1" t="inlineStr">
        <is>
          <t>-</t>
        </is>
      </c>
      <c r="I601" t="n">
        <v>18.95</v>
      </c>
    </row>
    <row r="602">
      <c r="A602" s="1">
        <f>Hyperlink("https://www.tilemountain.co.uk/p/ltp-mpg-polished-tile-sealer.html","Product")</f>
        <v/>
      </c>
      <c r="B602" s="1" t="inlineStr">
        <is>
          <t>LTP2112</t>
        </is>
      </c>
      <c r="C602" s="1" t="inlineStr">
        <is>
          <t>LTP MPG Polished Tile Sealer 500ml</t>
        </is>
      </c>
      <c r="D602" s="1" t="n">
        <v>12.95</v>
      </c>
      <c r="E602" s="1" t="inlineStr">
        <is>
          <t>-</t>
        </is>
      </c>
      <c r="F602" s="1" t="inlineStr">
        <is>
          <t>Qty</t>
        </is>
      </c>
      <c r="G602" s="1" t="inlineStr">
        <is>
          <t>-</t>
        </is>
      </c>
      <c r="H602" s="1" t="inlineStr">
        <is>
          <t>-</t>
        </is>
      </c>
      <c r="I602" t="n">
        <v>12.95</v>
      </c>
    </row>
    <row r="603">
      <c r="A603" s="1">
        <f>Hyperlink("https://www.tilemountain.co.uk/p/ltp-multiclean-500ml-spray.html","Product")</f>
        <v/>
      </c>
      <c r="B603" s="1" t="inlineStr">
        <is>
          <t>LTP23</t>
        </is>
      </c>
      <c r="C603" s="1" t="inlineStr">
        <is>
          <t>LTP Multiclean (500ml) spray</t>
        </is>
      </c>
      <c r="D603" s="1" t="n">
        <v>7.99</v>
      </c>
      <c r="E603" s="1" t="inlineStr">
        <is>
          <t>-</t>
        </is>
      </c>
      <c r="F603" s="1" t="inlineStr">
        <is>
          <t>Qty</t>
        </is>
      </c>
      <c r="G603" s="1" t="inlineStr">
        <is>
          <t>-</t>
        </is>
      </c>
      <c r="H603" s="1" t="inlineStr">
        <is>
          <t>-</t>
        </is>
      </c>
      <c r="I603" t="n">
        <v>7.99</v>
      </c>
    </row>
    <row r="604">
      <c r="A604" s="1">
        <f>Hyperlink("https://www.tilemountain.co.uk/p/ltp-porcelain-tile-cleaner.html","Product")</f>
        <v/>
      </c>
      <c r="B604" s="1" t="inlineStr">
        <is>
          <t>LTP101</t>
        </is>
      </c>
      <c r="C604" s="1" t="inlineStr">
        <is>
          <t>LTP Porcelain Tile Cleaner</t>
        </is>
      </c>
      <c r="D604" s="1" t="n">
        <v>9.49</v>
      </c>
      <c r="E604" s="1" t="inlineStr">
        <is>
          <t>-</t>
        </is>
      </c>
      <c r="F604" s="1" t="inlineStr">
        <is>
          <t>Qty</t>
        </is>
      </c>
      <c r="G604" s="1" t="inlineStr">
        <is>
          <t>-</t>
        </is>
      </c>
      <c r="H604" s="1" t="inlineStr">
        <is>
          <t>-</t>
        </is>
      </c>
      <c r="I604" t="n">
        <v>9.49</v>
      </c>
    </row>
    <row r="605">
      <c r="A605" s="1">
        <f>Hyperlink("https://www.tilemountain.co.uk/p/ltp-porcelain-tile-protector-pre-grout-treatment-interior-exterior-use.html","Product")</f>
        <v/>
      </c>
      <c r="B605" s="1" t="inlineStr">
        <is>
          <t>LTP391</t>
        </is>
      </c>
      <c r="C605" s="1" t="inlineStr">
        <is>
          <t>LTP Porcelain Tile Protector - Pre Grout Treatment Interior &amp; Exterior Use</t>
        </is>
      </c>
      <c r="D605" s="1" t="n">
        <v>19.95</v>
      </c>
      <c r="E605" s="1" t="inlineStr">
        <is>
          <t>-</t>
        </is>
      </c>
      <c r="F605" s="1" t="inlineStr">
        <is>
          <t>Qty</t>
        </is>
      </c>
      <c r="G605" s="1" t="inlineStr">
        <is>
          <t>-</t>
        </is>
      </c>
      <c r="H605" s="1" t="inlineStr">
        <is>
          <t>-</t>
        </is>
      </c>
      <c r="I605" t="n">
        <v>19.95</v>
      </c>
    </row>
    <row r="606">
      <c r="A606" s="1">
        <f>Hyperlink("https://www.tilemountain.co.uk/p/ltp-power-stripper-intensive-tile-cleaner.html","Product")</f>
        <v/>
      </c>
      <c r="B606" s="1" t="inlineStr">
        <is>
          <t>LTP161</t>
        </is>
      </c>
      <c r="C606" s="1" t="inlineStr">
        <is>
          <t>LTP Power Stripper Intensive Tile Cleaner</t>
        </is>
      </c>
      <c r="D606" s="1" t="n">
        <v>14.49</v>
      </c>
      <c r="E606" s="1" t="inlineStr">
        <is>
          <t>-</t>
        </is>
      </c>
      <c r="F606" s="1" t="inlineStr">
        <is>
          <t>Qty</t>
        </is>
      </c>
      <c r="G606" s="1" t="inlineStr">
        <is>
          <t>-</t>
        </is>
      </c>
      <c r="H606" s="1" t="inlineStr">
        <is>
          <t>-</t>
        </is>
      </c>
      <c r="I606" t="n">
        <v>14.49</v>
      </c>
    </row>
    <row r="607">
      <c r="A607" s="1">
        <f>Hyperlink("https://www.tilemountain.co.uk/p/ltp-rust-stain-remover-250-ml.html","Product")</f>
        <v/>
      </c>
      <c r="B607" s="1" t="inlineStr">
        <is>
          <t>LTP125</t>
        </is>
      </c>
      <c r="C607" s="1" t="inlineStr">
        <is>
          <t>LTP Rust Stain Remover (250 ml)</t>
        </is>
      </c>
      <c r="D607" s="1" t="n">
        <v>6.95</v>
      </c>
      <c r="E607" s="1" t="inlineStr">
        <is>
          <t>-</t>
        </is>
      </c>
      <c r="F607" s="1" t="inlineStr">
        <is>
          <t>Qty</t>
        </is>
      </c>
      <c r="G607" s="1" t="inlineStr">
        <is>
          <t>-</t>
        </is>
      </c>
      <c r="H607" s="1" t="inlineStr">
        <is>
          <t>-</t>
        </is>
      </c>
      <c r="I607" t="n">
        <v>6.95</v>
      </c>
    </row>
    <row r="608">
      <c r="A608" s="1">
        <f>Hyperlink("https://www.tilemountain.co.uk/p/ltp-solvex-1-litre.html","Product")</f>
        <v/>
      </c>
      <c r="B608" s="1" t="inlineStr">
        <is>
          <t>LTP241</t>
        </is>
      </c>
      <c r="C608" s="1" t="inlineStr">
        <is>
          <t>LTP Solvex (1 Litre)</t>
        </is>
      </c>
      <c r="D608" s="1" t="n">
        <v>14.99</v>
      </c>
      <c r="E608" s="1" t="inlineStr">
        <is>
          <t>-</t>
        </is>
      </c>
      <c r="F608" s="1" t="inlineStr">
        <is>
          <t>Qty</t>
        </is>
      </c>
      <c r="G608" s="1" t="inlineStr">
        <is>
          <t>-</t>
        </is>
      </c>
      <c r="H608" s="1" t="inlineStr">
        <is>
          <t>-</t>
        </is>
      </c>
      <c r="I608" t="n">
        <v>14.99</v>
      </c>
    </row>
    <row r="609">
      <c r="A609" s="1">
        <f>Hyperlink("https://www.tilemountain.co.uk/p/ltp-stonewash-500ml-spray.html","Product")</f>
        <v/>
      </c>
      <c r="B609" s="1" t="inlineStr">
        <is>
          <t>LTP22</t>
        </is>
      </c>
      <c r="C609" s="1" t="inlineStr">
        <is>
          <t>LTP Stonewash (500ml) spray</t>
        </is>
      </c>
      <c r="D609" s="1" t="n">
        <v>7.99</v>
      </c>
      <c r="E609" s="1" t="inlineStr">
        <is>
          <t>-</t>
        </is>
      </c>
      <c r="F609" s="1" t="inlineStr">
        <is>
          <t>Qty</t>
        </is>
      </c>
      <c r="G609" s="1" t="inlineStr">
        <is>
          <t>-</t>
        </is>
      </c>
      <c r="H609" s="1" t="inlineStr">
        <is>
          <t>-</t>
        </is>
      </c>
      <c r="I609" t="n">
        <v>7.99</v>
      </c>
    </row>
    <row r="610">
      <c r="A610" s="1">
        <f>Hyperlink("https://www.tilemountain.co.uk/p/lumber-beige.html","Product")</f>
        <v/>
      </c>
      <c r="B610" s="1" t="inlineStr">
        <is>
          <t>448390</t>
        </is>
      </c>
      <c r="C610" s="1" t="inlineStr">
        <is>
          <t>Reclaimed Natural Beige Oak Nailed Wood Effect Floor Tile</t>
        </is>
      </c>
      <c r="D610" s="1" t="n">
        <v>15.99</v>
      </c>
      <c r="E610" s="1" t="inlineStr">
        <is>
          <t>660x150mm</t>
        </is>
      </c>
      <c r="F610" s="1" t="inlineStr">
        <is>
          <t>m2</t>
        </is>
      </c>
      <c r="G610" s="1" t="inlineStr">
        <is>
          <t>Porcelain</t>
        </is>
      </c>
      <c r="H610" s="1" t="inlineStr">
        <is>
          <t>Matt</t>
        </is>
      </c>
      <c r="I610" t="n">
        <v>15.99</v>
      </c>
    </row>
    <row r="611">
      <c r="A611" s="1">
        <f>Hyperlink("https://www.tilemountain.co.uk/p/lumber-grey.html","Product")</f>
        <v/>
      </c>
      <c r="B611" s="1" t="inlineStr">
        <is>
          <t>448395</t>
        </is>
      </c>
      <c r="C611" s="1" t="inlineStr">
        <is>
          <t>Reclaimed Misty Grey Oak Nailed Wood Effect Floor Tile</t>
        </is>
      </c>
      <c r="D611" s="1" t="n">
        <v>15.99</v>
      </c>
      <c r="E611" s="1" t="inlineStr">
        <is>
          <t>660x150mm</t>
        </is>
      </c>
      <c r="F611" s="1" t="inlineStr">
        <is>
          <t>m2</t>
        </is>
      </c>
      <c r="G611" s="1" t="inlineStr">
        <is>
          <t>Porcelain</t>
        </is>
      </c>
      <c r="H611" s="1" t="inlineStr">
        <is>
          <t>Matt</t>
        </is>
      </c>
      <c r="I611" t="n">
        <v>15.99</v>
      </c>
    </row>
    <row r="612">
      <c r="A612" s="1">
        <f>Hyperlink("https://www.tilemountain.co.uk/p/lumber-nature.html","Product")</f>
        <v/>
      </c>
      <c r="B612" s="1" t="inlineStr">
        <is>
          <t>448400</t>
        </is>
      </c>
      <c r="C612" s="1" t="inlineStr">
        <is>
          <t>Reclaimed Dark Oak Nailed Wood Effect Floor Tile</t>
        </is>
      </c>
      <c r="D612" s="1" t="n">
        <v>15.99</v>
      </c>
      <c r="E612" s="1" t="inlineStr">
        <is>
          <t>660x150mm</t>
        </is>
      </c>
      <c r="F612" s="1" t="inlineStr">
        <is>
          <t>m2</t>
        </is>
      </c>
      <c r="G612" s="1" t="inlineStr">
        <is>
          <t>Porcelain</t>
        </is>
      </c>
      <c r="H612" s="1" t="inlineStr">
        <is>
          <t>Matt</t>
        </is>
      </c>
      <c r="I612" t="n">
        <v>15.99</v>
      </c>
    </row>
    <row r="613">
      <c r="A613" s="1">
        <f>Hyperlink("https://www.tilemountain.co.uk/p/lumber-white.html","Product")</f>
        <v/>
      </c>
      <c r="B613" s="1" t="inlineStr">
        <is>
          <t>448405</t>
        </is>
      </c>
      <c r="C613" s="1" t="inlineStr">
        <is>
          <t>Reclaimed White Oak Nailed Wood Effect Floor Tile</t>
        </is>
      </c>
      <c r="D613" s="1" t="n">
        <v>15.99</v>
      </c>
      <c r="E613" s="1" t="inlineStr">
        <is>
          <t>660x150mm</t>
        </is>
      </c>
      <c r="F613" s="1" t="inlineStr">
        <is>
          <t>m2</t>
        </is>
      </c>
      <c r="G613" s="1" t="inlineStr">
        <is>
          <t>Porcelain</t>
        </is>
      </c>
      <c r="H613" s="1" t="inlineStr">
        <is>
          <t>Matt</t>
        </is>
      </c>
      <c r="I613" t="n">
        <v>15.99</v>
      </c>
    </row>
    <row r="614">
      <c r="A614" s="1">
        <f>Hyperlink("https://www.tilemountain.co.uk/p/luminous-grey-glass-mosaic_1.html","Product")</f>
        <v/>
      </c>
      <c r="B614" s="1" t="inlineStr">
        <is>
          <t>450540</t>
        </is>
      </c>
      <c r="C614" s="1" t="inlineStr">
        <is>
          <t>Luminous Grey Glass Mosaic</t>
        </is>
      </c>
      <c r="D614" s="1" t="n">
        <v>12.99</v>
      </c>
      <c r="E614" s="1" t="inlineStr">
        <is>
          <t>300x300mm</t>
        </is>
      </c>
      <c r="F614" s="1" t="inlineStr">
        <is>
          <t>sheet</t>
        </is>
      </c>
      <c r="G614" s="1" t="inlineStr">
        <is>
          <t>Glass</t>
        </is>
      </c>
      <c r="H614" s="1" t="inlineStr">
        <is>
          <t>Gloss</t>
        </is>
      </c>
      <c r="I614" t="n">
        <v>12.99</v>
      </c>
    </row>
    <row r="615">
      <c r="A615" s="1">
        <f>Hyperlink("https://www.tilemountain.co.uk/p/luminous-white-glass-mosaic.html","Product")</f>
        <v/>
      </c>
      <c r="B615" s="1" t="inlineStr">
        <is>
          <t>450535</t>
        </is>
      </c>
      <c r="C615" s="1" t="inlineStr">
        <is>
          <t>Luminous White Glass Mosaic</t>
        </is>
      </c>
      <c r="D615" s="1" t="n">
        <v>12.99</v>
      </c>
      <c r="E615" s="1" t="inlineStr">
        <is>
          <t>300x300mm</t>
        </is>
      </c>
      <c r="F615" s="1" t="inlineStr">
        <is>
          <t>sheet</t>
        </is>
      </c>
      <c r="G615" s="1" t="inlineStr">
        <is>
          <t>Glass</t>
        </is>
      </c>
      <c r="H615" s="1" t="inlineStr">
        <is>
          <t>Gloss</t>
        </is>
      </c>
      <c r="I615" t="n">
        <v>12.99</v>
      </c>
    </row>
    <row r="616">
      <c r="A616" s="1">
        <f>Hyperlink("https://www.tilemountain.co.uk/p/luna-ash-outdoor-matt-porcelain-slab-tile.html","Product")</f>
        <v/>
      </c>
      <c r="B616" s="1" t="inlineStr">
        <is>
          <t>442890</t>
        </is>
      </c>
      <c r="C616" s="1" t="inlineStr">
        <is>
          <t>Luna Ash Outdoor Matt Porcelain Slab Tiles</t>
        </is>
      </c>
      <c r="D616" s="1" t="n">
        <v>30.99</v>
      </c>
      <c r="E616" s="1" t="inlineStr">
        <is>
          <t>600x600mm</t>
        </is>
      </c>
      <c r="F616" s="1" t="inlineStr">
        <is>
          <t>m2</t>
        </is>
      </c>
      <c r="G616" s="1" t="inlineStr">
        <is>
          <t>Porcelain</t>
        </is>
      </c>
      <c r="H616" s="1" t="inlineStr">
        <is>
          <t>Matt</t>
        </is>
      </c>
      <c r="I616" t="n">
        <v>30.99</v>
      </c>
    </row>
    <row r="617">
      <c r="A617" s="1">
        <f>Hyperlink("https://www.tilemountain.co.uk/p/luna-mid-grey-outdoor-matt-porcelain-slab-tile.html","Product")</f>
        <v/>
      </c>
      <c r="B617" s="1" t="inlineStr">
        <is>
          <t>442900</t>
        </is>
      </c>
      <c r="C617" s="1" t="inlineStr">
        <is>
          <t>Luna Mid Grey Outdoor Matt Porcelain Slab Tiles</t>
        </is>
      </c>
      <c r="D617" s="1" t="n">
        <v>30.99</v>
      </c>
      <c r="E617" s="1" t="inlineStr">
        <is>
          <t>600x600mm</t>
        </is>
      </c>
      <c r="F617" s="1" t="inlineStr">
        <is>
          <t>m2</t>
        </is>
      </c>
      <c r="G617" s="1" t="inlineStr">
        <is>
          <t>Porcelain</t>
        </is>
      </c>
      <c r="H617" s="1" t="inlineStr">
        <is>
          <t>Matt</t>
        </is>
      </c>
      <c r="I617" t="n">
        <v>30.99</v>
      </c>
    </row>
    <row r="618">
      <c r="A618" s="1">
        <f>Hyperlink("https://www.tilemountain.co.uk/p/lyric-grey-matt-wall-tile.html","Product")</f>
        <v/>
      </c>
      <c r="B618" s="1" t="inlineStr">
        <is>
          <t>448880</t>
        </is>
      </c>
      <c r="C618" s="1" t="inlineStr">
        <is>
          <t>Lyric Grey Matt Wall Tile</t>
        </is>
      </c>
      <c r="D618" s="1" t="n">
        <v>9.99</v>
      </c>
      <c r="E618" s="1" t="inlineStr">
        <is>
          <t>550x330mm</t>
        </is>
      </c>
      <c r="F618" s="1" t="inlineStr">
        <is>
          <t>m2</t>
        </is>
      </c>
      <c r="G618" s="1" t="inlineStr">
        <is>
          <t>Ceramic</t>
        </is>
      </c>
      <c r="H618" s="1" t="inlineStr">
        <is>
          <t>Matt</t>
        </is>
      </c>
      <c r="I618" t="n">
        <v>9.99</v>
      </c>
    </row>
    <row r="619">
      <c r="A619" s="1">
        <f>Hyperlink("https://www.tilemountain.co.uk/p/lyric-perla-matt-wall-tile.html","Product")</f>
        <v/>
      </c>
      <c r="B619" s="1" t="inlineStr">
        <is>
          <t>448875</t>
        </is>
      </c>
      <c r="C619" s="1" t="inlineStr">
        <is>
          <t>Lyric Perla Matt Wall Tile</t>
        </is>
      </c>
      <c r="D619" s="1" t="n">
        <v>9.99</v>
      </c>
      <c r="E619" s="1" t="inlineStr">
        <is>
          <t>550x330mm</t>
        </is>
      </c>
      <c r="F619" s="1" t="inlineStr">
        <is>
          <t>m2</t>
        </is>
      </c>
      <c r="G619" s="1" t="inlineStr">
        <is>
          <t>Ceramic</t>
        </is>
      </c>
      <c r="H619" s="1" t="inlineStr">
        <is>
          <t>Matt</t>
        </is>
      </c>
      <c r="I619" t="n">
        <v>9.99</v>
      </c>
    </row>
    <row r="620">
      <c r="A620" s="1">
        <f>Hyperlink("https://www.tilemountain.co.uk/p/lyric-relieve-grey-split-face-effect-wall-tile.html","Product")</f>
        <v/>
      </c>
      <c r="B620" s="1" t="inlineStr">
        <is>
          <t>448885</t>
        </is>
      </c>
      <c r="C620" s="1" t="inlineStr">
        <is>
          <t>Lyric Relieve Grey Split Face Effect Wall Tile</t>
        </is>
      </c>
      <c r="D620" s="1" t="n">
        <v>11.99</v>
      </c>
      <c r="E620" s="1" t="inlineStr">
        <is>
          <t>550x330mm</t>
        </is>
      </c>
      <c r="F620" s="1" t="inlineStr">
        <is>
          <t>m2</t>
        </is>
      </c>
      <c r="G620" s="1" t="inlineStr">
        <is>
          <t>Ceramic</t>
        </is>
      </c>
      <c r="H620" s="1" t="inlineStr">
        <is>
          <t>Matt</t>
        </is>
      </c>
      <c r="I620" t="n">
        <v>11.99</v>
      </c>
    </row>
    <row r="621">
      <c r="A621" s="1">
        <f>Hyperlink("https://www.tilemountain.co.uk/p/lyric-relieve-sand-split-face-effect-wall-tile.html","Product")</f>
        <v/>
      </c>
      <c r="B621" s="1" t="inlineStr">
        <is>
          <t>448895</t>
        </is>
      </c>
      <c r="C621" s="1" t="inlineStr">
        <is>
          <t>Lyric Relieve Sand Split Face Effect Wall Tile</t>
        </is>
      </c>
      <c r="D621" s="1" t="n">
        <v>11.99</v>
      </c>
      <c r="E621" s="1" t="inlineStr">
        <is>
          <t>550x330mm</t>
        </is>
      </c>
      <c r="F621" s="1" t="inlineStr">
        <is>
          <t>m2</t>
        </is>
      </c>
      <c r="G621" s="1" t="inlineStr">
        <is>
          <t>Ceramic</t>
        </is>
      </c>
      <c r="H621" s="1" t="inlineStr">
        <is>
          <t>Matt</t>
        </is>
      </c>
      <c r="I621" t="n">
        <v>11.99</v>
      </c>
    </row>
    <row r="622">
      <c r="A622" s="1">
        <f>Hyperlink("https://www.tilemountain.co.uk/p/lyric-sand-matt-wall-tile.html","Product")</f>
        <v/>
      </c>
      <c r="B622" s="1" t="inlineStr">
        <is>
          <t>448890</t>
        </is>
      </c>
      <c r="C622" s="1" t="inlineStr">
        <is>
          <t>Lyric Sand Matt Wall Tile</t>
        </is>
      </c>
      <c r="D622" s="1" t="n">
        <v>9.99</v>
      </c>
      <c r="E622" s="1" t="inlineStr">
        <is>
          <t>550x330mm</t>
        </is>
      </c>
      <c r="F622" s="1" t="inlineStr">
        <is>
          <t>m2</t>
        </is>
      </c>
      <c r="G622" s="1" t="inlineStr">
        <is>
          <t>Ceramic</t>
        </is>
      </c>
      <c r="H622" s="1" t="inlineStr">
        <is>
          <t>Matt</t>
        </is>
      </c>
      <c r="I622" t="n">
        <v>9.99</v>
      </c>
    </row>
    <row r="623">
      <c r="A623" s="1">
        <f>Hyperlink("https://www.tilemountain.co.uk/p/maddox-antracita-indoor-out-porcelain-floor-tile_1.html","Product")</f>
        <v/>
      </c>
      <c r="B623" s="1" t="inlineStr">
        <is>
          <t>449300</t>
        </is>
      </c>
      <c r="C623" s="1" t="inlineStr">
        <is>
          <t>Maddox Dark Grey Indoor/Out Porcelain Floor Tile</t>
        </is>
      </c>
      <c r="D623" s="1" t="n">
        <v>14.99</v>
      </c>
      <c r="E623" s="1" t="inlineStr">
        <is>
          <t>605x605mm</t>
        </is>
      </c>
      <c r="F623" s="1" t="inlineStr">
        <is>
          <t>m2</t>
        </is>
      </c>
      <c r="G623" s="1" t="inlineStr">
        <is>
          <t>Porcelain</t>
        </is>
      </c>
      <c r="H623" s="1" t="inlineStr">
        <is>
          <t>Matt</t>
        </is>
      </c>
      <c r="I623" t="n">
        <v>14.99</v>
      </c>
    </row>
    <row r="624">
      <c r="A624" s="1">
        <f>Hyperlink("https://www.tilemountain.co.uk/p/maddox-blanco-indoor-out-porcelain-floor-tile_1.html","Product")</f>
        <v/>
      </c>
      <c r="B624" s="1" t="inlineStr">
        <is>
          <t>449290</t>
        </is>
      </c>
      <c r="C624" s="1" t="inlineStr">
        <is>
          <t>Maddox Light Grey Indoor/Out Porcelain Floor Tile</t>
        </is>
      </c>
      <c r="D624" s="1" t="n">
        <v>14.99</v>
      </c>
      <c r="E624" s="1" t="inlineStr">
        <is>
          <t>605x605mm</t>
        </is>
      </c>
      <c r="F624" s="1" t="inlineStr">
        <is>
          <t>m2</t>
        </is>
      </c>
      <c r="G624" s="1" t="inlineStr">
        <is>
          <t>Porcelain</t>
        </is>
      </c>
      <c r="H624" s="1" t="inlineStr">
        <is>
          <t>Matt</t>
        </is>
      </c>
      <c r="I624" t="n">
        <v>14.99</v>
      </c>
    </row>
    <row r="625">
      <c r="A625" s="1">
        <f>Hyperlink("https://www.tilemountain.co.uk/p/maddox-grey-indoor-out-porcelain-floor-tile_1.html","Product")</f>
        <v/>
      </c>
      <c r="B625" s="1" t="inlineStr">
        <is>
          <t>449295</t>
        </is>
      </c>
      <c r="C625" s="1" t="inlineStr">
        <is>
          <t>Maddox Grey Indoor/Out Porcelain Floor Tile</t>
        </is>
      </c>
      <c r="D625" s="1" t="n">
        <v>14.99</v>
      </c>
      <c r="E625" s="1" t="inlineStr">
        <is>
          <t>605x605mm</t>
        </is>
      </c>
      <c r="F625" s="1" t="inlineStr">
        <is>
          <t>m2</t>
        </is>
      </c>
      <c r="G625" s="1" t="inlineStr">
        <is>
          <t>Porcelain</t>
        </is>
      </c>
      <c r="H625" s="1" t="inlineStr">
        <is>
          <t>Matt</t>
        </is>
      </c>
      <c r="I625" t="n">
        <v>14.99</v>
      </c>
    </row>
    <row r="626">
      <c r="A626" s="1">
        <f>Hyperlink("https://www.tilemountain.co.uk/p/maddox-grey-porcelain-floor-tile.html","Product")</f>
        <v/>
      </c>
      <c r="B626" s="1" t="inlineStr">
        <is>
          <t>448700</t>
        </is>
      </c>
      <c r="C626" s="1" t="inlineStr">
        <is>
          <t>Maddox Grey Porcelain Floor Tile</t>
        </is>
      </c>
      <c r="D626" s="1" t="n">
        <v>18.99</v>
      </c>
      <c r="E626" s="1" t="inlineStr">
        <is>
          <t>750x750mm</t>
        </is>
      </c>
      <c r="F626" s="1" t="inlineStr">
        <is>
          <t>m2</t>
        </is>
      </c>
      <c r="G626" s="1" t="inlineStr">
        <is>
          <t>Porcelain</t>
        </is>
      </c>
      <c r="H626" s="1" t="inlineStr">
        <is>
          <t>Matt</t>
        </is>
      </c>
      <c r="I626" t="n">
        <v>18.99</v>
      </c>
    </row>
    <row r="627">
      <c r="A627" s="1">
        <f>Hyperlink("https://www.tilemountain.co.uk/p/maddox-light-grey-porcelain-floor-tile.html","Product")</f>
        <v/>
      </c>
      <c r="B627" s="1" t="inlineStr">
        <is>
          <t>448695</t>
        </is>
      </c>
      <c r="C627" s="1" t="inlineStr">
        <is>
          <t>Maddox Light Grey Porcelain Floor Tile</t>
        </is>
      </c>
      <c r="D627" s="1" t="n">
        <v>18.99</v>
      </c>
      <c r="E627" s="1" t="inlineStr">
        <is>
          <t>750x750mm</t>
        </is>
      </c>
      <c r="F627" s="1" t="inlineStr">
        <is>
          <t>m2</t>
        </is>
      </c>
      <c r="G627" s="1" t="inlineStr">
        <is>
          <t>Porcelain</t>
        </is>
      </c>
      <c r="H627" s="1" t="inlineStr">
        <is>
          <t>Matt</t>
        </is>
      </c>
      <c r="I627" t="n">
        <v>18.99</v>
      </c>
    </row>
    <row r="628">
      <c r="A628" s="1">
        <f>Hyperlink("https://www.tilemountain.co.uk/p/madison-oak-3822.html","Product")</f>
        <v/>
      </c>
      <c r="B628" s="1" t="inlineStr">
        <is>
          <t>445340</t>
        </is>
      </c>
      <c r="C628" s="1" t="inlineStr">
        <is>
          <t>Madison Oak Luxury Vinyl Tiles</t>
        </is>
      </c>
      <c r="D628" s="1" t="n">
        <v>20.99</v>
      </c>
      <c r="E628" s="1" t="inlineStr">
        <is>
          <t>1316x191x4mm</t>
        </is>
      </c>
      <c r="F628" s="1" t="inlineStr">
        <is>
          <t>m2</t>
        </is>
      </c>
      <c r="G628" s="1" t="inlineStr">
        <is>
          <t>LVT</t>
        </is>
      </c>
      <c r="H628" s="1" t="inlineStr">
        <is>
          <t>Matt</t>
        </is>
      </c>
      <c r="I628" t="n">
        <v>20.99</v>
      </c>
    </row>
    <row r="629">
      <c r="A629" s="1">
        <f>Hyperlink("https://www.tilemountain.co.uk/p/mapeglitter-blue-100g.html","Product")</f>
        <v/>
      </c>
      <c r="B629" s="1" t="inlineStr">
        <is>
          <t>4593860</t>
        </is>
      </c>
      <c r="C629" s="1" t="inlineStr">
        <is>
          <t>Mapeglitter Blue 100g</t>
        </is>
      </c>
      <c r="D629" s="1" t="n">
        <v>9.99</v>
      </c>
      <c r="E629" s="1" t="inlineStr">
        <is>
          <t>-</t>
        </is>
      </c>
      <c r="F629" s="1" t="inlineStr">
        <is>
          <t>Qty</t>
        </is>
      </c>
      <c r="G629" s="1" t="inlineStr">
        <is>
          <t>-</t>
        </is>
      </c>
      <c r="H629" s="1" t="inlineStr">
        <is>
          <t>-</t>
        </is>
      </c>
      <c r="I629" t="n">
        <v>9.99</v>
      </c>
    </row>
    <row r="630">
      <c r="A630" s="1">
        <f>Hyperlink("https://www.tilemountain.co.uk/p/mapeglitter-copper-100g.html","Product")</f>
        <v/>
      </c>
      <c r="B630" s="1" t="inlineStr">
        <is>
          <t>4595560</t>
        </is>
      </c>
      <c r="C630" s="1" t="inlineStr">
        <is>
          <t>Mapeglitter Copper 100g</t>
        </is>
      </c>
      <c r="D630" s="1" t="n">
        <v>10.99</v>
      </c>
      <c r="E630" s="1" t="inlineStr">
        <is>
          <t>-</t>
        </is>
      </c>
      <c r="F630" s="1" t="inlineStr">
        <is>
          <t>Qty</t>
        </is>
      </c>
      <c r="G630" s="1" t="inlineStr">
        <is>
          <t>-</t>
        </is>
      </c>
      <c r="H630" s="1" t="inlineStr">
        <is>
          <t>-</t>
        </is>
      </c>
      <c r="I630" t="n">
        <v>10.99</v>
      </c>
    </row>
    <row r="631">
      <c r="A631" s="1">
        <f>Hyperlink("https://www.tilemountain.co.uk/p/mapeglitter-purple-100g.html","Product")</f>
        <v/>
      </c>
      <c r="B631" s="1" t="inlineStr">
        <is>
          <t>4594260</t>
        </is>
      </c>
      <c r="C631" s="1" t="inlineStr">
        <is>
          <t>Mapeglitter Purple 100g</t>
        </is>
      </c>
      <c r="D631" s="1" t="n">
        <v>9.99</v>
      </c>
      <c r="E631" s="1" t="inlineStr">
        <is>
          <t>-</t>
        </is>
      </c>
      <c r="F631" s="1" t="inlineStr">
        <is>
          <t>Qty</t>
        </is>
      </c>
      <c r="G631" s="1" t="inlineStr">
        <is>
          <t>-</t>
        </is>
      </c>
      <c r="H631" s="1" t="inlineStr">
        <is>
          <t>-</t>
        </is>
      </c>
      <c r="I631" t="n">
        <v>9.99</v>
      </c>
    </row>
    <row r="632">
      <c r="A632" s="1">
        <f>Hyperlink("https://www.tilemountain.co.uk/p/mapeglitter-red-100g.html","Product")</f>
        <v/>
      </c>
      <c r="B632" s="1" t="inlineStr">
        <is>
          <t>4594960</t>
        </is>
      </c>
      <c r="C632" s="1" t="inlineStr">
        <is>
          <t>Mapeglitter Red 100g</t>
        </is>
      </c>
      <c r="D632" s="1" t="n">
        <v>9.99</v>
      </c>
      <c r="E632" s="1" t="inlineStr">
        <is>
          <t>-</t>
        </is>
      </c>
      <c r="F632" s="1" t="inlineStr">
        <is>
          <t>Qty</t>
        </is>
      </c>
      <c r="G632" s="1" t="inlineStr">
        <is>
          <t>-</t>
        </is>
      </c>
      <c r="H632" s="1" t="inlineStr">
        <is>
          <t>-</t>
        </is>
      </c>
      <c r="I632" t="n">
        <v>9.99</v>
      </c>
    </row>
    <row r="633">
      <c r="A633" s="1">
        <f>Hyperlink("https://www.tilemountain.co.uk/p/mapeglitter-silver-100g.html","Product")</f>
        <v/>
      </c>
      <c r="B633" s="1" t="inlineStr">
        <is>
          <t>4595251</t>
        </is>
      </c>
      <c r="C633" s="1" t="inlineStr">
        <is>
          <t>Mapeglitter Silver 100g</t>
        </is>
      </c>
      <c r="D633" s="1" t="n">
        <v>10.99</v>
      </c>
      <c r="E633" s="1" t="inlineStr">
        <is>
          <t>100g</t>
        </is>
      </c>
      <c r="F633" s="1" t="inlineStr">
        <is>
          <t>Qty</t>
        </is>
      </c>
      <c r="G633" s="1" t="inlineStr">
        <is>
          <t>-</t>
        </is>
      </c>
      <c r="H633" s="1" t="inlineStr">
        <is>
          <t>-</t>
        </is>
      </c>
      <c r="I633" t="n">
        <v>10.99</v>
      </c>
    </row>
    <row r="634">
      <c r="A634" s="1">
        <f>Hyperlink("https://www.tilemountain.co.uk/p/mapegrip-d2-ready-mix-adhesive-15kg-pallet-deal-48-tubs.html","Product")</f>
        <v/>
      </c>
      <c r="B634" s="1" t="inlineStr">
        <is>
          <t>011715-pd</t>
        </is>
      </c>
      <c r="C634" s="1" t="inlineStr">
        <is>
          <t>Mapegrip D2 Ready Mix Adhesive 15kg Pallet Deal- 48 Tubs</t>
        </is>
      </c>
      <c r="D634" s="1" t="n">
        <v>729.99</v>
      </c>
      <c r="E634" s="1" t="inlineStr">
        <is>
          <t>PALLET</t>
        </is>
      </c>
      <c r="F634" s="1" t="inlineStr">
        <is>
          <t>Qty</t>
        </is>
      </c>
      <c r="G634" s="1" t="inlineStr">
        <is>
          <t>-</t>
        </is>
      </c>
      <c r="H634" s="1" t="inlineStr">
        <is>
          <t>-</t>
        </is>
      </c>
      <c r="I634" t="n">
        <v>729.99</v>
      </c>
    </row>
    <row r="635">
      <c r="A635" s="1">
        <f>Hyperlink("https://www.tilemountain.co.uk/p/mapegrip-d2-ready-mix-adhesive-15kg.html","Product")</f>
        <v/>
      </c>
      <c r="B635" s="1" t="inlineStr">
        <is>
          <t>011715</t>
        </is>
      </c>
      <c r="C635" s="1" t="inlineStr">
        <is>
          <t>Mapegrip D2 Ready Mix Adhesive 15kg</t>
        </is>
      </c>
      <c r="D635" s="1" t="n">
        <v>17.99</v>
      </c>
      <c r="E635" s="1" t="inlineStr">
        <is>
          <t>-</t>
        </is>
      </c>
      <c r="F635" s="1" t="inlineStr">
        <is>
          <t>Qty</t>
        </is>
      </c>
      <c r="G635" s="1" t="inlineStr">
        <is>
          <t>-</t>
        </is>
      </c>
      <c r="H635" s="1" t="inlineStr">
        <is>
          <t>-</t>
        </is>
      </c>
      <c r="I635" t="n">
        <v>17.99</v>
      </c>
    </row>
    <row r="636">
      <c r="A636" s="1">
        <f>Hyperlink("https://www.tilemountain.co.uk/p/mapei-ceramic-and-quarry-wall-and-floor-adhesive-20kg.html","Product")</f>
        <v/>
      </c>
      <c r="B636" s="1" t="inlineStr">
        <is>
          <t>436525</t>
        </is>
      </c>
      <c r="C636" s="1" t="inlineStr">
        <is>
          <t>Mapei Ceramic and Quarry Wall and Floor Adhesive 20kg</t>
        </is>
      </c>
      <c r="D636" s="1" t="n">
        <v>9.99</v>
      </c>
      <c r="E636" s="1" t="inlineStr">
        <is>
          <t>-</t>
        </is>
      </c>
      <c r="F636" s="1" t="inlineStr">
        <is>
          <t>Qty</t>
        </is>
      </c>
      <c r="G636" s="1" t="inlineStr">
        <is>
          <t>-</t>
        </is>
      </c>
      <c r="H636" s="1" t="inlineStr">
        <is>
          <t>-</t>
        </is>
      </c>
      <c r="I636" t="n">
        <v>9.99</v>
      </c>
    </row>
    <row r="637">
      <c r="A637" s="1">
        <f>Hyperlink("https://www.tilemountain.co.uk/p/mapei-mixing-bucket-10-litre.html","Product")</f>
        <v/>
      </c>
      <c r="B637" s="1" t="inlineStr">
        <is>
          <t>MK795101</t>
        </is>
      </c>
      <c r="C637" s="1" t="inlineStr">
        <is>
          <t>Mapei Mixing Bucket 10 litre</t>
        </is>
      </c>
      <c r="D637" s="1" t="n">
        <v>5.49</v>
      </c>
      <c r="E637" s="1" t="inlineStr">
        <is>
          <t>-</t>
        </is>
      </c>
      <c r="F637" s="1" t="inlineStr">
        <is>
          <t>Qty</t>
        </is>
      </c>
      <c r="G637" s="1" t="inlineStr">
        <is>
          <t>-</t>
        </is>
      </c>
      <c r="H637" s="1" t="inlineStr">
        <is>
          <t>-</t>
        </is>
      </c>
      <c r="I637" t="n">
        <v>5.49</v>
      </c>
    </row>
    <row r="638">
      <c r="A638" s="1">
        <f>Hyperlink("https://www.tilemountain.co.uk/p/mapei-mixing-bucket-25-litre.html","Product")</f>
        <v/>
      </c>
      <c r="B638" s="1" t="inlineStr">
        <is>
          <t>MK795102</t>
        </is>
      </c>
      <c r="C638" s="1" t="inlineStr">
        <is>
          <t>Mapei Mixing Bucket 25 Litre</t>
        </is>
      </c>
      <c r="D638" s="1" t="n">
        <v>9.49</v>
      </c>
      <c r="E638" s="1" t="inlineStr">
        <is>
          <t>-</t>
        </is>
      </c>
      <c r="F638" s="1" t="inlineStr">
        <is>
          <t>Qty</t>
        </is>
      </c>
      <c r="G638" s="1" t="inlineStr">
        <is>
          <t>-</t>
        </is>
      </c>
      <c r="H638" s="1" t="inlineStr">
        <is>
          <t>-</t>
        </is>
      </c>
      <c r="I638" t="n">
        <v>9.49</v>
      </c>
    </row>
    <row r="639">
      <c r="A639" s="1">
        <f>Hyperlink("https://www.tilemountain.co.uk/p/mapei-shower-waterproofing-kit.html","Product")</f>
        <v/>
      </c>
      <c r="B639" s="1" t="inlineStr">
        <is>
          <t>1248KITUK</t>
        </is>
      </c>
      <c r="C639" s="1" t="inlineStr">
        <is>
          <t>Mapei Shower Waterproofing Kit</t>
        </is>
      </c>
      <c r="D639" s="1" t="n">
        <v>50.99</v>
      </c>
      <c r="E639" s="1" t="inlineStr">
        <is>
          <t>-</t>
        </is>
      </c>
      <c r="F639" s="1" t="inlineStr">
        <is>
          <t>Qty</t>
        </is>
      </c>
      <c r="G639" s="1" t="inlineStr">
        <is>
          <t>-</t>
        </is>
      </c>
      <c r="H639" s="1" t="inlineStr">
        <is>
          <t>-</t>
        </is>
      </c>
      <c r="I639" t="n">
        <v>50.99</v>
      </c>
    </row>
    <row r="640">
      <c r="A640" s="1">
        <f>Hyperlink("https://www.tilemountain.co.uk/p/mapeker-rapid-set-flex-grey-adhesive-20kg-pallet-deal-48-bags.html","Product")</f>
        <v/>
      </c>
      <c r="B640" s="1" t="inlineStr">
        <is>
          <t>012320-pd</t>
        </is>
      </c>
      <c r="C640" s="1" t="inlineStr">
        <is>
          <t>Mapeker Grey Rapid-Set Flex Adhesive 20kg Pallet Deal-48 Bags</t>
        </is>
      </c>
      <c r="D640" s="1" t="n">
        <v>599.52</v>
      </c>
      <c r="E640" s="1" t="inlineStr">
        <is>
          <t>PALLET</t>
        </is>
      </c>
      <c r="F640" s="1" t="inlineStr">
        <is>
          <t>Qty</t>
        </is>
      </c>
      <c r="G640" s="1" t="inlineStr">
        <is>
          <t>-</t>
        </is>
      </c>
      <c r="H640" s="1" t="inlineStr">
        <is>
          <t>-</t>
        </is>
      </c>
      <c r="I640" t="n">
        <v>599.52</v>
      </c>
    </row>
    <row r="641">
      <c r="A641" s="1">
        <f>Hyperlink("https://www.tilemountain.co.uk/p/mapeker-rapid-set-flex-grey-adhesive-20kg.html","Product")</f>
        <v/>
      </c>
      <c r="B641" s="1" t="inlineStr">
        <is>
          <t>012320</t>
        </is>
      </c>
      <c r="C641" s="1" t="inlineStr">
        <is>
          <t>Mapeker Grey Rapid-Set Flex Adhesive 20kg</t>
        </is>
      </c>
      <c r="D641" s="1" t="n">
        <v>17.99</v>
      </c>
      <c r="E641" s="1" t="inlineStr">
        <is>
          <t>20kg</t>
        </is>
      </c>
      <c r="F641" s="1" t="inlineStr">
        <is>
          <t>Qty</t>
        </is>
      </c>
      <c r="G641" s="1" t="inlineStr">
        <is>
          <t>-</t>
        </is>
      </c>
      <c r="H641" s="1" t="inlineStr">
        <is>
          <t>-</t>
        </is>
      </c>
      <c r="I641" t="n">
        <v>17.99</v>
      </c>
    </row>
    <row r="642">
      <c r="A642" s="1">
        <f>Hyperlink("https://www.tilemountain.co.uk/p/mapesil-ac-anthracite-114-silicone-sealant-310ml.html","Product")</f>
        <v/>
      </c>
      <c r="B642" s="1" t="inlineStr">
        <is>
          <t>4811491</t>
        </is>
      </c>
      <c r="C642" s="1" t="inlineStr">
        <is>
          <t>Mapesil AC Anthracite 114 Silicone Sealant 310ml</t>
        </is>
      </c>
      <c r="D642" s="1" t="n">
        <v>8.49</v>
      </c>
      <c r="E642" s="1" t="inlineStr">
        <is>
          <t>-</t>
        </is>
      </c>
      <c r="F642" s="1" t="inlineStr">
        <is>
          <t>Qty</t>
        </is>
      </c>
      <c r="G642" s="1" t="inlineStr">
        <is>
          <t>-</t>
        </is>
      </c>
      <c r="H642" s="1" t="inlineStr">
        <is>
          <t>-</t>
        </is>
      </c>
      <c r="I642" t="n">
        <v>8.49</v>
      </c>
    </row>
    <row r="643">
      <c r="A643" s="1">
        <f>Hyperlink("https://www.tilemountain.co.uk/p/mapesil-ac-beige-132-silicone-sealant-310ml.html","Product")</f>
        <v/>
      </c>
      <c r="B643" s="1" t="inlineStr">
        <is>
          <t>4813291</t>
        </is>
      </c>
      <c r="C643" s="1" t="inlineStr">
        <is>
          <t>Mapesil AC Beige 132 Silicone Sealant 310ml</t>
        </is>
      </c>
      <c r="D643" s="1" t="n">
        <v>8.49</v>
      </c>
      <c r="E643" s="1" t="inlineStr">
        <is>
          <t>-</t>
        </is>
      </c>
      <c r="F643" s="1" t="inlineStr">
        <is>
          <t>Qty</t>
        </is>
      </c>
      <c r="G643" s="1" t="inlineStr">
        <is>
          <t>-</t>
        </is>
      </c>
      <c r="H643" s="1" t="inlineStr">
        <is>
          <t>-</t>
        </is>
      </c>
      <c r="I643" t="n">
        <v>8.49</v>
      </c>
    </row>
    <row r="644">
      <c r="A644" s="1">
        <f>Hyperlink("https://www.tilemountain.co.uk/p/mapesil-ac-black-120-silicone-sealant-310ml.html","Product")</f>
        <v/>
      </c>
      <c r="B644" s="1" t="inlineStr">
        <is>
          <t>4812091</t>
        </is>
      </c>
      <c r="C644" s="1" t="inlineStr">
        <is>
          <t>Mapesil AC Black 120 Silicone Sealant 310ml</t>
        </is>
      </c>
      <c r="D644" s="1" t="n">
        <v>8.49</v>
      </c>
      <c r="E644" s="1" t="inlineStr">
        <is>
          <t>-</t>
        </is>
      </c>
      <c r="F644" s="1" t="inlineStr">
        <is>
          <t>Qty</t>
        </is>
      </c>
      <c r="G644" s="1" t="inlineStr">
        <is>
          <t>-</t>
        </is>
      </c>
      <c r="H644" s="1" t="inlineStr">
        <is>
          <t>-</t>
        </is>
      </c>
      <c r="I644" t="n">
        <v>8.49</v>
      </c>
    </row>
    <row r="645">
      <c r="A645" s="1">
        <f>Hyperlink("https://www.tilemountain.co.uk/p/mapesil-ac-brown-silicone-sealant-310ml.html","Product")</f>
        <v/>
      </c>
      <c r="B645" s="1" t="inlineStr">
        <is>
          <t>4814291</t>
        </is>
      </c>
      <c r="C645" s="1" t="inlineStr">
        <is>
          <t>Mapesil AC Brown (142) Silicone Sealant 310ml</t>
        </is>
      </c>
      <c r="D645" s="1" t="n">
        <v>8.49</v>
      </c>
      <c r="E645" s="1" t="inlineStr">
        <is>
          <t>-</t>
        </is>
      </c>
      <c r="F645" s="1" t="inlineStr">
        <is>
          <t>Qty</t>
        </is>
      </c>
      <c r="G645" s="1" t="inlineStr">
        <is>
          <t>-</t>
        </is>
      </c>
      <c r="H645" s="1" t="inlineStr">
        <is>
          <t>-</t>
        </is>
      </c>
      <c r="I645" t="n">
        <v>8.49</v>
      </c>
    </row>
    <row r="646">
      <c r="A646" s="1">
        <f>Hyperlink("https://www.tilemountain.co.uk/p/mapesil-ac-caribbean-137-310ml.html","Product")</f>
        <v/>
      </c>
      <c r="B646" s="1" t="inlineStr">
        <is>
          <t>4813791IT</t>
        </is>
      </c>
      <c r="C646" s="1" t="inlineStr">
        <is>
          <t>Mapesil AC Caribbean 137 310ml</t>
        </is>
      </c>
      <c r="D646" s="1" t="n">
        <v>8.49</v>
      </c>
      <c r="E646" s="1" t="inlineStr">
        <is>
          <t>-</t>
        </is>
      </c>
      <c r="F646" s="1" t="inlineStr">
        <is>
          <t>Qty</t>
        </is>
      </c>
      <c r="G646" s="1" t="inlineStr">
        <is>
          <t>-</t>
        </is>
      </c>
      <c r="H646" s="1" t="inlineStr">
        <is>
          <t>-</t>
        </is>
      </c>
      <c r="I646" t="n">
        <v>8.49</v>
      </c>
    </row>
    <row r="647">
      <c r="A647" s="1">
        <f>Hyperlink("https://www.tilemountain.co.uk/p/mapesil-ac-cement-grey-113-silicone-sealant-310ml.html","Product")</f>
        <v/>
      </c>
      <c r="B647" s="1" t="inlineStr">
        <is>
          <t>4811391</t>
        </is>
      </c>
      <c r="C647" s="1" t="inlineStr">
        <is>
          <t>Mapesil AC Cement Grey 113 Silicone Sealant 310ml</t>
        </is>
      </c>
      <c r="D647" s="1" t="n">
        <v>8.49</v>
      </c>
      <c r="E647" s="1" t="inlineStr">
        <is>
          <t>-</t>
        </is>
      </c>
      <c r="F647" s="1" t="inlineStr">
        <is>
          <t>Qty</t>
        </is>
      </c>
      <c r="G647" s="1" t="inlineStr">
        <is>
          <t>-</t>
        </is>
      </c>
      <c r="H647" s="1" t="inlineStr">
        <is>
          <t>-</t>
        </is>
      </c>
      <c r="I647" t="n">
        <v>8.49</v>
      </c>
    </row>
    <row r="648">
      <c r="A648" s="1">
        <f>Hyperlink("https://www.tilemountain.co.uk/p/mapesil-ac-clear-silicone-sealant-310ml.html","Product")</f>
        <v/>
      </c>
      <c r="B648" s="1" t="inlineStr">
        <is>
          <t>4811492</t>
        </is>
      </c>
      <c r="C648" s="1" t="inlineStr">
        <is>
          <t>Mapesil AC Clear Silicone Sealant 310ml</t>
        </is>
      </c>
      <c r="D648" s="1" t="n">
        <v>8.49</v>
      </c>
      <c r="E648" s="1" t="inlineStr">
        <is>
          <t>-</t>
        </is>
      </c>
      <c r="F648" s="1" t="inlineStr">
        <is>
          <t>Qty</t>
        </is>
      </c>
      <c r="G648" s="1" t="inlineStr">
        <is>
          <t>-</t>
        </is>
      </c>
      <c r="H648" s="1" t="inlineStr">
        <is>
          <t>-</t>
        </is>
      </c>
      <c r="I648" t="n">
        <v>8.49</v>
      </c>
    </row>
    <row r="649">
      <c r="A649" s="1">
        <f>Hyperlink("https://www.tilemountain.co.uk/p/mapesil-ac-jasmine-130-silicone-sealant-310ml.html","Product")</f>
        <v/>
      </c>
      <c r="B649" s="1" t="inlineStr">
        <is>
          <t>4813091</t>
        </is>
      </c>
      <c r="C649" s="1" t="inlineStr">
        <is>
          <t>Mapesil AC Jasmine 130 Silicone Sealant 310ml</t>
        </is>
      </c>
      <c r="D649" s="1" t="n">
        <v>8.49</v>
      </c>
      <c r="E649" s="1" t="inlineStr">
        <is>
          <t>-</t>
        </is>
      </c>
      <c r="F649" s="1" t="inlineStr">
        <is>
          <t>Qty</t>
        </is>
      </c>
      <c r="G649" s="1" t="inlineStr">
        <is>
          <t>-</t>
        </is>
      </c>
      <c r="H649" s="1" t="inlineStr">
        <is>
          <t>-</t>
        </is>
      </c>
      <c r="I649" t="n">
        <v>8.49</v>
      </c>
    </row>
    <row r="650">
      <c r="A650" s="1">
        <f>Hyperlink("https://www.tilemountain.co.uk/p/mapesil-ac-limestone-299-310ml.html","Product")</f>
        <v/>
      </c>
      <c r="B650" s="1" t="inlineStr">
        <is>
          <t>4829991IT</t>
        </is>
      </c>
      <c r="C650" s="1" t="inlineStr">
        <is>
          <t>Mapesil AC Limestone 299 310ml</t>
        </is>
      </c>
      <c r="D650" s="1" t="n">
        <v>8.49</v>
      </c>
      <c r="E650" s="1" t="inlineStr">
        <is>
          <t>-</t>
        </is>
      </c>
      <c r="F650" s="1" t="inlineStr">
        <is>
          <t>Qty</t>
        </is>
      </c>
      <c r="G650" s="1" t="inlineStr">
        <is>
          <t>-</t>
        </is>
      </c>
      <c r="H650" s="1" t="inlineStr">
        <is>
          <t>-</t>
        </is>
      </c>
      <c r="I650" t="n">
        <v>8.49</v>
      </c>
    </row>
    <row r="651">
      <c r="A651" s="1">
        <f>Hyperlink("https://www.tilemountain.co.uk/p/mapesil-ac-london-grey-119-310ml.html","Product")</f>
        <v/>
      </c>
      <c r="B651" s="1" t="inlineStr">
        <is>
          <t>4811991IT</t>
        </is>
      </c>
      <c r="C651" s="1" t="inlineStr">
        <is>
          <t>Mapesil AC London Grey 119 310ml</t>
        </is>
      </c>
      <c r="D651" s="1" t="n">
        <v>8.49</v>
      </c>
      <c r="E651" s="1" t="inlineStr">
        <is>
          <t>-</t>
        </is>
      </c>
      <c r="F651" s="1" t="inlineStr">
        <is>
          <t>Qty</t>
        </is>
      </c>
      <c r="G651" s="1" t="inlineStr">
        <is>
          <t>-</t>
        </is>
      </c>
      <c r="H651" s="1" t="inlineStr">
        <is>
          <t>-</t>
        </is>
      </c>
      <c r="I651" t="n">
        <v>8.49</v>
      </c>
    </row>
    <row r="652">
      <c r="A652" s="1">
        <f>Hyperlink("https://www.tilemountain.co.uk/p/mapesil-ac-manhattan-110-silicone-sealant-310ml.html","Product")</f>
        <v/>
      </c>
      <c r="B652" s="1" t="inlineStr">
        <is>
          <t>4811091</t>
        </is>
      </c>
      <c r="C652" s="1" t="inlineStr">
        <is>
          <t>Mapesil AC Manhattan 110 Silicone Sealant 310ml</t>
        </is>
      </c>
      <c r="D652" s="1" t="n">
        <v>8.49</v>
      </c>
      <c r="E652" s="1" t="inlineStr">
        <is>
          <t>-</t>
        </is>
      </c>
      <c r="F652" s="1" t="inlineStr">
        <is>
          <t>Qty</t>
        </is>
      </c>
      <c r="G652" s="1" t="inlineStr">
        <is>
          <t>-</t>
        </is>
      </c>
      <c r="H652" s="1" t="inlineStr">
        <is>
          <t>-</t>
        </is>
      </c>
      <c r="I652" t="n">
        <v>8.49</v>
      </c>
    </row>
    <row r="653">
      <c r="A653" s="1">
        <f>Hyperlink("https://www.tilemountain.co.uk/p/mapesil-ac-medium-grey-112-silicone-sealant-310ml.html","Product")</f>
        <v/>
      </c>
      <c r="B653" s="1" t="inlineStr">
        <is>
          <t>4811291</t>
        </is>
      </c>
      <c r="C653" s="1" t="inlineStr">
        <is>
          <t>Mapesil AC Medium Grey 112 Silicone Sealant 310ml</t>
        </is>
      </c>
      <c r="D653" s="1" t="n">
        <v>8.49</v>
      </c>
      <c r="E653" s="1" t="inlineStr">
        <is>
          <t>-</t>
        </is>
      </c>
      <c r="F653" s="1" t="inlineStr">
        <is>
          <t>Qty</t>
        </is>
      </c>
      <c r="G653" s="1" t="inlineStr">
        <is>
          <t>-</t>
        </is>
      </c>
      <c r="H653" s="1" t="inlineStr">
        <is>
          <t>-</t>
        </is>
      </c>
      <c r="I653" t="n">
        <v>8.49</v>
      </c>
    </row>
    <row r="654">
      <c r="A654" s="1">
        <f>Hyperlink("https://www.tilemountain.co.uk/p/mapesil-ac-mud-136-310ml.html","Product")</f>
        <v/>
      </c>
      <c r="B654" s="1" t="inlineStr">
        <is>
          <t>4813691IT</t>
        </is>
      </c>
      <c r="C654" s="1" t="inlineStr">
        <is>
          <t>Mapesil AC Mud 136 310ml</t>
        </is>
      </c>
      <c r="D654" s="1" t="n">
        <v>8.49</v>
      </c>
      <c r="E654" s="1" t="inlineStr">
        <is>
          <t>-</t>
        </is>
      </c>
      <c r="F654" s="1" t="inlineStr">
        <is>
          <t>Qty</t>
        </is>
      </c>
      <c r="G654" s="1" t="inlineStr">
        <is>
          <t>-</t>
        </is>
      </c>
      <c r="H654" s="1" t="inlineStr">
        <is>
          <t>-</t>
        </is>
      </c>
      <c r="I654" t="n">
        <v>8.49</v>
      </c>
    </row>
    <row r="655">
      <c r="A655" s="1">
        <f>Hyperlink("https://www.tilemountain.co.uk/p/mapesil-ac-pearl-321-310ml.html","Product")</f>
        <v/>
      </c>
      <c r="B655" s="1" t="inlineStr">
        <is>
          <t>4832191IT</t>
        </is>
      </c>
      <c r="C655" s="1" t="inlineStr">
        <is>
          <t>Mapesil AC Pearl 321 310ml</t>
        </is>
      </c>
      <c r="D655" s="1" t="n">
        <v>8.49</v>
      </c>
      <c r="E655" s="1" t="inlineStr">
        <is>
          <t>-</t>
        </is>
      </c>
      <c r="F655" s="1" t="inlineStr">
        <is>
          <t>Qty</t>
        </is>
      </c>
      <c r="G655" s="1" t="inlineStr">
        <is>
          <t>-</t>
        </is>
      </c>
      <c r="H655" s="1" t="inlineStr">
        <is>
          <t>-</t>
        </is>
      </c>
      <c r="I655" t="n">
        <v>8.49</v>
      </c>
    </row>
    <row r="656">
      <c r="A656" s="1">
        <f>Hyperlink("https://www.tilemountain.co.uk/p/mapesil-ac-river-grey-110-310ml.html","Product")</f>
        <v/>
      </c>
      <c r="B656" s="1" t="inlineStr">
        <is>
          <t>4811591IT</t>
        </is>
      </c>
      <c r="C656" s="1" t="inlineStr">
        <is>
          <t>Mapesil AC River Grey 115 310ml</t>
        </is>
      </c>
      <c r="D656" s="1" t="n">
        <v>8.49</v>
      </c>
      <c r="E656" s="1" t="inlineStr">
        <is>
          <t>-</t>
        </is>
      </c>
      <c r="F656" s="1" t="inlineStr">
        <is>
          <t>Qty</t>
        </is>
      </c>
      <c r="G656" s="1" t="inlineStr">
        <is>
          <t>-</t>
        </is>
      </c>
      <c r="H656" s="1" t="inlineStr">
        <is>
          <t>-</t>
        </is>
      </c>
      <c r="I656" t="n">
        <v>8.49</v>
      </c>
    </row>
    <row r="657">
      <c r="A657" s="1">
        <f>Hyperlink("https://www.tilemountain.co.uk/p/mapesil-ac-sand-133-310ml.html","Product")</f>
        <v/>
      </c>
      <c r="B657" s="1" t="inlineStr">
        <is>
          <t>4813391IT</t>
        </is>
      </c>
      <c r="C657" s="1" t="inlineStr">
        <is>
          <t>Mapesil AC Sand 133 310ml</t>
        </is>
      </c>
      <c r="D657" s="1" t="n">
        <v>8.49</v>
      </c>
      <c r="E657" s="1" t="inlineStr">
        <is>
          <t>-</t>
        </is>
      </c>
      <c r="F657" s="1" t="inlineStr">
        <is>
          <t>Qty</t>
        </is>
      </c>
      <c r="G657" s="1" t="inlineStr">
        <is>
          <t>-</t>
        </is>
      </c>
      <c r="H657" s="1" t="inlineStr">
        <is>
          <t>-</t>
        </is>
      </c>
      <c r="I657" t="n">
        <v>8.49</v>
      </c>
    </row>
    <row r="658">
      <c r="A658" s="1">
        <f>Hyperlink("https://www.tilemountain.co.uk/p/mapesil-ac-silver-grey-111-silicone-sealant-310ml.html","Product")</f>
        <v/>
      </c>
      <c r="B658" s="1" t="inlineStr">
        <is>
          <t>4811191</t>
        </is>
      </c>
      <c r="C658" s="1" t="inlineStr">
        <is>
          <t>Mapesil AC Silver Grey 111 Silicone Sealant 310ml</t>
        </is>
      </c>
      <c r="D658" s="1" t="n">
        <v>8.49</v>
      </c>
      <c r="E658" s="1" t="inlineStr">
        <is>
          <t>-</t>
        </is>
      </c>
      <c r="F658" s="1" t="inlineStr">
        <is>
          <t>Qty</t>
        </is>
      </c>
      <c r="G658" s="1" t="inlineStr">
        <is>
          <t>-</t>
        </is>
      </c>
      <c r="H658" s="1" t="inlineStr">
        <is>
          <t>-</t>
        </is>
      </c>
      <c r="I658" t="n">
        <v>8.49</v>
      </c>
    </row>
    <row r="659">
      <c r="A659" s="1">
        <f>Hyperlink("https://www.tilemountain.co.uk/p/mapesil-ac-white-100-silicone-sealant-310ml.html","Product")</f>
        <v/>
      </c>
      <c r="B659" s="1" t="inlineStr">
        <is>
          <t>4810091</t>
        </is>
      </c>
      <c r="C659" s="1" t="inlineStr">
        <is>
          <t>Mapesil AC White 100 Silicone Sealant 310ml</t>
        </is>
      </c>
      <c r="D659" s="1" t="n">
        <v>8.49</v>
      </c>
      <c r="E659" s="1" t="inlineStr">
        <is>
          <t>-</t>
        </is>
      </c>
      <c r="F659" s="1" t="inlineStr">
        <is>
          <t>Qty</t>
        </is>
      </c>
      <c r="G659" s="1" t="inlineStr">
        <is>
          <t>-</t>
        </is>
      </c>
      <c r="H659" s="1" t="inlineStr">
        <is>
          <t>-</t>
        </is>
      </c>
      <c r="I659" t="n">
        <v>8.49</v>
      </c>
    </row>
    <row r="660">
      <c r="A660" s="1">
        <f>Hyperlink("https://www.tilemountain.co.uk/p/mapesil-moon-white-silicone-sealant-310ml.html","Product")</f>
        <v/>
      </c>
      <c r="B660" s="1" t="inlineStr">
        <is>
          <t>4810391</t>
        </is>
      </c>
      <c r="C660" s="1" t="inlineStr">
        <is>
          <t>Mapesil AC Moon White Silicone Sealant 310ml</t>
        </is>
      </c>
      <c r="D660" s="1" t="n">
        <v>8.49</v>
      </c>
      <c r="E660" s="1" t="inlineStr">
        <is>
          <t>-</t>
        </is>
      </c>
      <c r="F660" s="1" t="inlineStr">
        <is>
          <t>Qty</t>
        </is>
      </c>
      <c r="G660" s="1" t="inlineStr">
        <is>
          <t>-</t>
        </is>
      </c>
      <c r="H660" s="1" t="inlineStr">
        <is>
          <t>-</t>
        </is>
      </c>
      <c r="I660" t="n">
        <v>8.49</v>
      </c>
    </row>
    <row r="661">
      <c r="A661" s="1">
        <f>Hyperlink("https://www.tilemountain.co.uk/p/mapestik-ready-mix-adhesive-15kg-pallet-deal-48-tubs.html","Product")</f>
        <v/>
      </c>
      <c r="B661" s="1" t="inlineStr">
        <is>
          <t>011615-pd</t>
        </is>
      </c>
      <c r="C661" s="1" t="inlineStr">
        <is>
          <t>Mapestik Ready Mix Adhesive 15kg Pallet Deal- 48 Tubs</t>
        </is>
      </c>
      <c r="D661" s="1" t="n">
        <v>399.99</v>
      </c>
      <c r="E661" s="1" t="inlineStr">
        <is>
          <t>PALLET</t>
        </is>
      </c>
      <c r="F661" s="1" t="inlineStr">
        <is>
          <t>Qty</t>
        </is>
      </c>
      <c r="G661" s="1" t="inlineStr">
        <is>
          <t>-</t>
        </is>
      </c>
      <c r="H661" s="1" t="inlineStr">
        <is>
          <t>-</t>
        </is>
      </c>
      <c r="I661" t="n">
        <v>399.99</v>
      </c>
    </row>
    <row r="662">
      <c r="A662" s="1">
        <f>Hyperlink("https://www.tilemountain.co.uk/p/mapestik-ready-mix-adhesive-15kg.html","Product")</f>
        <v/>
      </c>
      <c r="B662" s="1" t="inlineStr">
        <is>
          <t>011915</t>
        </is>
      </c>
      <c r="C662" s="1" t="inlineStr">
        <is>
          <t>Mapestik Ready Mix Adhesive 15KG</t>
        </is>
      </c>
      <c r="D662" s="1" t="n">
        <v>12.99</v>
      </c>
      <c r="E662" s="1" t="inlineStr">
        <is>
          <t>-</t>
        </is>
      </c>
      <c r="F662" s="1" t="inlineStr">
        <is>
          <t>Qty</t>
        </is>
      </c>
      <c r="G662" s="1" t="inlineStr">
        <is>
          <t>-</t>
        </is>
      </c>
      <c r="H662" s="1" t="inlineStr">
        <is>
          <t>-</t>
        </is>
      </c>
      <c r="I662" t="n">
        <v>12.99</v>
      </c>
    </row>
    <row r="663">
      <c r="A663" s="1">
        <f>Hyperlink("https://www.tilemountain.co.uk/p/mapetex-1m-length.html","Product")</f>
        <v/>
      </c>
      <c r="B663" s="1" t="inlineStr">
        <is>
          <t>437880</t>
        </is>
      </c>
      <c r="C663" s="1" t="inlineStr">
        <is>
          <t>Mapetex Membrane 1m Roll</t>
        </is>
      </c>
      <c r="D663" s="1" t="n">
        <v>6.49</v>
      </c>
      <c r="E663" s="1" t="inlineStr">
        <is>
          <t>-</t>
        </is>
      </c>
      <c r="F663" s="1" t="inlineStr">
        <is>
          <t>Qty</t>
        </is>
      </c>
      <c r="G663" s="1" t="inlineStr">
        <is>
          <t>-</t>
        </is>
      </c>
      <c r="H663" s="1" t="inlineStr">
        <is>
          <t>-</t>
        </is>
      </c>
      <c r="I663" t="n">
        <v>6.49</v>
      </c>
    </row>
    <row r="664">
      <c r="A664" s="1">
        <f>Hyperlink("https://www.tilemountain.co.uk/p/mapetex-1m-x-5m.html","Product")</f>
        <v/>
      </c>
      <c r="B664" s="1" t="inlineStr">
        <is>
          <t>281155</t>
        </is>
      </c>
      <c r="C664" s="1" t="inlineStr">
        <is>
          <t>Mapetex Membrane 50m Roll</t>
        </is>
      </c>
      <c r="D664" s="1" t="n">
        <v>289.99</v>
      </c>
      <c r="E664" s="1" t="inlineStr">
        <is>
          <t>-</t>
        </is>
      </c>
      <c r="F664" s="1" t="inlineStr">
        <is>
          <t>Qty</t>
        </is>
      </c>
      <c r="G664" s="1" t="inlineStr">
        <is>
          <t>-</t>
        </is>
      </c>
      <c r="H664" s="1" t="inlineStr">
        <is>
          <t>-</t>
        </is>
      </c>
      <c r="I664" t="n">
        <v>289.99</v>
      </c>
    </row>
    <row r="665">
      <c r="A665" s="1">
        <f>Hyperlink("https://www.tilemountain.co.uk/p/marble-stone-calacatta-outdoor-slab-tile.html","Product")</f>
        <v/>
      </c>
      <c r="B665" s="1" t="inlineStr">
        <is>
          <t>444360</t>
        </is>
      </c>
      <c r="C665" s="1" t="inlineStr">
        <is>
          <t>Marble Stone Calacatta Outdoor Slab Tiles</t>
        </is>
      </c>
      <c r="D665" s="1" t="n">
        <v>39.99</v>
      </c>
      <c r="E665" s="1" t="inlineStr">
        <is>
          <t>600x600mm</t>
        </is>
      </c>
      <c r="F665" s="1" t="inlineStr">
        <is>
          <t>m2</t>
        </is>
      </c>
      <c r="G665" s="1" t="inlineStr">
        <is>
          <t>Porcelain</t>
        </is>
      </c>
      <c r="H665" s="1" t="inlineStr">
        <is>
          <t>Matt</t>
        </is>
      </c>
      <c r="I665" t="n">
        <v>39.99</v>
      </c>
    </row>
    <row r="666">
      <c r="A666" s="1">
        <f>Hyperlink("https://www.tilemountain.co.uk/p/marble-stone-lava-outdoor-slab-tile.html","Product")</f>
        <v/>
      </c>
      <c r="B666" s="1" t="inlineStr">
        <is>
          <t>444365</t>
        </is>
      </c>
      <c r="C666" s="1" t="inlineStr">
        <is>
          <t>Lava Outdoor Slab Tiles</t>
        </is>
      </c>
      <c r="D666" s="1" t="n">
        <v>39.99</v>
      </c>
      <c r="E666" s="1" t="inlineStr">
        <is>
          <t>600x600mm</t>
        </is>
      </c>
      <c r="F666" s="1" t="inlineStr">
        <is>
          <t>m2</t>
        </is>
      </c>
      <c r="G666" s="1" t="inlineStr">
        <is>
          <t>Porcelain</t>
        </is>
      </c>
      <c r="H666" s="1" t="inlineStr">
        <is>
          <t>Matt</t>
        </is>
      </c>
      <c r="I666" t="n">
        <v>39.99</v>
      </c>
    </row>
    <row r="667">
      <c r="A667" s="1">
        <f>Hyperlink("https://www.tilemountain.co.uk/p/marmy-grey-polished-porcelain.html","Product")</f>
        <v/>
      </c>
      <c r="B667" s="1" t="inlineStr">
        <is>
          <t>442805</t>
        </is>
      </c>
      <c r="C667" s="1" t="inlineStr">
        <is>
          <t>Marmy Grey Polished Marble Effect Porcelain Floor Tile</t>
        </is>
      </c>
      <c r="D667" s="1" t="n">
        <v>21.99</v>
      </c>
      <c r="E667" s="1" t="inlineStr">
        <is>
          <t>800x800mm</t>
        </is>
      </c>
      <c r="F667" s="1" t="inlineStr">
        <is>
          <t>m2</t>
        </is>
      </c>
      <c r="G667" s="1" t="inlineStr">
        <is>
          <t>Glazed Porcelain</t>
        </is>
      </c>
      <c r="H667" s="1" t="inlineStr">
        <is>
          <t>Gloss</t>
        </is>
      </c>
      <c r="I667" t="n">
        <v>21.99</v>
      </c>
    </row>
    <row r="668">
      <c r="A668" s="1">
        <f>Hyperlink("https://www.tilemountain.co.uk/p/martele-negro-brillo-100x200.html","Product")</f>
        <v/>
      </c>
      <c r="B668" s="1" t="inlineStr">
        <is>
          <t>449620</t>
        </is>
      </c>
      <c r="C668" s="1" t="inlineStr">
        <is>
          <t>Martele Black Brillo Wall Tiles</t>
        </is>
      </c>
      <c r="D668" s="1" t="n">
        <v>12</v>
      </c>
      <c r="E668" s="1" t="inlineStr">
        <is>
          <t>200x100mm</t>
        </is>
      </c>
      <c r="F668" s="1" t="inlineStr">
        <is>
          <t>m2</t>
        </is>
      </c>
      <c r="G668" s="1" t="inlineStr">
        <is>
          <t>Ceramic</t>
        </is>
      </c>
      <c r="H668" s="1" t="inlineStr">
        <is>
          <t>Gloss</t>
        </is>
      </c>
      <c r="I668" t="n">
        <v>12</v>
      </c>
    </row>
    <row r="669">
      <c r="A669" s="1">
        <f>Hyperlink("https://www.tilemountain.co.uk/p/martele-piedra-brillo-100x200.html","Product")</f>
        <v/>
      </c>
      <c r="B669" s="1" t="inlineStr">
        <is>
          <t>449575</t>
        </is>
      </c>
      <c r="C669" s="1" t="inlineStr">
        <is>
          <t>Martele Piedra Brillo Gloss Wall Tiles</t>
        </is>
      </c>
      <c r="D669" s="1" t="n">
        <v>12</v>
      </c>
      <c r="E669" s="1" t="inlineStr">
        <is>
          <t>200x100mm</t>
        </is>
      </c>
      <c r="F669" s="1" t="inlineStr">
        <is>
          <t>m2</t>
        </is>
      </c>
      <c r="G669" s="1" t="inlineStr">
        <is>
          <t>Ceramic</t>
        </is>
      </c>
      <c r="H669" s="1" t="inlineStr">
        <is>
          <t>Gloss</t>
        </is>
      </c>
      <c r="I669" t="n">
        <v>12</v>
      </c>
    </row>
    <row r="670">
      <c r="A670" s="1">
        <f>Hyperlink("https://www.tilemountain.co.uk/p/matt-extreme-white-porcelain-floor-tile.html","Product")</f>
        <v/>
      </c>
      <c r="B670" s="1" t="inlineStr">
        <is>
          <t>435445</t>
        </is>
      </c>
      <c r="C670" s="1" t="inlineStr">
        <is>
          <t>Matt Extreme White Porcelain Floor Tiles</t>
        </is>
      </c>
      <c r="D670" s="1" t="n">
        <v>26.99</v>
      </c>
      <c r="E670" s="1" t="inlineStr">
        <is>
          <t>597x597mm</t>
        </is>
      </c>
      <c r="F670" s="1" t="inlineStr">
        <is>
          <t>m2</t>
        </is>
      </c>
      <c r="G670" s="1" t="inlineStr">
        <is>
          <t>Glazed Porcelain</t>
        </is>
      </c>
      <c r="H670" s="1" t="inlineStr">
        <is>
          <t>Matt</t>
        </is>
      </c>
      <c r="I670" t="n">
        <v>26.99</v>
      </c>
    </row>
    <row r="671">
      <c r="A671" s="1">
        <f>Hyperlink("https://www.tilemountain.co.uk/p/maverick-anthracite-outdoor-slab-tile.html","Product")</f>
        <v/>
      </c>
      <c r="B671" s="1" t="inlineStr">
        <is>
          <t>446485</t>
        </is>
      </c>
      <c r="C671" s="1" t="inlineStr">
        <is>
          <t>Maverick Anthracite Outdoor Slab Tiles</t>
        </is>
      </c>
      <c r="D671" s="1" t="n">
        <v>25.99</v>
      </c>
      <c r="E671" s="1" t="inlineStr">
        <is>
          <t>595x595mm</t>
        </is>
      </c>
      <c r="F671" s="1" t="inlineStr">
        <is>
          <t>m2</t>
        </is>
      </c>
      <c r="G671" s="1" t="inlineStr">
        <is>
          <t>Porcelain</t>
        </is>
      </c>
      <c r="H671" s="1" t="inlineStr">
        <is>
          <t>Matt</t>
        </is>
      </c>
      <c r="I671" t="n">
        <v>25.99</v>
      </c>
    </row>
    <row r="672">
      <c r="A672" s="1">
        <f>Hyperlink("https://www.tilemountain.co.uk/p/maverick-bone-outdoor-slab-tile.html","Product")</f>
        <v/>
      </c>
      <c r="B672" s="1" t="inlineStr">
        <is>
          <t>454495</t>
        </is>
      </c>
      <c r="C672" s="1" t="inlineStr">
        <is>
          <t>Maverick Bone Outdoor Slab</t>
        </is>
      </c>
      <c r="D672" s="1" t="n">
        <v>25.99</v>
      </c>
      <c r="E672" s="1" t="inlineStr">
        <is>
          <t>595x595mm</t>
        </is>
      </c>
      <c r="F672" s="1" t="inlineStr">
        <is>
          <t>m2</t>
        </is>
      </c>
      <c r="G672" s="1" t="inlineStr">
        <is>
          <t>Porcelain</t>
        </is>
      </c>
      <c r="H672" s="1" t="inlineStr">
        <is>
          <t>Matt</t>
        </is>
      </c>
      <c r="I672" t="n">
        <v>25.99</v>
      </c>
    </row>
    <row r="673">
      <c r="A673" s="1">
        <f>Hyperlink("https://www.tilemountain.co.uk/p/maverick-grey-outdoor-slab-tile.html","Product")</f>
        <v/>
      </c>
      <c r="B673" s="1" t="inlineStr">
        <is>
          <t>446480</t>
        </is>
      </c>
      <c r="C673" s="1" t="inlineStr">
        <is>
          <t>Maverick Grey Outdoor Slab Tiles</t>
        </is>
      </c>
      <c r="D673" s="1" t="n">
        <v>25.99</v>
      </c>
      <c r="E673" s="1" t="inlineStr">
        <is>
          <t>595x595mm</t>
        </is>
      </c>
      <c r="F673" s="1" t="inlineStr">
        <is>
          <t>m2</t>
        </is>
      </c>
      <c r="G673" s="1" t="inlineStr">
        <is>
          <t>Porcelain</t>
        </is>
      </c>
      <c r="H673" s="1" t="inlineStr">
        <is>
          <t>Matt</t>
        </is>
      </c>
      <c r="I673" t="n">
        <v>25.99</v>
      </c>
    </row>
    <row r="674">
      <c r="A674" s="1">
        <f>Hyperlink("https://www.tilemountain.co.uk/p/melia-pressed-grey-porcelain-floor-tile_1.html","Product")</f>
        <v/>
      </c>
      <c r="B674" s="1" t="inlineStr">
        <is>
          <t>448710</t>
        </is>
      </c>
      <c r="C674" s="1" t="inlineStr">
        <is>
          <t>Melia Pressed Grey Porcelain Floor Tile</t>
        </is>
      </c>
      <c r="D674" s="1" t="n">
        <v>13.99</v>
      </c>
      <c r="E674" s="1" t="inlineStr">
        <is>
          <t>605x605mm</t>
        </is>
      </c>
      <c r="F674" s="1" t="inlineStr">
        <is>
          <t>m2</t>
        </is>
      </c>
      <c r="G674" s="1" t="inlineStr">
        <is>
          <t>Porcelain</t>
        </is>
      </c>
      <c r="H674" s="1" t="inlineStr">
        <is>
          <t>Polished</t>
        </is>
      </c>
      <c r="I674" t="n">
        <v>13.99</v>
      </c>
    </row>
    <row r="675">
      <c r="A675" s="1">
        <f>Hyperlink("https://www.tilemountain.co.uk/p/melia-pressed-light-grey-porcelain-floor-tile_1.html","Product")</f>
        <v/>
      </c>
      <c r="B675" s="1" t="inlineStr">
        <is>
          <t>448705</t>
        </is>
      </c>
      <c r="C675" s="1" t="inlineStr">
        <is>
          <t>Melia Pressed Light Grey Porcelain Floor Tile</t>
        </is>
      </c>
      <c r="D675" s="1" t="n">
        <v>13.99</v>
      </c>
      <c r="E675" s="1" t="inlineStr">
        <is>
          <t>605x605mm</t>
        </is>
      </c>
      <c r="F675" s="1" t="inlineStr">
        <is>
          <t>m2</t>
        </is>
      </c>
      <c r="G675" s="1" t="inlineStr">
        <is>
          <t>Porcelain</t>
        </is>
      </c>
      <c r="H675" s="1" t="inlineStr">
        <is>
          <t>Polished</t>
        </is>
      </c>
      <c r="I675" t="n">
        <v>13.99</v>
      </c>
    </row>
    <row r="676">
      <c r="A676" s="1">
        <f>Hyperlink("https://www.tilemountain.co.uk/p/metal-iron-rect-porcelain-floor-tile.html","Product")</f>
        <v/>
      </c>
      <c r="B676" s="1" t="inlineStr">
        <is>
          <t>448480</t>
        </is>
      </c>
      <c r="C676" s="1" t="inlineStr">
        <is>
          <t>Metal Iron Rect Porcelain Floor Tile</t>
        </is>
      </c>
      <c r="D676" s="1" t="n">
        <v>17.99</v>
      </c>
      <c r="E676" s="1" t="inlineStr">
        <is>
          <t>600x600mm</t>
        </is>
      </c>
      <c r="F676" s="1" t="inlineStr">
        <is>
          <t>m2</t>
        </is>
      </c>
      <c r="G676" s="1" t="inlineStr">
        <is>
          <t>Porcelain</t>
        </is>
      </c>
      <c r="H676" s="1" t="inlineStr">
        <is>
          <t>Matt</t>
        </is>
      </c>
      <c r="I676" t="n">
        <v>17.99</v>
      </c>
    </row>
    <row r="677">
      <c r="A677" s="1">
        <f>Hyperlink("https://www.tilemountain.co.uk/p/metal-iron-rect-porcelain-mosaic.html","Product")</f>
        <v/>
      </c>
      <c r="B677" s="1" t="inlineStr">
        <is>
          <t>448620</t>
        </is>
      </c>
      <c r="C677" s="1" t="inlineStr">
        <is>
          <t>Metal Iron Rect Porcelain Mosaic</t>
        </is>
      </c>
      <c r="D677" s="1" t="n">
        <v>9</v>
      </c>
      <c r="E677" s="1" t="inlineStr">
        <is>
          <t>300x300mm</t>
        </is>
      </c>
      <c r="F677" s="1" t="inlineStr">
        <is>
          <t>sheet</t>
        </is>
      </c>
      <c r="G677" s="1" t="inlineStr">
        <is>
          <t>Porcelain</t>
        </is>
      </c>
      <c r="H677" s="1" t="inlineStr">
        <is>
          <t>Matt</t>
        </is>
      </c>
      <c r="I677" t="n">
        <v>9</v>
      </c>
    </row>
    <row r="678">
      <c r="A678" s="1">
        <f>Hyperlink("https://www.tilemountain.co.uk/p/metal-iron-rect-porcelain-wall-and-floor-tile.html","Product")</f>
        <v/>
      </c>
      <c r="B678" s="1" t="inlineStr">
        <is>
          <t>448465</t>
        </is>
      </c>
      <c r="C678" s="1" t="inlineStr">
        <is>
          <t>Metal Iron Rect Porcelain Wall And Floor Tile</t>
        </is>
      </c>
      <c r="D678" s="1" t="n">
        <v>18.99</v>
      </c>
      <c r="E678" s="1" t="inlineStr">
        <is>
          <t>600x300mm</t>
        </is>
      </c>
      <c r="F678" s="1" t="inlineStr">
        <is>
          <t>m2</t>
        </is>
      </c>
      <c r="G678" s="1" t="inlineStr">
        <is>
          <t>Porcelain</t>
        </is>
      </c>
      <c r="H678" s="1" t="inlineStr">
        <is>
          <t>Matt</t>
        </is>
      </c>
      <c r="I678" t="n">
        <v>18.99</v>
      </c>
    </row>
    <row r="679">
      <c r="A679" s="1">
        <f>Hyperlink("https://www.tilemountain.co.uk/p/metal-rust-rect-porcelain-mosaic.html","Product")</f>
        <v/>
      </c>
      <c r="B679" s="1" t="inlineStr">
        <is>
          <t>448625</t>
        </is>
      </c>
      <c r="C679" s="1" t="inlineStr">
        <is>
          <t>Metal Rust Rect Porcelain Mosaic</t>
        </is>
      </c>
      <c r="D679" s="1" t="n">
        <v>9</v>
      </c>
      <c r="E679" s="1" t="inlineStr">
        <is>
          <t>300x300mm</t>
        </is>
      </c>
      <c r="F679" s="1" t="inlineStr">
        <is>
          <t>sheet</t>
        </is>
      </c>
      <c r="G679" s="1" t="inlineStr">
        <is>
          <t>Porcelain</t>
        </is>
      </c>
      <c r="H679" s="1" t="inlineStr">
        <is>
          <t>Matt</t>
        </is>
      </c>
      <c r="I679" t="n">
        <v>9</v>
      </c>
    </row>
    <row r="680">
      <c r="A680" s="1">
        <f>Hyperlink("https://www.tilemountain.co.uk/p/metal-rust-rect-porcelain-wall-and-floor-tile.html","Product")</f>
        <v/>
      </c>
      <c r="B680" s="1" t="inlineStr">
        <is>
          <t>448460</t>
        </is>
      </c>
      <c r="C680" s="1" t="inlineStr">
        <is>
          <t>Metal Rust Rect Porcelain Wall And Floor Tile</t>
        </is>
      </c>
      <c r="D680" s="1" t="n">
        <v>18.99</v>
      </c>
      <c r="E680" s="1" t="inlineStr">
        <is>
          <t>600x300mm</t>
        </is>
      </c>
      <c r="F680" s="1" t="inlineStr">
        <is>
          <t>m2</t>
        </is>
      </c>
      <c r="G680" s="1" t="inlineStr">
        <is>
          <t>Porcelain</t>
        </is>
      </c>
      <c r="H680" s="1" t="inlineStr">
        <is>
          <t>Matt</t>
        </is>
      </c>
      <c r="I680" t="n">
        <v>18.99</v>
      </c>
    </row>
    <row r="681">
      <c r="A681" s="1">
        <f>Hyperlink("https://www.tilemountain.co.uk/p/metal-silver-rect-porcelain-floor-tile.html","Product")</f>
        <v/>
      </c>
      <c r="B681" s="1" t="inlineStr">
        <is>
          <t>448485</t>
        </is>
      </c>
      <c r="C681" s="1" t="inlineStr">
        <is>
          <t>Metal Silver Rect Porcelain Floor Tile</t>
        </is>
      </c>
      <c r="D681" s="1" t="n">
        <v>17.99</v>
      </c>
      <c r="E681" s="1" t="inlineStr">
        <is>
          <t>600x600mm</t>
        </is>
      </c>
      <c r="F681" s="1" t="inlineStr">
        <is>
          <t>m2</t>
        </is>
      </c>
      <c r="G681" s="1" t="inlineStr">
        <is>
          <t>Porcelain</t>
        </is>
      </c>
      <c r="H681" s="1" t="inlineStr">
        <is>
          <t>Matt</t>
        </is>
      </c>
      <c r="I681" t="n">
        <v>17.99</v>
      </c>
    </row>
    <row r="682">
      <c r="A682" s="1">
        <f>Hyperlink("https://www.tilemountain.co.uk/p/metal-silver-rect-porcelain-mosaic.html","Product")</f>
        <v/>
      </c>
      <c r="B682" s="1" t="inlineStr">
        <is>
          <t>448615</t>
        </is>
      </c>
      <c r="C682" s="1" t="inlineStr">
        <is>
          <t>Metal Silver Rect Porcelain Mosaic</t>
        </is>
      </c>
      <c r="D682" s="1" t="n">
        <v>9</v>
      </c>
      <c r="E682" s="1" t="inlineStr">
        <is>
          <t>300x300mm</t>
        </is>
      </c>
      <c r="F682" s="1" t="inlineStr">
        <is>
          <t>sheet</t>
        </is>
      </c>
      <c r="G682" s="1" t="inlineStr">
        <is>
          <t>Porcelain</t>
        </is>
      </c>
      <c r="H682" s="1" t="inlineStr">
        <is>
          <t>Matt</t>
        </is>
      </c>
      <c r="I682" t="n">
        <v>9</v>
      </c>
    </row>
    <row r="683">
      <c r="A683" s="1">
        <f>Hyperlink("https://www.tilemountain.co.uk/p/metal-silver-rect-porcelain-wall-and-floor-tile.html","Product")</f>
        <v/>
      </c>
      <c r="B683" s="1" t="inlineStr">
        <is>
          <t>448470</t>
        </is>
      </c>
      <c r="C683" s="1" t="inlineStr">
        <is>
          <t>Metal Silver Rect Porcelain Wall And Floor Tile</t>
        </is>
      </c>
      <c r="D683" s="1" t="n">
        <v>18.99</v>
      </c>
      <c r="E683" s="1" t="inlineStr">
        <is>
          <t>600x300mm</t>
        </is>
      </c>
      <c r="F683" s="1" t="inlineStr">
        <is>
          <t>m2</t>
        </is>
      </c>
      <c r="G683" s="1" t="inlineStr">
        <is>
          <t>Porcelain</t>
        </is>
      </c>
      <c r="H683" s="1" t="inlineStr">
        <is>
          <t>Matt</t>
        </is>
      </c>
      <c r="I683" t="n">
        <v>18.99</v>
      </c>
    </row>
    <row r="684">
      <c r="A684" s="1">
        <f>Hyperlink("https://www.tilemountain.co.uk/p/metallic-copper-bronze-glass-mosaic.html","Product")</f>
        <v/>
      </c>
      <c r="B684" s="1" t="inlineStr">
        <is>
          <t>453720</t>
        </is>
      </c>
      <c r="C684" s="1" t="inlineStr">
        <is>
          <t>Metallic Copper Bronze Glass Mosaic</t>
        </is>
      </c>
      <c r="D684" s="1" t="n">
        <v>13.99</v>
      </c>
      <c r="E684" s="1" t="inlineStr">
        <is>
          <t>300x300mm</t>
        </is>
      </c>
      <c r="F684" s="1" t="inlineStr">
        <is>
          <t>sheet</t>
        </is>
      </c>
      <c r="G684" s="1" t="inlineStr">
        <is>
          <t>Glass</t>
        </is>
      </c>
      <c r="H684" s="1" t="inlineStr">
        <is>
          <t>Gloss</t>
        </is>
      </c>
      <c r="I684" t="n">
        <v>13.99</v>
      </c>
    </row>
    <row r="685">
      <c r="A685" s="1">
        <f>Hyperlink("https://www.tilemountain.co.uk/p/metallic-silver-grey-glass-mosaic.html","Product")</f>
        <v/>
      </c>
      <c r="B685" s="1" t="inlineStr">
        <is>
          <t>453725</t>
        </is>
      </c>
      <c r="C685" s="1" t="inlineStr">
        <is>
          <t>Metallic Silver Grey Glass Mosaic</t>
        </is>
      </c>
      <c r="D685" s="1" t="n">
        <v>13.99</v>
      </c>
      <c r="E685" s="1" t="inlineStr">
        <is>
          <t>300x300mm</t>
        </is>
      </c>
      <c r="F685" s="1" t="inlineStr">
        <is>
          <t>sheet</t>
        </is>
      </c>
      <c r="G685" s="1" t="inlineStr">
        <is>
          <t>Glass</t>
        </is>
      </c>
      <c r="H685" s="1" t="inlineStr">
        <is>
          <t>Gloss</t>
        </is>
      </c>
      <c r="I685" t="n">
        <v>13.99</v>
      </c>
    </row>
    <row r="686">
      <c r="A686" s="1">
        <f>Hyperlink("https://www.tilemountain.co.uk/p/metat-rust-rect-porcelain-floor-tile.html","Product")</f>
        <v/>
      </c>
      <c r="B686" s="1" t="inlineStr">
        <is>
          <t>448475</t>
        </is>
      </c>
      <c r="C686" s="1" t="inlineStr">
        <is>
          <t>Metal Rust Rect Porcelain Floor Tile</t>
        </is>
      </c>
      <c r="D686" s="1" t="n">
        <v>17.99</v>
      </c>
      <c r="E686" s="1" t="inlineStr">
        <is>
          <t>600x600mm</t>
        </is>
      </c>
      <c r="F686" s="1" t="inlineStr">
        <is>
          <t>m2</t>
        </is>
      </c>
      <c r="G686" s="1" t="inlineStr">
        <is>
          <t>Porcelain</t>
        </is>
      </c>
      <c r="H686" s="1" t="inlineStr">
        <is>
          <t>Matt</t>
        </is>
      </c>
      <c r="I686" t="n">
        <v>17.99</v>
      </c>
    </row>
    <row r="687">
      <c r="A687" s="1">
        <f>Hyperlink("https://www.tilemountain.co.uk/p/metro-aqua-wall-tile.html","Product")</f>
        <v/>
      </c>
      <c r="B687" s="1" t="inlineStr">
        <is>
          <t>440315</t>
        </is>
      </c>
      <c r="C687" s="1" t="inlineStr">
        <is>
          <t>Metro Aqua Wall Tiles</t>
        </is>
      </c>
      <c r="D687" s="1" t="n">
        <v>15.99</v>
      </c>
      <c r="E687" s="1" t="inlineStr">
        <is>
          <t>100x200mm</t>
        </is>
      </c>
      <c r="F687" s="1" t="inlineStr">
        <is>
          <t>m2</t>
        </is>
      </c>
      <c r="G687" s="1" t="inlineStr">
        <is>
          <t>Ceramic</t>
        </is>
      </c>
      <c r="H687" s="1" t="inlineStr">
        <is>
          <t>Gloss</t>
        </is>
      </c>
      <c r="I687" t="n">
        <v>15.99</v>
      </c>
    </row>
    <row r="688">
      <c r="A688" s="1">
        <f>Hyperlink("https://www.tilemountain.co.uk/p/metro-black-wall-tile-1614.html","Product")</f>
        <v/>
      </c>
      <c r="B688" s="1" t="inlineStr">
        <is>
          <t>14249</t>
        </is>
      </c>
      <c r="C688" s="1" t="inlineStr">
        <is>
          <t>Metro Black Wall Tiles</t>
        </is>
      </c>
      <c r="D688" s="1" t="n">
        <v>29.78</v>
      </c>
      <c r="E688" s="1" t="inlineStr">
        <is>
          <t>300x75mm</t>
        </is>
      </c>
      <c r="F688" s="1" t="inlineStr">
        <is>
          <t>m2</t>
        </is>
      </c>
      <c r="G688" s="1" t="inlineStr">
        <is>
          <t>Ceramic</t>
        </is>
      </c>
      <c r="H688" s="1" t="inlineStr">
        <is>
          <t>Gloss</t>
        </is>
      </c>
      <c r="I688" t="n">
        <v>29.78</v>
      </c>
    </row>
    <row r="689">
      <c r="A689" s="1">
        <f>Hyperlink("https://www.tilemountain.co.uk/p/metro-black-wall-tile-901.html","Product")</f>
        <v/>
      </c>
      <c r="B689" s="1" t="inlineStr">
        <is>
          <t>431445</t>
        </is>
      </c>
      <c r="C689" s="1" t="inlineStr">
        <is>
          <t>Metro Black Wall Tiles</t>
        </is>
      </c>
      <c r="D689" s="1" t="n">
        <v>19.49</v>
      </c>
      <c r="E689" s="1" t="inlineStr">
        <is>
          <t>300x100mm</t>
        </is>
      </c>
      <c r="F689" s="1" t="inlineStr">
        <is>
          <t>m2</t>
        </is>
      </c>
      <c r="G689" s="1" t="inlineStr">
        <is>
          <t>Ceramic</t>
        </is>
      </c>
      <c r="H689" s="1" t="inlineStr">
        <is>
          <t>Gloss</t>
        </is>
      </c>
      <c r="I689" t="n">
        <v>19.49</v>
      </c>
    </row>
    <row r="690">
      <c r="A690" s="1">
        <f>Hyperlink("https://www.tilemountain.co.uk/p/metro-black-wall-tile.html","Product")</f>
        <v/>
      </c>
      <c r="B690" s="1" t="inlineStr">
        <is>
          <t>431405</t>
        </is>
      </c>
      <c r="C690" s="1" t="inlineStr">
        <is>
          <t>Metro Black Wall Tiles</t>
        </is>
      </c>
      <c r="D690" s="1" t="n">
        <v>12.99</v>
      </c>
      <c r="E690" s="1" t="inlineStr">
        <is>
          <t>200x100mm</t>
        </is>
      </c>
      <c r="F690" s="1" t="inlineStr">
        <is>
          <t>m2</t>
        </is>
      </c>
      <c r="G690" s="1" t="inlineStr">
        <is>
          <t>Ceramic</t>
        </is>
      </c>
      <c r="H690" s="1" t="inlineStr">
        <is>
          <t>Gloss</t>
        </is>
      </c>
      <c r="I690" t="n">
        <v>12.99</v>
      </c>
    </row>
    <row r="691">
      <c r="A691" s="1">
        <f>Hyperlink("https://www.tilemountain.co.uk/p/metro-cream-wall-tile-910.html","Product")</f>
        <v/>
      </c>
      <c r="B691" s="1" t="inlineStr">
        <is>
          <t>431400</t>
        </is>
      </c>
      <c r="C691" s="1" t="inlineStr">
        <is>
          <t>Metro Cream Wall Tiles</t>
        </is>
      </c>
      <c r="D691" s="1" t="n">
        <v>10.95</v>
      </c>
      <c r="E691" s="1" t="inlineStr">
        <is>
          <t>200x100mm</t>
        </is>
      </c>
      <c r="F691" s="1" t="inlineStr">
        <is>
          <t>m2</t>
        </is>
      </c>
      <c r="G691" s="1" t="inlineStr">
        <is>
          <t>Ceramic</t>
        </is>
      </c>
      <c r="H691" s="1" t="inlineStr">
        <is>
          <t>Gloss</t>
        </is>
      </c>
      <c r="I691" t="n">
        <v>10.95</v>
      </c>
    </row>
    <row r="692">
      <c r="A692" s="1">
        <f>Hyperlink("https://www.tilemountain.co.uk/p/metro-cream-wall-tile.html","Product")</f>
        <v/>
      </c>
      <c r="B692" s="1" t="inlineStr">
        <is>
          <t>431440</t>
        </is>
      </c>
      <c r="C692" s="1" t="inlineStr">
        <is>
          <t>Metro Cream Wall Tiles</t>
        </is>
      </c>
      <c r="D692" s="1" t="n">
        <v>19.49</v>
      </c>
      <c r="E692" s="1" t="inlineStr">
        <is>
          <t>300x100mm</t>
        </is>
      </c>
      <c r="F692" s="1" t="inlineStr">
        <is>
          <t>m2</t>
        </is>
      </c>
      <c r="G692" s="1" t="inlineStr">
        <is>
          <t>Ceramic</t>
        </is>
      </c>
      <c r="H692" s="1" t="inlineStr">
        <is>
          <t>Gloss</t>
        </is>
      </c>
      <c r="I692" t="n">
        <v>19.49</v>
      </c>
    </row>
    <row r="693">
      <c r="A693" s="1">
        <f>Hyperlink("https://www.tilemountain.co.uk/p/metro-dark-grey-wall-tile.html","Product")</f>
        <v/>
      </c>
      <c r="B693" s="1" t="inlineStr">
        <is>
          <t>436805</t>
        </is>
      </c>
      <c r="C693" s="1" t="inlineStr">
        <is>
          <t>Metro Dark Grey Wall Tiles</t>
        </is>
      </c>
      <c r="D693" s="1" t="n">
        <v>15.99</v>
      </c>
      <c r="E693" s="1" t="inlineStr">
        <is>
          <t>200x100mm</t>
        </is>
      </c>
      <c r="F693" s="1" t="inlineStr">
        <is>
          <t>m2</t>
        </is>
      </c>
      <c r="G693" s="1" t="inlineStr">
        <is>
          <t>Ceramic</t>
        </is>
      </c>
      <c r="H693" s="1" t="inlineStr">
        <is>
          <t>Gloss</t>
        </is>
      </c>
      <c r="I693" t="n">
        <v>15.99</v>
      </c>
    </row>
    <row r="694">
      <c r="A694" s="1">
        <f>Hyperlink("https://www.tilemountain.co.uk/p/metro-duck-egg-wall-tiles-10x20cm.html","Product")</f>
        <v/>
      </c>
      <c r="B694" s="1" t="inlineStr">
        <is>
          <t>1004390</t>
        </is>
      </c>
      <c r="C694" s="1" t="inlineStr">
        <is>
          <t>Metro Duck Egg Wall Tiles</t>
        </is>
      </c>
      <c r="D694" s="1" t="n">
        <v>15.99</v>
      </c>
      <c r="E694" s="1" t="inlineStr">
        <is>
          <t>200x100mm</t>
        </is>
      </c>
      <c r="F694" s="1" t="inlineStr">
        <is>
          <t>m2</t>
        </is>
      </c>
      <c r="G694" s="1" t="inlineStr">
        <is>
          <t>Ceramic</t>
        </is>
      </c>
      <c r="H694" s="1" t="inlineStr">
        <is>
          <t>Gloss</t>
        </is>
      </c>
      <c r="I694" t="n">
        <v>15.99</v>
      </c>
    </row>
    <row r="695">
      <c r="A695" s="1">
        <f>Hyperlink("https://www.tilemountain.co.uk/p/metro-flat-white-matt-wall-tiles-10x20cm.html","Product")</f>
        <v/>
      </c>
      <c r="B695" s="1" t="inlineStr">
        <is>
          <t>1003605</t>
        </is>
      </c>
      <c r="C695" s="1" t="inlineStr">
        <is>
          <t>Metro Flat White Matt Wall Tiles</t>
        </is>
      </c>
      <c r="D695" s="1" t="n">
        <v>18.99</v>
      </c>
      <c r="E695" s="1" t="inlineStr">
        <is>
          <t>200x100mm</t>
        </is>
      </c>
      <c r="F695" s="1" t="inlineStr">
        <is>
          <t>m2</t>
        </is>
      </c>
      <c r="G695" s="1" t="inlineStr">
        <is>
          <t>Ceramic</t>
        </is>
      </c>
      <c r="H695" s="1" t="inlineStr">
        <is>
          <t>Matt</t>
        </is>
      </c>
      <c r="I695" t="n">
        <v>18.99</v>
      </c>
    </row>
    <row r="696">
      <c r="A696" s="1">
        <f>Hyperlink("https://www.tilemountain.co.uk/p/metro-grey-wall-tile.html","Product")</f>
        <v/>
      </c>
      <c r="B696" s="1" t="inlineStr">
        <is>
          <t>436920</t>
        </is>
      </c>
      <c r="C696" s="1" t="inlineStr">
        <is>
          <t>Metro Grey Wall Tiles</t>
        </is>
      </c>
      <c r="D696" s="1" t="n">
        <v>19.99</v>
      </c>
      <c r="E696" s="1" t="inlineStr">
        <is>
          <t>300x100mm</t>
        </is>
      </c>
      <c r="F696" s="1" t="inlineStr">
        <is>
          <t>m2</t>
        </is>
      </c>
      <c r="G696" s="1" t="inlineStr">
        <is>
          <t>Ceramic</t>
        </is>
      </c>
      <c r="H696" s="1" t="inlineStr">
        <is>
          <t>Gloss</t>
        </is>
      </c>
      <c r="I696" t="n">
        <v>19.99</v>
      </c>
    </row>
    <row r="697">
      <c r="A697" s="1">
        <f>Hyperlink("https://www.tilemountain.co.uk/p/metro-jade-wall-tiles-10x20cm.html","Product")</f>
        <v/>
      </c>
      <c r="B697" s="1" t="inlineStr">
        <is>
          <t>1003450</t>
        </is>
      </c>
      <c r="C697" s="1" t="inlineStr">
        <is>
          <t>Metro Jade Wall Tiles</t>
        </is>
      </c>
      <c r="D697" s="1" t="n">
        <v>15.99</v>
      </c>
      <c r="E697" s="1" t="inlineStr">
        <is>
          <t>200x100mm</t>
        </is>
      </c>
      <c r="F697" s="1" t="inlineStr">
        <is>
          <t>m2</t>
        </is>
      </c>
      <c r="G697" s="1" t="inlineStr">
        <is>
          <t>Ceramic</t>
        </is>
      </c>
      <c r="H697" s="1" t="inlineStr">
        <is>
          <t>Gloss</t>
        </is>
      </c>
      <c r="I697" t="n">
        <v>15.99</v>
      </c>
    </row>
    <row r="698">
      <c r="A698" s="1">
        <f>Hyperlink("https://www.tilemountain.co.uk/p/metro-light-cream-wall-tile.html","Product")</f>
        <v/>
      </c>
      <c r="B698" s="1" t="inlineStr">
        <is>
          <t>434665</t>
        </is>
      </c>
      <c r="C698" s="1" t="inlineStr">
        <is>
          <t>Metro Light Cream Wall Tiles</t>
        </is>
      </c>
      <c r="D698" s="1" t="n">
        <v>11.99</v>
      </c>
      <c r="E698" s="1" t="inlineStr">
        <is>
          <t>200x100mm</t>
        </is>
      </c>
      <c r="F698" s="1" t="inlineStr">
        <is>
          <t>m2</t>
        </is>
      </c>
      <c r="G698" s="1" t="inlineStr">
        <is>
          <t>Ceramic</t>
        </is>
      </c>
      <c r="H698" s="1" t="inlineStr">
        <is>
          <t>Gloss</t>
        </is>
      </c>
      <c r="I698" t="n">
        <v>11.99</v>
      </c>
    </row>
    <row r="699">
      <c r="A699" s="1">
        <f>Hyperlink("https://www.tilemountain.co.uk/p/metro-light-grey-wall-tile.html","Product")</f>
        <v/>
      </c>
      <c r="B699" s="1" t="inlineStr">
        <is>
          <t>436810</t>
        </is>
      </c>
      <c r="C699" s="1" t="inlineStr">
        <is>
          <t>Metro Light Grey Wall Tiles</t>
        </is>
      </c>
      <c r="D699" s="1" t="n">
        <v>15.99</v>
      </c>
      <c r="E699" s="1" t="inlineStr">
        <is>
          <t>200x100mm</t>
        </is>
      </c>
      <c r="F699" s="1" t="inlineStr">
        <is>
          <t>m2</t>
        </is>
      </c>
      <c r="G699" s="1" t="inlineStr">
        <is>
          <t>Ceramic</t>
        </is>
      </c>
      <c r="H699" s="1" t="inlineStr">
        <is>
          <t>Gloss</t>
        </is>
      </c>
      <c r="I699" t="n">
        <v>15.99</v>
      </c>
    </row>
    <row r="700">
      <c r="A700" s="1">
        <f>Hyperlink("https://www.tilemountain.co.uk/p/metro-lime-green-wall-tile-909.html","Product")</f>
        <v/>
      </c>
      <c r="B700" s="1" t="inlineStr">
        <is>
          <t>431465</t>
        </is>
      </c>
      <c r="C700" s="1" t="inlineStr">
        <is>
          <t>Metro Lime Green Wall Tiles</t>
        </is>
      </c>
      <c r="D700" s="1" t="n">
        <v>19.49</v>
      </c>
      <c r="E700" s="1" t="inlineStr">
        <is>
          <t>300x100mm</t>
        </is>
      </c>
      <c r="F700" s="1" t="inlineStr">
        <is>
          <t>m2</t>
        </is>
      </c>
      <c r="G700" s="1" t="inlineStr">
        <is>
          <t>Ceramic</t>
        </is>
      </c>
      <c r="H700" s="1" t="inlineStr">
        <is>
          <t>Gloss</t>
        </is>
      </c>
      <c r="I700" t="n">
        <v>19.49</v>
      </c>
    </row>
    <row r="701">
      <c r="A701" s="1">
        <f>Hyperlink("https://www.tilemountain.co.uk/p/metro-lime-green-wall-tile.html","Product")</f>
        <v/>
      </c>
      <c r="B701" s="1" t="inlineStr">
        <is>
          <t>431425</t>
        </is>
      </c>
      <c r="C701" s="1" t="inlineStr">
        <is>
          <t>Metro Lime Green Wall Tiles</t>
        </is>
      </c>
      <c r="D701" s="1" t="n">
        <v>15.99</v>
      </c>
      <c r="E701" s="1" t="inlineStr">
        <is>
          <t>200x100mm</t>
        </is>
      </c>
      <c r="F701" s="1" t="inlineStr">
        <is>
          <t>m2</t>
        </is>
      </c>
      <c r="G701" s="1" t="inlineStr">
        <is>
          <t>Ceramic</t>
        </is>
      </c>
      <c r="H701" s="1" t="inlineStr">
        <is>
          <t>Gloss</t>
        </is>
      </c>
      <c r="I701" t="n">
        <v>15.99</v>
      </c>
    </row>
    <row r="702">
      <c r="A702" s="1">
        <f>Hyperlink("https://www.tilemountain.co.uk/p/metro-matt-black-wall-tile.html","Product")</f>
        <v/>
      </c>
      <c r="B702" s="1" t="inlineStr">
        <is>
          <t>439235</t>
        </is>
      </c>
      <c r="C702" s="1" t="inlineStr">
        <is>
          <t>Metro Matt Black Wall Tiles</t>
        </is>
      </c>
      <c r="D702" s="1" t="n">
        <v>15.99</v>
      </c>
      <c r="E702" s="1" t="inlineStr">
        <is>
          <t>200x100mm</t>
        </is>
      </c>
      <c r="F702" s="1" t="inlineStr">
        <is>
          <t>m2</t>
        </is>
      </c>
      <c r="G702" s="1" t="inlineStr">
        <is>
          <t>Ceramic</t>
        </is>
      </c>
      <c r="H702" s="1" t="inlineStr">
        <is>
          <t>Matt</t>
        </is>
      </c>
      <c r="I702" t="n">
        <v>15.99</v>
      </c>
    </row>
    <row r="703">
      <c r="A703" s="1">
        <f>Hyperlink("https://www.tilemountain.co.uk/p/metro-matt-white-wall-tile.html","Product")</f>
        <v/>
      </c>
      <c r="B703" s="1" t="inlineStr">
        <is>
          <t>439230</t>
        </is>
      </c>
      <c r="C703" s="1" t="inlineStr">
        <is>
          <t>Metro Matt White Wall Tiles</t>
        </is>
      </c>
      <c r="D703" s="1" t="n">
        <v>12.99</v>
      </c>
      <c r="E703" s="1" t="inlineStr">
        <is>
          <t>200x100mm</t>
        </is>
      </c>
      <c r="F703" s="1" t="inlineStr">
        <is>
          <t>m2</t>
        </is>
      </c>
      <c r="G703" s="1" t="inlineStr">
        <is>
          <t>Ceramic</t>
        </is>
      </c>
      <c r="H703" s="1" t="inlineStr">
        <is>
          <t>Matt</t>
        </is>
      </c>
      <c r="I703" t="n">
        <v>12.99</v>
      </c>
    </row>
    <row r="704">
      <c r="A704" s="1">
        <f>Hyperlink("https://www.tilemountain.co.uk/p/metro-pink-brick-10x20.html","Product")</f>
        <v/>
      </c>
      <c r="B704" s="1" t="inlineStr">
        <is>
          <t>403130</t>
        </is>
      </c>
      <c r="C704" s="1" t="inlineStr">
        <is>
          <t>Metro Pink Wall Tiles</t>
        </is>
      </c>
      <c r="D704" s="1" t="n">
        <v>15.99</v>
      </c>
      <c r="E704" s="1" t="inlineStr">
        <is>
          <t>200x100mm</t>
        </is>
      </c>
      <c r="F704" s="1" t="inlineStr">
        <is>
          <t>m2</t>
        </is>
      </c>
      <c r="G704" s="1" t="inlineStr">
        <is>
          <t>Ceramic</t>
        </is>
      </c>
      <c r="H704" s="1" t="inlineStr">
        <is>
          <t>Gloss</t>
        </is>
      </c>
      <c r="I704" t="n">
        <v>15.99</v>
      </c>
    </row>
    <row r="705">
      <c r="A705" s="1">
        <f>Hyperlink("https://www.tilemountain.co.uk/p/metro-red-wall-tile-915.html","Product")</f>
        <v/>
      </c>
      <c r="B705" s="1" t="inlineStr">
        <is>
          <t>431450</t>
        </is>
      </c>
      <c r="C705" s="1" t="inlineStr">
        <is>
          <t>Metro Red Wall Tiles</t>
        </is>
      </c>
      <c r="D705" s="1" t="n">
        <v>20.99</v>
      </c>
      <c r="E705" s="1" t="inlineStr">
        <is>
          <t>300x100mm</t>
        </is>
      </c>
      <c r="F705" s="1" t="inlineStr">
        <is>
          <t>m2</t>
        </is>
      </c>
      <c r="G705" s="1" t="inlineStr">
        <is>
          <t>Ceramic</t>
        </is>
      </c>
      <c r="H705" s="1" t="inlineStr">
        <is>
          <t>Gloss</t>
        </is>
      </c>
      <c r="I705" t="n">
        <v>20.99</v>
      </c>
    </row>
    <row r="706">
      <c r="A706" s="1">
        <f>Hyperlink("https://www.tilemountain.co.uk/p/metro-red-wall-tile.html","Product")</f>
        <v/>
      </c>
      <c r="B706" s="1" t="inlineStr">
        <is>
          <t>431410</t>
        </is>
      </c>
      <c r="C706" s="1" t="inlineStr">
        <is>
          <t>Metro Red Wall Tiles</t>
        </is>
      </c>
      <c r="D706" s="1" t="n">
        <v>19.99</v>
      </c>
      <c r="E706" s="1" t="inlineStr">
        <is>
          <t>200x100mm</t>
        </is>
      </c>
      <c r="F706" s="1" t="inlineStr">
        <is>
          <t>m2</t>
        </is>
      </c>
      <c r="G706" s="1" t="inlineStr">
        <is>
          <t>Ceramic</t>
        </is>
      </c>
      <c r="H706" s="1" t="inlineStr">
        <is>
          <t>Gloss</t>
        </is>
      </c>
      <c r="I706" t="n">
        <v>19.99</v>
      </c>
    </row>
    <row r="707">
      <c r="A707" s="1">
        <f>Hyperlink("https://www.tilemountain.co.uk/p/metro-sage-wall-tile-917.html","Product")</f>
        <v/>
      </c>
      <c r="B707" s="1" t="inlineStr">
        <is>
          <t>431470</t>
        </is>
      </c>
      <c r="C707" s="1" t="inlineStr">
        <is>
          <t>Metro Sage Wall Tiles</t>
        </is>
      </c>
      <c r="D707" s="1" t="n">
        <v>19.49</v>
      </c>
      <c r="E707" s="1" t="inlineStr">
        <is>
          <t>300x100mm</t>
        </is>
      </c>
      <c r="F707" s="1" t="inlineStr">
        <is>
          <t>m2</t>
        </is>
      </c>
      <c r="G707" s="1" t="inlineStr">
        <is>
          <t>Ceramic</t>
        </is>
      </c>
      <c r="H707" s="1" t="inlineStr">
        <is>
          <t>Gloss</t>
        </is>
      </c>
      <c r="I707" t="n">
        <v>19.49</v>
      </c>
    </row>
    <row r="708">
      <c r="A708" s="1">
        <f>Hyperlink("https://www.tilemountain.co.uk/p/metro-stone-effect-marble-flat-wall-tiles-10x20cm.html","Product")</f>
        <v/>
      </c>
      <c r="B708" s="1" t="inlineStr">
        <is>
          <t>401125</t>
        </is>
      </c>
      <c r="C708" s="1" t="inlineStr">
        <is>
          <t>Metro Stone Effect Marble Flat Wall Tiles</t>
        </is>
      </c>
      <c r="D708" s="1" t="n">
        <v>19.99</v>
      </c>
      <c r="E708" s="1" t="inlineStr">
        <is>
          <t>200x100mm</t>
        </is>
      </c>
      <c r="F708" s="1" t="inlineStr">
        <is>
          <t>m2</t>
        </is>
      </c>
      <c r="G708" s="1" t="inlineStr">
        <is>
          <t>Ceramic</t>
        </is>
      </c>
      <c r="H708" s="1" t="inlineStr">
        <is>
          <t>Gloss</t>
        </is>
      </c>
      <c r="I708" t="n">
        <v>19.99</v>
      </c>
    </row>
    <row r="709">
      <c r="A709" s="1">
        <f>Hyperlink("https://www.tilemountain.co.uk/p/metro-stone-effect-marble-wall-tiles-10x20cm.html","Product")</f>
        <v/>
      </c>
      <c r="B709" s="1" t="inlineStr">
        <is>
          <t>300150</t>
        </is>
      </c>
      <c r="C709" s="1" t="inlineStr">
        <is>
          <t>Metro Stone Effect Marble Wall Tiles</t>
        </is>
      </c>
      <c r="D709" s="1" t="n">
        <v>16.99</v>
      </c>
      <c r="E709" s="1" t="inlineStr">
        <is>
          <t>200x100mm</t>
        </is>
      </c>
      <c r="F709" s="1" t="inlineStr">
        <is>
          <t>m2</t>
        </is>
      </c>
      <c r="G709" s="1" t="inlineStr">
        <is>
          <t>-</t>
        </is>
      </c>
      <c r="H709" s="1" t="inlineStr">
        <is>
          <t>Gloss</t>
        </is>
      </c>
      <c r="I709" t="n">
        <v>16.99</v>
      </c>
    </row>
    <row r="710">
      <c r="A710" s="1">
        <f>Hyperlink("https://www.tilemountain.co.uk/p/metro-stone-effect-marble-xl-wall-tiles-10x30cm.html","Product")</f>
        <v/>
      </c>
      <c r="B710" s="1" t="inlineStr">
        <is>
          <t>300155</t>
        </is>
      </c>
      <c r="C710" s="1" t="inlineStr">
        <is>
          <t>Metro Stone Effect Marble XL Wall Tiles</t>
        </is>
      </c>
      <c r="D710" s="1" t="n">
        <v>19.99</v>
      </c>
      <c r="E710" s="1" t="inlineStr">
        <is>
          <t>300x100mm</t>
        </is>
      </c>
      <c r="F710" s="1" t="inlineStr">
        <is>
          <t>m2</t>
        </is>
      </c>
      <c r="G710" s="1" t="inlineStr">
        <is>
          <t>Ceramic</t>
        </is>
      </c>
      <c r="H710" s="1" t="inlineStr">
        <is>
          <t>Gloss</t>
        </is>
      </c>
      <c r="I710" t="n">
        <v>19.99</v>
      </c>
    </row>
    <row r="711">
      <c r="A711" s="1">
        <f>Hyperlink("https://www.tilemountain.co.uk/p/metro-teal-wall-tile-2089.html","Product")</f>
        <v/>
      </c>
      <c r="B711" s="1" t="inlineStr">
        <is>
          <t>436820</t>
        </is>
      </c>
      <c r="C711" s="1" t="inlineStr">
        <is>
          <t>Metro Teal Wall Tiles</t>
        </is>
      </c>
      <c r="D711" s="1" t="n">
        <v>18.99</v>
      </c>
      <c r="E711" s="1" t="inlineStr">
        <is>
          <t>300x100mm</t>
        </is>
      </c>
      <c r="F711" s="1" t="inlineStr">
        <is>
          <t>m2</t>
        </is>
      </c>
      <c r="G711" s="1" t="inlineStr">
        <is>
          <t>Ceramic</t>
        </is>
      </c>
      <c r="H711" s="1" t="inlineStr">
        <is>
          <t>Gloss</t>
        </is>
      </c>
      <c r="I711" t="n">
        <v>18.99</v>
      </c>
    </row>
    <row r="712">
      <c r="A712" s="1">
        <f>Hyperlink("https://www.tilemountain.co.uk/p/metro-teal-wall-tile.html","Product")</f>
        <v/>
      </c>
      <c r="B712" s="1" t="inlineStr">
        <is>
          <t>436815</t>
        </is>
      </c>
      <c r="C712" s="1" t="inlineStr">
        <is>
          <t>Metro Teal Wall Tiles</t>
        </is>
      </c>
      <c r="D712" s="1" t="n">
        <v>15.99</v>
      </c>
      <c r="E712" s="1" t="inlineStr">
        <is>
          <t>200x100mm</t>
        </is>
      </c>
      <c r="F712" s="1" t="inlineStr">
        <is>
          <t>m2</t>
        </is>
      </c>
      <c r="G712" s="1" t="inlineStr">
        <is>
          <t>Ceramic</t>
        </is>
      </c>
      <c r="H712" s="1" t="inlineStr">
        <is>
          <t>Gloss</t>
        </is>
      </c>
      <c r="I712" t="n">
        <v>15.99</v>
      </c>
    </row>
    <row r="713">
      <c r="A713" s="1">
        <f>Hyperlink("https://www.tilemountain.co.uk/p/metro-white-wall-tile-2149.html","Product")</f>
        <v/>
      </c>
      <c r="B713" s="1" t="inlineStr">
        <is>
          <t>437110</t>
        </is>
      </c>
      <c r="C713" s="1" t="inlineStr">
        <is>
          <t>Metro White Wall Tiles</t>
        </is>
      </c>
      <c r="D713" s="1" t="n">
        <v>10.95</v>
      </c>
      <c r="E713" s="1" t="inlineStr">
        <is>
          <t>200x100mm</t>
        </is>
      </c>
      <c r="F713" s="1" t="inlineStr">
        <is>
          <t>m2</t>
        </is>
      </c>
      <c r="G713" s="1" t="inlineStr">
        <is>
          <t>Ceramic</t>
        </is>
      </c>
      <c r="H713" s="1" t="inlineStr">
        <is>
          <t>Gloss</t>
        </is>
      </c>
      <c r="I713" t="n">
        <v>10.95</v>
      </c>
    </row>
    <row r="714">
      <c r="A714" s="1">
        <f>Hyperlink("https://www.tilemountain.co.uk/p/metro-white-wall-tile.html","Product")</f>
        <v/>
      </c>
      <c r="B714" s="1" t="inlineStr">
        <is>
          <t>431435</t>
        </is>
      </c>
      <c r="C714" s="1" t="inlineStr">
        <is>
          <t>Metro White Wall Tiles</t>
        </is>
      </c>
      <c r="D714" s="1" t="n">
        <v>19.49</v>
      </c>
      <c r="E714" s="1" t="inlineStr">
        <is>
          <t>300x100mm</t>
        </is>
      </c>
      <c r="F714" s="1" t="inlineStr">
        <is>
          <t>m2</t>
        </is>
      </c>
      <c r="G714" s="1" t="inlineStr">
        <is>
          <t>Ceramic</t>
        </is>
      </c>
      <c r="H714" s="1" t="inlineStr">
        <is>
          <t>Gloss</t>
        </is>
      </c>
      <c r="I714" t="n">
        <v>19.49</v>
      </c>
    </row>
    <row r="715">
      <c r="A715" s="1">
        <f>Hyperlink("https://www.tilemountain.co.uk/p/metro-xl-flat-grey-matt-wall-tiles-10x30cm.html","Product")</f>
        <v/>
      </c>
      <c r="B715" s="1" t="inlineStr">
        <is>
          <t>1003515</t>
        </is>
      </c>
      <c r="C715" s="1" t="inlineStr">
        <is>
          <t>Linear Grey Matt Wall Tiles</t>
        </is>
      </c>
      <c r="D715" s="1" t="n">
        <v>20.67</v>
      </c>
      <c r="E715" s="1" t="inlineStr">
        <is>
          <t>300x100mm</t>
        </is>
      </c>
      <c r="F715" s="1" t="inlineStr">
        <is>
          <t>m2</t>
        </is>
      </c>
      <c r="G715" s="1" t="inlineStr">
        <is>
          <t>Ceramic</t>
        </is>
      </c>
      <c r="H715" s="1" t="inlineStr">
        <is>
          <t>Matt</t>
        </is>
      </c>
      <c r="I715" t="n">
        <v>20.67</v>
      </c>
    </row>
    <row r="716">
      <c r="A716" s="1">
        <f>Hyperlink("https://www.tilemountain.co.uk/p/metro-xl-flat-white-matt-wall-tiles-10x30cm.html","Product")</f>
        <v/>
      </c>
      <c r="B716" s="1" t="inlineStr">
        <is>
          <t>1003530</t>
        </is>
      </c>
      <c r="C716" s="1" t="inlineStr">
        <is>
          <t>Linear White Matt Wall Tiles</t>
        </is>
      </c>
      <c r="D716" s="1" t="n">
        <v>19.99</v>
      </c>
      <c r="E716" s="1" t="inlineStr">
        <is>
          <t>300x100mm</t>
        </is>
      </c>
      <c r="F716" s="1" t="inlineStr">
        <is>
          <t>m2</t>
        </is>
      </c>
      <c r="G716" s="1" t="inlineStr">
        <is>
          <t>Ceramic</t>
        </is>
      </c>
      <c r="H716" s="1" t="inlineStr">
        <is>
          <t>Matt</t>
        </is>
      </c>
      <c r="I716" t="n">
        <v>19.99</v>
      </c>
    </row>
    <row r="717">
      <c r="A717" s="1">
        <f>Hyperlink("https://www.tilemountain.co.uk/p/metropolis-base-wall-and-floor-tile-45x45cm.html","Product")</f>
        <v/>
      </c>
      <c r="B717" s="1" t="inlineStr">
        <is>
          <t>201030</t>
        </is>
      </c>
      <c r="C717" s="1" t="inlineStr">
        <is>
          <t>Metropolis Base Wall and Floor Tiles</t>
        </is>
      </c>
      <c r="D717" s="1" t="n">
        <v>19.94</v>
      </c>
      <c r="E717" s="1" t="inlineStr">
        <is>
          <t>450x450mm</t>
        </is>
      </c>
      <c r="F717" s="1" t="inlineStr">
        <is>
          <t>m2</t>
        </is>
      </c>
      <c r="G717" s="1" t="inlineStr">
        <is>
          <t>Ceramic</t>
        </is>
      </c>
      <c r="H717" s="1" t="inlineStr">
        <is>
          <t>Matt</t>
        </is>
      </c>
      <c r="I717" t="n">
        <v>19.94</v>
      </c>
    </row>
    <row r="718">
      <c r="A718" s="1">
        <f>Hyperlink("https://www.tilemountain.co.uk/p/metropolis-geometric-wall-and-floor-tile-45x45cm.html","Product")</f>
        <v/>
      </c>
      <c r="B718" s="1" t="inlineStr">
        <is>
          <t>201040</t>
        </is>
      </c>
      <c r="C718" s="1" t="inlineStr">
        <is>
          <t>Metropolis Geometric Wall and Floor Tiles</t>
        </is>
      </c>
      <c r="D718" s="1" t="n">
        <v>19.94</v>
      </c>
      <c r="E718" s="1" t="inlineStr">
        <is>
          <t>450x450mm</t>
        </is>
      </c>
      <c r="F718" s="1" t="inlineStr">
        <is>
          <t>m2</t>
        </is>
      </c>
      <c r="G718" s="1" t="inlineStr">
        <is>
          <t>Ceramic</t>
        </is>
      </c>
      <c r="H718" s="1" t="inlineStr">
        <is>
          <t>Matt</t>
        </is>
      </c>
      <c r="I718" t="n">
        <v>19.94</v>
      </c>
    </row>
    <row r="719">
      <c r="A719" s="1">
        <f>Hyperlink("https://www.tilemountain.co.uk/p/metropolis-grey-star.html","Product")</f>
        <v/>
      </c>
      <c r="B719" s="1" t="inlineStr">
        <is>
          <t>448370</t>
        </is>
      </c>
      <c r="C719" s="1" t="inlineStr">
        <is>
          <t>Metropolis Star Silver Wall and Floor Tiles</t>
        </is>
      </c>
      <c r="D719" s="1" t="n">
        <v>19.94</v>
      </c>
      <c r="E719" s="1" t="inlineStr">
        <is>
          <t>450x450mm</t>
        </is>
      </c>
      <c r="F719" s="1" t="inlineStr">
        <is>
          <t>m2</t>
        </is>
      </c>
      <c r="G719" s="1" t="inlineStr">
        <is>
          <t>Ceramic</t>
        </is>
      </c>
      <c r="H719" s="1" t="inlineStr">
        <is>
          <t>Matt</t>
        </is>
      </c>
      <c r="I719" t="n">
        <v>19.94</v>
      </c>
    </row>
    <row r="720">
      <c r="A720" s="1">
        <f>Hyperlink("https://www.tilemountain.co.uk/p/metropolis-star-indigo-wall-floor-tile-45x45cm.html","Product")</f>
        <v/>
      </c>
      <c r="B720" s="1" t="inlineStr">
        <is>
          <t>401170</t>
        </is>
      </c>
      <c r="C720" s="1" t="inlineStr">
        <is>
          <t>Metropolis Star Indigo Wall and Floor Tiles</t>
        </is>
      </c>
      <c r="D720" s="1" t="n">
        <v>19.94</v>
      </c>
      <c r="E720" s="1" t="inlineStr">
        <is>
          <t>450x450mm</t>
        </is>
      </c>
      <c r="F720" s="1" t="inlineStr">
        <is>
          <t>m2</t>
        </is>
      </c>
      <c r="G720" s="1" t="inlineStr">
        <is>
          <t>Ceramic</t>
        </is>
      </c>
      <c r="H720" s="1" t="inlineStr">
        <is>
          <t>Matt</t>
        </is>
      </c>
      <c r="I720" t="n">
        <v>19.94</v>
      </c>
    </row>
    <row r="721">
      <c r="A721" s="1">
        <f>Hyperlink("https://www.tilemountain.co.uk/p/metropolis-star-sienna-wall-floor-tile-45x45cm.html","Product")</f>
        <v/>
      </c>
      <c r="B721" s="1" t="inlineStr">
        <is>
          <t>401175</t>
        </is>
      </c>
      <c r="C721" s="1" t="inlineStr">
        <is>
          <t>Metropolis Star Sienna Wall and Floor Tiles</t>
        </is>
      </c>
      <c r="D721" s="1" t="n">
        <v>19.94</v>
      </c>
      <c r="E721" s="1" t="inlineStr">
        <is>
          <t>450x450mm</t>
        </is>
      </c>
      <c r="F721" s="1" t="inlineStr">
        <is>
          <t>m2</t>
        </is>
      </c>
      <c r="G721" s="1" t="inlineStr">
        <is>
          <t>Ceramic</t>
        </is>
      </c>
      <c r="H721" s="1" t="inlineStr">
        <is>
          <t>Matt</t>
        </is>
      </c>
      <c r="I721" t="n">
        <v>19.94</v>
      </c>
    </row>
    <row r="722">
      <c r="A722" s="1">
        <f>Hyperlink("https://www.tilemountain.co.uk/p/metropolitan-mustard-wall-tiles-12x18cm.html","Product")</f>
        <v/>
      </c>
      <c r="B722" s="1" t="inlineStr">
        <is>
          <t>402205</t>
        </is>
      </c>
      <c r="C722" s="1" t="inlineStr">
        <is>
          <t>Metropolitan Mustard Wall Tiles</t>
        </is>
      </c>
      <c r="D722" s="1" t="n">
        <v>19.91</v>
      </c>
      <c r="E722" s="1" t="inlineStr">
        <is>
          <t>180x120mm</t>
        </is>
      </c>
      <c r="F722" s="1" t="inlineStr">
        <is>
          <t>m2</t>
        </is>
      </c>
      <c r="G722" s="1" t="inlineStr">
        <is>
          <t>Ceramic</t>
        </is>
      </c>
      <c r="H722" s="1" t="inlineStr">
        <is>
          <t>Gloss</t>
        </is>
      </c>
      <c r="I722" t="n">
        <v>19.91</v>
      </c>
    </row>
    <row r="723">
      <c r="A723" s="1">
        <f>Hyperlink("https://www.tilemountain.co.uk/p/microline-white-gloss-wall-tile-5x20cm.html","Product")</f>
        <v/>
      </c>
      <c r="B723" s="1" t="inlineStr">
        <is>
          <t>1004275</t>
        </is>
      </c>
      <c r="C723" s="1" t="inlineStr">
        <is>
          <t>Microline White Gloss Wall Tiles</t>
        </is>
      </c>
      <c r="D723" s="1" t="n">
        <v>24.99</v>
      </c>
      <c r="E723" s="1" t="inlineStr">
        <is>
          <t>200x50mm</t>
        </is>
      </c>
      <c r="F723" s="1" t="inlineStr">
        <is>
          <t>m2</t>
        </is>
      </c>
      <c r="G723" s="1" t="inlineStr">
        <is>
          <t>Ceramic</t>
        </is>
      </c>
      <c r="H723" s="1" t="inlineStr">
        <is>
          <t>Gloss</t>
        </is>
      </c>
      <c r="I723" t="n">
        <v>24.99</v>
      </c>
    </row>
    <row r="724">
      <c r="A724" s="1">
        <f>Hyperlink("https://www.tilemountain.co.uk/p/microline-white-matt-wall-tile-5x20cm.html","Product")</f>
        <v/>
      </c>
      <c r="B724" s="1" t="inlineStr">
        <is>
          <t>1008560</t>
        </is>
      </c>
      <c r="C724" s="1" t="inlineStr">
        <is>
          <t>Microline White Matt Wall Tile</t>
        </is>
      </c>
      <c r="D724" s="1" t="n">
        <v>24.99</v>
      </c>
      <c r="E724" s="1" t="inlineStr">
        <is>
          <t>200x50mm</t>
        </is>
      </c>
      <c r="F724" s="1" t="inlineStr">
        <is>
          <t>m2</t>
        </is>
      </c>
      <c r="G724" s="1" t="inlineStr">
        <is>
          <t>Ceramic</t>
        </is>
      </c>
      <c r="H724" s="1" t="inlineStr">
        <is>
          <t>Matt</t>
        </is>
      </c>
      <c r="I724" t="n">
        <v>24.99</v>
      </c>
    </row>
    <row r="725">
      <c r="A725" s="1">
        <f>Hyperlink("https://www.tilemountain.co.uk/p/mikeno-ash-wood-effect-wall-and-floor-tiles.html","Product")</f>
        <v/>
      </c>
      <c r="B725" s="1" t="inlineStr">
        <is>
          <t>450585</t>
        </is>
      </c>
      <c r="C725" s="1" t="inlineStr">
        <is>
          <t>Mikeno Ash Wood Effect Wall And Floor Tiles</t>
        </is>
      </c>
      <c r="D725" s="1" t="n">
        <v>17.99</v>
      </c>
      <c r="E725" s="1" t="inlineStr">
        <is>
          <t>900x150mm</t>
        </is>
      </c>
      <c r="F725" s="1" t="inlineStr">
        <is>
          <t>m2</t>
        </is>
      </c>
      <c r="G725" s="1" t="inlineStr">
        <is>
          <t>Porcelain</t>
        </is>
      </c>
      <c r="H725" s="1" t="inlineStr">
        <is>
          <t>Matt</t>
        </is>
      </c>
      <c r="I725" t="n">
        <v>17.99</v>
      </c>
    </row>
    <row r="726">
      <c r="A726" s="1">
        <f>Hyperlink("https://www.tilemountain.co.uk/p/mikeno-grey-wood-effect-wall-and-floor-tiles.html","Product")</f>
        <v/>
      </c>
      <c r="B726" s="1" t="inlineStr">
        <is>
          <t>450590</t>
        </is>
      </c>
      <c r="C726" s="1" t="inlineStr">
        <is>
          <t>Mikeno Grey Wood Effect Wall And Floor Tiles</t>
        </is>
      </c>
      <c r="D726" s="1" t="n">
        <v>17.99</v>
      </c>
      <c r="E726" s="1" t="inlineStr">
        <is>
          <t>900x150mm</t>
        </is>
      </c>
      <c r="F726" s="1" t="inlineStr">
        <is>
          <t>m2</t>
        </is>
      </c>
      <c r="G726" s="1" t="inlineStr">
        <is>
          <t>Porcelain</t>
        </is>
      </c>
      <c r="H726" s="1" t="inlineStr">
        <is>
          <t>Matt</t>
        </is>
      </c>
      <c r="I726" t="n">
        <v>17.99</v>
      </c>
    </row>
    <row r="727">
      <c r="A727" s="1">
        <f>Hyperlink("https://www.tilemountain.co.uk/p/mini-matt-flat-white-wall-tile.html","Product")</f>
        <v/>
      </c>
      <c r="B727" s="1" t="inlineStr">
        <is>
          <t>439450</t>
        </is>
      </c>
      <c r="C727" s="1" t="inlineStr">
        <is>
          <t>Mini Matt Flat White Wall Tiles</t>
        </is>
      </c>
      <c r="D727" s="1" t="n">
        <v>17.99</v>
      </c>
      <c r="E727" s="1" t="inlineStr">
        <is>
          <t>150x75mm</t>
        </is>
      </c>
      <c r="F727" s="1" t="inlineStr">
        <is>
          <t>m2</t>
        </is>
      </c>
      <c r="G727" s="1" t="inlineStr">
        <is>
          <t>Ceramic</t>
        </is>
      </c>
      <c r="H727" s="1" t="inlineStr">
        <is>
          <t>Matt</t>
        </is>
      </c>
      <c r="I727" t="n">
        <v>17.99</v>
      </c>
    </row>
    <row r="728">
      <c r="A728" s="1">
        <f>Hyperlink("https://www.tilemountain.co.uk/p/mini-metro-black-wall-tile.html","Product")</f>
        <v/>
      </c>
      <c r="B728" s="1" t="inlineStr">
        <is>
          <t>435545</t>
        </is>
      </c>
      <c r="C728" s="1" t="inlineStr">
        <is>
          <t>Mini Metro Black Wall Tiles</t>
        </is>
      </c>
      <c r="D728" s="1" t="n">
        <v>17.99</v>
      </c>
      <c r="E728" s="1" t="inlineStr">
        <is>
          <t>150x75mm</t>
        </is>
      </c>
      <c r="F728" s="1" t="inlineStr">
        <is>
          <t>m2</t>
        </is>
      </c>
      <c r="G728" s="1" t="inlineStr">
        <is>
          <t>Ceramic</t>
        </is>
      </c>
      <c r="H728" s="1" t="inlineStr">
        <is>
          <t>Gloss</t>
        </is>
      </c>
      <c r="I728" t="n">
        <v>17.99</v>
      </c>
    </row>
    <row r="729">
      <c r="A729" s="1">
        <f>Hyperlink("https://www.tilemountain.co.uk/p/mini-metro-cream-wall-tile.html","Product")</f>
        <v/>
      </c>
      <c r="B729" s="1" t="inlineStr">
        <is>
          <t>435540</t>
        </is>
      </c>
      <c r="C729" s="1" t="inlineStr">
        <is>
          <t>Mini Metro Cream Wall Tiles</t>
        </is>
      </c>
      <c r="D729" s="1" t="n">
        <v>17.99</v>
      </c>
      <c r="E729" s="1" t="inlineStr">
        <is>
          <t>150x75mm</t>
        </is>
      </c>
      <c r="F729" s="1" t="inlineStr">
        <is>
          <t>m2</t>
        </is>
      </c>
      <c r="G729" s="1" t="inlineStr">
        <is>
          <t>Ceramic</t>
        </is>
      </c>
      <c r="H729" s="1" t="inlineStr">
        <is>
          <t>Gloss</t>
        </is>
      </c>
      <c r="I729" t="n">
        <v>17.99</v>
      </c>
    </row>
    <row r="730">
      <c r="A730" s="1">
        <f>Hyperlink("https://www.tilemountain.co.uk/p/mini-metro-matt-black-wall-tile.html","Product")</f>
        <v/>
      </c>
      <c r="B730" s="1" t="inlineStr">
        <is>
          <t>439195</t>
        </is>
      </c>
      <c r="C730" s="1" t="inlineStr">
        <is>
          <t>Mini Metro Matt Black Wall Tiles</t>
        </is>
      </c>
      <c r="D730" s="1" t="n">
        <v>17.99</v>
      </c>
      <c r="E730" s="1" t="inlineStr">
        <is>
          <t>150x75mm</t>
        </is>
      </c>
      <c r="F730" s="1" t="inlineStr">
        <is>
          <t>m2</t>
        </is>
      </c>
      <c r="G730" s="1" t="inlineStr">
        <is>
          <t>Ceramic</t>
        </is>
      </c>
      <c r="H730" s="1" t="inlineStr">
        <is>
          <t>Matt</t>
        </is>
      </c>
      <c r="I730" t="n">
        <v>17.99</v>
      </c>
    </row>
    <row r="731">
      <c r="A731" s="1">
        <f>Hyperlink("https://www.tilemountain.co.uk/p/mini-metro-matt-white-wall-tile.html","Product")</f>
        <v/>
      </c>
      <c r="B731" s="1" t="inlineStr">
        <is>
          <t>439190</t>
        </is>
      </c>
      <c r="C731" s="1" t="inlineStr">
        <is>
          <t>Mini Metro Matt White Wall Tiles</t>
        </is>
      </c>
      <c r="D731" s="1" t="n">
        <v>17.99</v>
      </c>
      <c r="E731" s="1" t="inlineStr">
        <is>
          <t>150x75mm</t>
        </is>
      </c>
      <c r="F731" s="1" t="inlineStr">
        <is>
          <t>m2</t>
        </is>
      </c>
      <c r="G731" s="1" t="inlineStr">
        <is>
          <t>Ceramic</t>
        </is>
      </c>
      <c r="H731" s="1" t="inlineStr">
        <is>
          <t>Matt</t>
        </is>
      </c>
      <c r="I731" t="n">
        <v>17.99</v>
      </c>
    </row>
    <row r="732">
      <c r="A732" s="1">
        <f>Hyperlink("https://www.tilemountain.co.uk/p/mini-metro-red-wall-tile.html","Product")</f>
        <v/>
      </c>
      <c r="B732" s="1" t="inlineStr">
        <is>
          <t>435550</t>
        </is>
      </c>
      <c r="C732" s="1" t="inlineStr">
        <is>
          <t>Mini Metro Red Wall Tiles</t>
        </is>
      </c>
      <c r="D732" s="1" t="n">
        <v>19.99</v>
      </c>
      <c r="E732" s="1" t="inlineStr">
        <is>
          <t>150x75mm</t>
        </is>
      </c>
      <c r="F732" s="1" t="inlineStr">
        <is>
          <t>m2</t>
        </is>
      </c>
      <c r="G732" s="1" t="inlineStr">
        <is>
          <t>Ceramic</t>
        </is>
      </c>
      <c r="H732" s="1" t="inlineStr">
        <is>
          <t>Gloss</t>
        </is>
      </c>
      <c r="I732" t="n">
        <v>19.99</v>
      </c>
    </row>
    <row r="733">
      <c r="A733" s="1">
        <f>Hyperlink("https://www.tilemountain.co.uk/p/mini-metro-sage-wall-tile.html","Product")</f>
        <v/>
      </c>
      <c r="B733" s="1" t="inlineStr">
        <is>
          <t>449405</t>
        </is>
      </c>
      <c r="C733" s="1" t="inlineStr">
        <is>
          <t>Mini Metro Sage Wall Tile</t>
        </is>
      </c>
      <c r="D733" s="1" t="n">
        <v>17.99</v>
      </c>
      <c r="E733" s="1" t="inlineStr">
        <is>
          <t>150x75mm</t>
        </is>
      </c>
      <c r="F733" s="1" t="inlineStr">
        <is>
          <t>m2</t>
        </is>
      </c>
      <c r="G733" s="1" t="inlineStr">
        <is>
          <t>Ceramic</t>
        </is>
      </c>
      <c r="H733" s="1" t="inlineStr">
        <is>
          <t>Gloss</t>
        </is>
      </c>
      <c r="I733" t="n">
        <v>17.99</v>
      </c>
    </row>
    <row r="734">
      <c r="A734" s="1">
        <f>Hyperlink("https://www.tilemountain.co.uk/p/mini-metro-white-wall-tile.html","Product")</f>
        <v/>
      </c>
      <c r="B734" s="1" t="inlineStr">
        <is>
          <t>435535</t>
        </is>
      </c>
      <c r="C734" s="1" t="inlineStr">
        <is>
          <t>Mini Metro White Wall Tiles</t>
        </is>
      </c>
      <c r="D734" s="1" t="n">
        <v>17.99</v>
      </c>
      <c r="E734" s="1" t="inlineStr">
        <is>
          <t>150x75mm</t>
        </is>
      </c>
      <c r="F734" s="1" t="inlineStr">
        <is>
          <t>m2</t>
        </is>
      </c>
      <c r="G734" s="1" t="inlineStr">
        <is>
          <t>Ceramic</t>
        </is>
      </c>
      <c r="H734" s="1" t="inlineStr">
        <is>
          <t>Gloss</t>
        </is>
      </c>
      <c r="I734" t="n">
        <v>17.99</v>
      </c>
    </row>
    <row r="735">
      <c r="A735" s="1">
        <f>Hyperlink("https://www.tilemountain.co.uk/p/moliere-decor-mix-floor-tile.html","Product")</f>
        <v/>
      </c>
      <c r="B735" s="1" t="inlineStr">
        <is>
          <t>441340</t>
        </is>
      </c>
      <c r="C735" s="1" t="inlineStr">
        <is>
          <t>Moliere Decor Mix Floor Tiles</t>
        </is>
      </c>
      <c r="D735" s="1" t="n">
        <v>14.99</v>
      </c>
      <c r="E735" s="1" t="inlineStr">
        <is>
          <t>450x450mm</t>
        </is>
      </c>
      <c r="F735" s="1" t="inlineStr">
        <is>
          <t>m2</t>
        </is>
      </c>
      <c r="G735" s="1" t="inlineStr">
        <is>
          <t>Porcelain</t>
        </is>
      </c>
      <c r="H735" s="1" t="inlineStr">
        <is>
          <t>Matt</t>
        </is>
      </c>
      <c r="I735" t="n">
        <v>14.99</v>
      </c>
    </row>
    <row r="736">
      <c r="A736" s="1">
        <f>Hyperlink("https://www.tilemountain.co.uk/p/moliere-grey-anti-slip-floor-tile.html","Product")</f>
        <v/>
      </c>
      <c r="B736" s="1" t="inlineStr">
        <is>
          <t>441335</t>
        </is>
      </c>
      <c r="C736" s="1" t="inlineStr">
        <is>
          <t>Moliere Grey Anti-Slip Floor Tiles</t>
        </is>
      </c>
      <c r="D736" s="1" t="n">
        <v>13.99</v>
      </c>
      <c r="E736" s="1" t="inlineStr">
        <is>
          <t>450x450mm</t>
        </is>
      </c>
      <c r="F736" s="1" t="inlineStr">
        <is>
          <t>m2</t>
        </is>
      </c>
      <c r="G736" s="1" t="inlineStr">
        <is>
          <t>Porcelain</t>
        </is>
      </c>
      <c r="H736" s="1" t="inlineStr">
        <is>
          <t>Matt</t>
        </is>
      </c>
      <c r="I736" t="n">
        <v>13.99</v>
      </c>
    </row>
    <row r="737">
      <c r="A737" s="1">
        <f>Hyperlink("https://www.tilemountain.co.uk/p/montclair-polished-porcelain.html","Product")</f>
        <v/>
      </c>
      <c r="B737" s="1" t="inlineStr">
        <is>
          <t>444895</t>
        </is>
      </c>
      <c r="C737" s="1" t="inlineStr">
        <is>
          <t>Montclair Polished Porcelain Floor Tile</t>
        </is>
      </c>
      <c r="D737" s="1" t="n">
        <v>42.99</v>
      </c>
      <c r="E737" s="1" t="inlineStr">
        <is>
          <t>1200x1200mm</t>
        </is>
      </c>
      <c r="F737" s="1" t="inlineStr">
        <is>
          <t>m2</t>
        </is>
      </c>
      <c r="G737" s="1" t="inlineStr">
        <is>
          <t>Porcelain</t>
        </is>
      </c>
      <c r="H737" s="1" t="inlineStr">
        <is>
          <t>Polished</t>
        </is>
      </c>
      <c r="I737" t="n">
        <v>42.99</v>
      </c>
    </row>
    <row r="738">
      <c r="A738" s="1">
        <f>Hyperlink("https://www.tilemountain.co.uk/p/mosaic-backer-300x300.html","Product")</f>
        <v/>
      </c>
      <c r="B738" s="1" t="inlineStr">
        <is>
          <t>450800</t>
        </is>
      </c>
      <c r="C738" s="1" t="inlineStr">
        <is>
          <t>Mosaic Backer 300x300</t>
        </is>
      </c>
      <c r="D738" s="1" t="n">
        <v>1.49</v>
      </c>
      <c r="E738" s="1" t="inlineStr">
        <is>
          <t>-</t>
        </is>
      </c>
      <c r="F738" s="1" t="inlineStr">
        <is>
          <t>Qty</t>
        </is>
      </c>
      <c r="G738" s="1" t="inlineStr">
        <is>
          <t>-</t>
        </is>
      </c>
      <c r="H738" s="1" t="inlineStr">
        <is>
          <t>-</t>
        </is>
      </c>
      <c r="I738" t="n">
        <v>1.49</v>
      </c>
    </row>
    <row r="739">
      <c r="A739" s="1">
        <f>Hyperlink("https://www.tilemountain.co.uk/p/mountain-atlas-white-glass-mosaic.html","Product")</f>
        <v/>
      </c>
      <c r="B739" s="1" t="inlineStr">
        <is>
          <t>450075</t>
        </is>
      </c>
      <c r="C739" s="1" t="inlineStr">
        <is>
          <t>Mountain Atlas White Glass Mosaic 300x300</t>
        </is>
      </c>
      <c r="D739" s="1" t="n">
        <v>12.95</v>
      </c>
      <c r="E739" s="1" t="inlineStr">
        <is>
          <t>300x300mm</t>
        </is>
      </c>
      <c r="F739" s="1" t="inlineStr">
        <is>
          <t>sheet</t>
        </is>
      </c>
      <c r="G739" s="1" t="inlineStr">
        <is>
          <t>Glass</t>
        </is>
      </c>
      <c r="H739" s="1" t="inlineStr">
        <is>
          <t>Gloss</t>
        </is>
      </c>
      <c r="I739" t="n">
        <v>12.95</v>
      </c>
    </row>
    <row r="740">
      <c r="A740" s="1">
        <f>Hyperlink("https://www.tilemountain.co.uk/p/mountain-grampian-grey-glass-mosaic_1.html","Product")</f>
        <v/>
      </c>
      <c r="B740" s="1" t="inlineStr">
        <is>
          <t>450080</t>
        </is>
      </c>
      <c r="C740" s="1" t="inlineStr">
        <is>
          <t>Mountain Grampian Grey Glass Mosaic 300x300</t>
        </is>
      </c>
      <c r="D740" s="1" t="n">
        <v>12.95</v>
      </c>
      <c r="E740" s="1" t="inlineStr">
        <is>
          <t>300x300mm</t>
        </is>
      </c>
      <c r="F740" s="1" t="inlineStr">
        <is>
          <t>sheet</t>
        </is>
      </c>
      <c r="G740" s="1" t="inlineStr">
        <is>
          <t>Glass</t>
        </is>
      </c>
      <c r="H740" s="1" t="inlineStr">
        <is>
          <t>Gloss</t>
        </is>
      </c>
      <c r="I740" t="n">
        <v>12.95</v>
      </c>
    </row>
    <row r="741">
      <c r="A741" s="1">
        <f>Hyperlink("https://www.tilemountain.co.uk/p/move-white-polished-porcelain-floor-tile.html","Product")</f>
        <v/>
      </c>
      <c r="B741" s="1" t="inlineStr">
        <is>
          <t>450275</t>
        </is>
      </c>
      <c r="C741" s="1" t="inlineStr">
        <is>
          <t>Milan Polished Porcelain Floor Tile</t>
        </is>
      </c>
      <c r="D741" s="1" t="n">
        <v>20.99</v>
      </c>
      <c r="E741" s="1" t="inlineStr">
        <is>
          <t>1200x600mm</t>
        </is>
      </c>
      <c r="F741" s="1" t="inlineStr">
        <is>
          <t>m2</t>
        </is>
      </c>
      <c r="G741" s="1" t="inlineStr">
        <is>
          <t>Porcelain</t>
        </is>
      </c>
      <c r="H741" s="1" t="inlineStr">
        <is>
          <t>Polished</t>
        </is>
      </c>
      <c r="I741" t="n">
        <v>20.99</v>
      </c>
    </row>
    <row r="742">
      <c r="A742" s="1">
        <f>Hyperlink("https://www.tilemountain.co.uk/p/mp90-eco-xtreme-1ltr.html","Product")</f>
        <v/>
      </c>
      <c r="B742" s="1" t="inlineStr">
        <is>
          <t>452440</t>
        </is>
      </c>
      <c r="C742" s="1" t="inlineStr">
        <is>
          <t>MP90 Eco Xtreme 1ltr</t>
        </is>
      </c>
      <c r="D742" s="1" t="n">
        <v>53.99</v>
      </c>
      <c r="E742" s="1" t="inlineStr">
        <is>
          <t>-</t>
        </is>
      </c>
      <c r="F742" s="1" t="inlineStr">
        <is>
          <t>Qty</t>
        </is>
      </c>
      <c r="G742" s="1" t="inlineStr">
        <is>
          <t>-</t>
        </is>
      </c>
      <c r="H742" s="1" t="inlineStr">
        <is>
          <t>-</t>
        </is>
      </c>
      <c r="I742" t="n">
        <v>53.99</v>
      </c>
    </row>
    <row r="743">
      <c r="A743" s="1">
        <f>Hyperlink("https://www.tilemountain.co.uk/p/mr-jones-blue-pattern-wall-and-floor-tile.html","Product")</f>
        <v/>
      </c>
      <c r="B743" s="1" t="inlineStr">
        <is>
          <t>449005</t>
        </is>
      </c>
      <c r="C743" s="1" t="inlineStr">
        <is>
          <t>Mr Jones Azure Blue Pattern Wall and Floor Tile</t>
        </is>
      </c>
      <c r="D743" s="1" t="n">
        <v>13.99</v>
      </c>
      <c r="E743" s="1" t="inlineStr">
        <is>
          <t>330x330mm</t>
        </is>
      </c>
      <c r="F743" s="1" t="inlineStr">
        <is>
          <t>m2</t>
        </is>
      </c>
      <c r="G743" s="1" t="inlineStr">
        <is>
          <t>Porcelain</t>
        </is>
      </c>
      <c r="H743" s="1" t="inlineStr">
        <is>
          <t>Matt</t>
        </is>
      </c>
      <c r="I743" t="n">
        <v>13.99</v>
      </c>
    </row>
    <row r="744">
      <c r="A744" s="1">
        <f>Hyperlink("https://www.tilemountain.co.uk/p/mr-jones-cream-pattern-wall-and-floor-tile.html","Product")</f>
        <v/>
      </c>
      <c r="B744" s="1" t="inlineStr">
        <is>
          <t>449000</t>
        </is>
      </c>
      <c r="C744" s="1" t="inlineStr">
        <is>
          <t>Mr Jones Cream Pattern Wall and Floor Tile</t>
        </is>
      </c>
      <c r="D744" s="1" t="n">
        <v>13.99</v>
      </c>
      <c r="E744" s="1" t="inlineStr">
        <is>
          <t>330x330mm</t>
        </is>
      </c>
      <c r="F744" s="1" t="inlineStr">
        <is>
          <t>m2</t>
        </is>
      </c>
      <c r="G744" s="1" t="inlineStr">
        <is>
          <t>-</t>
        </is>
      </c>
      <c r="H744" s="1" t="inlineStr">
        <is>
          <t>-</t>
        </is>
      </c>
      <c r="I744" t="n">
        <v>13.99</v>
      </c>
    </row>
    <row r="745">
      <c r="A745" s="1">
        <f>Hyperlink("https://www.tilemountain.co.uk/p/mr-jones-grey-pattern-wall-and-floor-tile_1.html","Product")</f>
        <v/>
      </c>
      <c r="B745" s="1" t="inlineStr">
        <is>
          <t>448995</t>
        </is>
      </c>
      <c r="C745" s="1" t="inlineStr">
        <is>
          <t>Mr Jones Grey Pattern Wall and Floor Tile</t>
        </is>
      </c>
      <c r="D745" s="1" t="n">
        <v>13.99</v>
      </c>
      <c r="E745" s="1" t="inlineStr">
        <is>
          <t>330x330mm</t>
        </is>
      </c>
      <c r="F745" s="1" t="inlineStr">
        <is>
          <t>m2</t>
        </is>
      </c>
      <c r="G745" s="1" t="inlineStr">
        <is>
          <t>Porcelain</t>
        </is>
      </c>
      <c r="H745" s="1" t="inlineStr">
        <is>
          <t>Matt</t>
        </is>
      </c>
      <c r="I745" t="n">
        <v>13.99</v>
      </c>
    </row>
    <row r="746">
      <c r="A746" s="1">
        <f>Hyperlink("https://www.tilemountain.co.uk/p/munari-branco-ac-60x60.html","Product")</f>
        <v/>
      </c>
      <c r="B746" s="1" t="inlineStr">
        <is>
          <t>448525</t>
        </is>
      </c>
      <c r="C746" s="1" t="inlineStr">
        <is>
          <t>Munari Soft Bianco Concrete Effect Wall and Floor Tile</t>
        </is>
      </c>
      <c r="D746" s="1" t="n">
        <v>15.99</v>
      </c>
      <c r="E746" s="1" t="inlineStr">
        <is>
          <t>600x600mm</t>
        </is>
      </c>
      <c r="F746" s="1" t="inlineStr">
        <is>
          <t>m2</t>
        </is>
      </c>
      <c r="G746" s="1" t="inlineStr">
        <is>
          <t>Porcelain</t>
        </is>
      </c>
      <c r="H746" s="1" t="inlineStr">
        <is>
          <t>Matt</t>
        </is>
      </c>
      <c r="I746" t="n">
        <v>15.99</v>
      </c>
    </row>
    <row r="747">
      <c r="A747" s="1">
        <f>Hyperlink("https://www.tilemountain.co.uk/p/munari-cimento-ac-60x60_1.html","Product")</f>
        <v/>
      </c>
      <c r="B747" s="1" t="inlineStr">
        <is>
          <t>448530</t>
        </is>
      </c>
      <c r="C747" s="1" t="inlineStr">
        <is>
          <t>Munari Soft Grey Concrete Effect Wall and Floor Tile</t>
        </is>
      </c>
      <c r="D747" s="1" t="n">
        <v>15.99</v>
      </c>
      <c r="E747" s="1" t="inlineStr">
        <is>
          <t>600x600mm</t>
        </is>
      </c>
      <c r="F747" s="1" t="inlineStr">
        <is>
          <t>m2</t>
        </is>
      </c>
      <c r="G747" s="1" t="inlineStr">
        <is>
          <t>Porcelain</t>
        </is>
      </c>
      <c r="H747" s="1" t="inlineStr">
        <is>
          <t>Matt</t>
        </is>
      </c>
      <c r="I747" t="n">
        <v>15.99</v>
      </c>
    </row>
    <row r="748">
      <c r="A748" s="1">
        <f>Hyperlink("https://www.tilemountain.co.uk/p/muralla-grey-brick-wall-tile.html","Product")</f>
        <v/>
      </c>
      <c r="B748" s="1" t="inlineStr">
        <is>
          <t>438490</t>
        </is>
      </c>
      <c r="C748" s="1" t="inlineStr">
        <is>
          <t>Muralla Grey Brick Wall Tiles</t>
        </is>
      </c>
      <c r="D748" s="1" t="n">
        <v>24.99</v>
      </c>
      <c r="E748" s="1" t="inlineStr">
        <is>
          <t>280x75mm</t>
        </is>
      </c>
      <c r="F748" s="1" t="inlineStr">
        <is>
          <t>m2</t>
        </is>
      </c>
      <c r="G748" s="1" t="inlineStr">
        <is>
          <t>Glazed Porcelain</t>
        </is>
      </c>
      <c r="H748" s="1" t="inlineStr">
        <is>
          <t>Matt</t>
        </is>
      </c>
      <c r="I748" t="n">
        <v>24.99</v>
      </c>
    </row>
    <row r="749">
      <c r="A749" s="1">
        <f>Hyperlink("https://www.tilemountain.co.uk/p/muralla-red-brick-wall-tile.html","Product")</f>
        <v/>
      </c>
      <c r="B749" s="1" t="inlineStr">
        <is>
          <t>438485</t>
        </is>
      </c>
      <c r="C749" s="1" t="inlineStr">
        <is>
          <t>Muralla Red Brick Wall Tiles</t>
        </is>
      </c>
      <c r="D749" s="1" t="n">
        <v>24.99</v>
      </c>
      <c r="E749" s="1" t="inlineStr">
        <is>
          <t>280x75mm</t>
        </is>
      </c>
      <c r="F749" s="1" t="inlineStr">
        <is>
          <t>m2</t>
        </is>
      </c>
      <c r="G749" s="1" t="inlineStr">
        <is>
          <t>Glazed Porcelain</t>
        </is>
      </c>
      <c r="H749" s="1" t="inlineStr">
        <is>
          <t>Matt</t>
        </is>
      </c>
      <c r="I749" t="n">
        <v>24.99</v>
      </c>
    </row>
    <row r="750">
      <c r="A750" s="1">
        <f>Hyperlink("https://www.tilemountain.co.uk/p/muralla-white-brick-corner-tile.html","Product")</f>
        <v/>
      </c>
      <c r="B750" s="1" t="inlineStr">
        <is>
          <t>439225</t>
        </is>
      </c>
      <c r="C750" s="1" t="inlineStr">
        <is>
          <t>Muralla White Brick Corner Tiles</t>
        </is>
      </c>
      <c r="D750" s="1" t="n">
        <v>4.99</v>
      </c>
      <c r="E750" s="1" t="inlineStr">
        <is>
          <t>7x13mm</t>
        </is>
      </c>
      <c r="F750" s="1" t="inlineStr">
        <is>
          <t>Qty</t>
        </is>
      </c>
      <c r="G750" s="1" t="inlineStr">
        <is>
          <t>Glazed Porcelain</t>
        </is>
      </c>
      <c r="H750" s="1" t="inlineStr">
        <is>
          <t>Matt</t>
        </is>
      </c>
      <c r="I750" t="n">
        <v>4.99</v>
      </c>
    </row>
    <row r="751">
      <c r="A751" s="1">
        <f>Hyperlink("https://www.tilemountain.co.uk/p/muralla-white-brick-wall-tile.html","Product")</f>
        <v/>
      </c>
      <c r="B751" s="1" t="inlineStr">
        <is>
          <t>438480</t>
        </is>
      </c>
      <c r="C751" s="1" t="inlineStr">
        <is>
          <t>Muralla White Brick Wall Tiles</t>
        </is>
      </c>
      <c r="D751" s="1" t="n">
        <v>24.99</v>
      </c>
      <c r="E751" s="1" t="inlineStr">
        <is>
          <t>280x75mm</t>
        </is>
      </c>
      <c r="F751" s="1" t="inlineStr">
        <is>
          <t>m2</t>
        </is>
      </c>
      <c r="G751" s="1" t="inlineStr">
        <is>
          <t>Glazed Porcelain</t>
        </is>
      </c>
      <c r="H751" s="1" t="inlineStr">
        <is>
          <t>Matt</t>
        </is>
      </c>
      <c r="I751" t="n">
        <v>24.99</v>
      </c>
    </row>
    <row r="752">
      <c r="A752" s="1">
        <f>Hyperlink("https://www.tilemountain.co.uk/p/muse-60bg-lp.html","Product")</f>
        <v/>
      </c>
      <c r="B752" s="1" t="inlineStr">
        <is>
          <t>442650</t>
        </is>
      </c>
      <c r="C752" s="1" t="inlineStr">
        <is>
          <t>Muse Beige Polished Floor Tiles</t>
        </is>
      </c>
      <c r="D752" s="1" t="n">
        <v>55.99</v>
      </c>
      <c r="E752" s="1" t="inlineStr">
        <is>
          <t>600x600mm</t>
        </is>
      </c>
      <c r="F752" s="1" t="inlineStr">
        <is>
          <t>m2</t>
        </is>
      </c>
      <c r="G752" s="1" t="inlineStr">
        <is>
          <t>Porcelain</t>
        </is>
      </c>
      <c r="H752" s="1" t="inlineStr">
        <is>
          <t>Gloss</t>
        </is>
      </c>
      <c r="I752" t="n">
        <v>55.99</v>
      </c>
    </row>
    <row r="753">
      <c r="A753" s="1">
        <f>Hyperlink("https://www.tilemountain.co.uk/p/muse-60bg.html","Product")</f>
        <v/>
      </c>
      <c r="B753" s="1" t="inlineStr">
        <is>
          <t>442610</t>
        </is>
      </c>
      <c r="C753" s="1" t="inlineStr">
        <is>
          <t>Muse Beige Matt Floor Tiles</t>
        </is>
      </c>
      <c r="D753" s="1" t="n">
        <v>39.99</v>
      </c>
      <c r="E753" s="1" t="inlineStr">
        <is>
          <t>600x600mm</t>
        </is>
      </c>
      <c r="F753" s="1" t="inlineStr">
        <is>
          <t>m2</t>
        </is>
      </c>
      <c r="G753" s="1" t="inlineStr">
        <is>
          <t>Porcelain</t>
        </is>
      </c>
      <c r="H753" s="1" t="inlineStr">
        <is>
          <t>Matt</t>
        </is>
      </c>
      <c r="I753" t="n">
        <v>39.99</v>
      </c>
    </row>
    <row r="754">
      <c r="A754" s="1">
        <f>Hyperlink("https://www.tilemountain.co.uk/p/muse-60dg-lp.html","Product")</f>
        <v/>
      </c>
      <c r="B754" s="1" t="inlineStr">
        <is>
          <t>442655</t>
        </is>
      </c>
      <c r="C754" s="1" t="inlineStr">
        <is>
          <t>Muse Dark Grey Polished Floor Tiles</t>
        </is>
      </c>
      <c r="D754" s="1" t="n">
        <v>55.99</v>
      </c>
      <c r="E754" s="1" t="inlineStr">
        <is>
          <t>600x600mm</t>
        </is>
      </c>
      <c r="F754" s="1" t="inlineStr">
        <is>
          <t>m2</t>
        </is>
      </c>
      <c r="G754" s="1" t="inlineStr">
        <is>
          <t>Porcelain</t>
        </is>
      </c>
      <c r="H754" s="1" t="inlineStr">
        <is>
          <t>Gloss</t>
        </is>
      </c>
      <c r="I754" t="n">
        <v>55.99</v>
      </c>
    </row>
    <row r="755">
      <c r="A755" s="1">
        <f>Hyperlink("https://www.tilemountain.co.uk/p/muse-60dg.html","Product")</f>
        <v/>
      </c>
      <c r="B755" s="1" t="inlineStr">
        <is>
          <t>442615</t>
        </is>
      </c>
      <c r="C755" s="1" t="inlineStr">
        <is>
          <t>Muse Dark Grey Matt Floor Tiles</t>
        </is>
      </c>
      <c r="D755" s="1" t="n">
        <v>39.99</v>
      </c>
      <c r="E755" s="1" t="inlineStr">
        <is>
          <t>600x600mm</t>
        </is>
      </c>
      <c r="F755" s="1" t="inlineStr">
        <is>
          <t>m2</t>
        </is>
      </c>
      <c r="G755" s="1" t="inlineStr">
        <is>
          <t>Porcelain</t>
        </is>
      </c>
      <c r="H755" s="1" t="inlineStr">
        <is>
          <t>Matt</t>
        </is>
      </c>
      <c r="I755" t="n">
        <v>39.99</v>
      </c>
    </row>
    <row r="756">
      <c r="A756" s="1">
        <f>Hyperlink("https://www.tilemountain.co.uk/p/muse-60g-lp.html","Product")</f>
        <v/>
      </c>
      <c r="B756" s="1" t="inlineStr">
        <is>
          <t>442660</t>
        </is>
      </c>
      <c r="C756" s="1" t="inlineStr">
        <is>
          <t>Muse Grey Polished Floor Tiles</t>
        </is>
      </c>
      <c r="D756" s="1" t="n">
        <v>55.99</v>
      </c>
      <c r="E756" s="1" t="inlineStr">
        <is>
          <t>600x600mm</t>
        </is>
      </c>
      <c r="F756" s="1" t="inlineStr">
        <is>
          <t>m2</t>
        </is>
      </c>
      <c r="G756" s="1" t="inlineStr">
        <is>
          <t>Porcelain</t>
        </is>
      </c>
      <c r="H756" s="1" t="inlineStr">
        <is>
          <t>Gloss</t>
        </is>
      </c>
      <c r="I756" t="n">
        <v>55.99</v>
      </c>
    </row>
    <row r="757">
      <c r="A757" s="1">
        <f>Hyperlink("https://www.tilemountain.co.uk/p/muse-60g.html","Product")</f>
        <v/>
      </c>
      <c r="B757" s="1" t="inlineStr">
        <is>
          <t>442620</t>
        </is>
      </c>
      <c r="C757" s="1" t="inlineStr">
        <is>
          <t>Muse Grey Matt Floor Tiles</t>
        </is>
      </c>
      <c r="D757" s="1" t="n">
        <v>39.99</v>
      </c>
      <c r="E757" s="1" t="inlineStr">
        <is>
          <t>600x600mm</t>
        </is>
      </c>
      <c r="F757" s="1" t="inlineStr">
        <is>
          <t>m2</t>
        </is>
      </c>
      <c r="G757" s="1" t="inlineStr">
        <is>
          <t>Porcelain</t>
        </is>
      </c>
      <c r="H757" s="1" t="inlineStr">
        <is>
          <t>Matt</t>
        </is>
      </c>
      <c r="I757" t="n">
        <v>39.99</v>
      </c>
    </row>
    <row r="758">
      <c r="A758" s="1">
        <f>Hyperlink("https://www.tilemountain.co.uk/p/muse-60w-lp.html","Product")</f>
        <v/>
      </c>
      <c r="B758" s="1" t="inlineStr">
        <is>
          <t>442645</t>
        </is>
      </c>
      <c r="C758" s="1" t="inlineStr">
        <is>
          <t>Muse White Polished Floor Tiles</t>
        </is>
      </c>
      <c r="D758" s="1" t="n">
        <v>59.99</v>
      </c>
      <c r="E758" s="1" t="inlineStr">
        <is>
          <t>600x600mm</t>
        </is>
      </c>
      <c r="F758" s="1" t="inlineStr">
        <is>
          <t>m2</t>
        </is>
      </c>
      <c r="G758" s="1" t="inlineStr">
        <is>
          <t>Porcelain</t>
        </is>
      </c>
      <c r="H758" s="1" t="inlineStr">
        <is>
          <t>Gloss</t>
        </is>
      </c>
      <c r="I758" t="n">
        <v>59.99</v>
      </c>
    </row>
    <row r="759">
      <c r="A759" s="1">
        <f>Hyperlink("https://www.tilemountain.co.uk/p/muse-60w.html","Product")</f>
        <v/>
      </c>
      <c r="B759" s="1" t="inlineStr">
        <is>
          <t>442605</t>
        </is>
      </c>
      <c r="C759" s="1" t="inlineStr">
        <is>
          <t>Muse White Matt Floor Tiles</t>
        </is>
      </c>
      <c r="D759" s="1" t="n">
        <v>43.99</v>
      </c>
      <c r="E759" s="1" t="inlineStr">
        <is>
          <t>600x600mm</t>
        </is>
      </c>
      <c r="F759" s="1" t="inlineStr">
        <is>
          <t>m2</t>
        </is>
      </c>
      <c r="G759" s="1" t="inlineStr">
        <is>
          <t>Porcelain</t>
        </is>
      </c>
      <c r="H759" s="1" t="inlineStr">
        <is>
          <t>Matt</t>
        </is>
      </c>
      <c r="I759" t="n">
        <v>43.99</v>
      </c>
    </row>
    <row r="760">
      <c r="A760" s="1">
        <f>Hyperlink("https://www.tilemountain.co.uk/p/mustang-levelling-system-starter-kit.html","Product")</f>
        <v/>
      </c>
      <c r="B760" s="1" t="inlineStr">
        <is>
          <t>443880</t>
        </is>
      </c>
      <c r="C760" s="1" t="inlineStr">
        <is>
          <t>Mustang Levelling System Starter Kit</t>
        </is>
      </c>
      <c r="D760" s="1" t="n">
        <v>62.99</v>
      </c>
      <c r="E760" s="1" t="inlineStr">
        <is>
          <t>-</t>
        </is>
      </c>
      <c r="F760" s="1" t="inlineStr">
        <is>
          <t>Qty</t>
        </is>
      </c>
      <c r="G760" s="1" t="inlineStr">
        <is>
          <t>-</t>
        </is>
      </c>
      <c r="H760" s="1" t="inlineStr">
        <is>
          <t>-</t>
        </is>
      </c>
      <c r="I760" t="n">
        <v>62.99</v>
      </c>
    </row>
    <row r="761">
      <c r="A761" s="1">
        <f>Hyperlink("https://www.tilemountain.co.uk/p/mustang-levelling-system-tool.html","Product")</f>
        <v/>
      </c>
      <c r="B761" s="1" t="inlineStr">
        <is>
          <t>443890</t>
        </is>
      </c>
      <c r="C761" s="1" t="inlineStr">
        <is>
          <t>Mustang Levelling System Tool</t>
        </is>
      </c>
      <c r="D761" s="1" t="n">
        <v>34.99</v>
      </c>
      <c r="E761" s="1" t="inlineStr">
        <is>
          <t>-</t>
        </is>
      </c>
      <c r="F761" s="1" t="inlineStr">
        <is>
          <t>Qty</t>
        </is>
      </c>
      <c r="G761" s="1" t="inlineStr">
        <is>
          <t>-</t>
        </is>
      </c>
      <c r="H761" s="1" t="inlineStr">
        <is>
          <t>-</t>
        </is>
      </c>
      <c r="I761" t="n">
        <v>34.99</v>
      </c>
    </row>
    <row r="762">
      <c r="A762" s="1">
        <f>Hyperlink("https://www.tilemountain.co.uk/p/naoswhite-marble-effect-polished-floor-tile-800x800_1.html","Product")</f>
        <v/>
      </c>
      <c r="B762" s="1" t="inlineStr">
        <is>
          <t>454565</t>
        </is>
      </c>
      <c r="C762" s="1" t="inlineStr">
        <is>
          <t>Naos White Marble Effect Polished Floor Tile</t>
        </is>
      </c>
      <c r="D762" s="1" t="n">
        <v>21.99</v>
      </c>
      <c r="E762" s="1" t="inlineStr">
        <is>
          <t>800x800mm</t>
        </is>
      </c>
      <c r="F762" s="1" t="inlineStr">
        <is>
          <t>m2</t>
        </is>
      </c>
      <c r="G762" s="1" t="inlineStr">
        <is>
          <t>Porcelain</t>
        </is>
      </c>
      <c r="H762" s="1" t="inlineStr">
        <is>
          <t>Polished</t>
        </is>
      </c>
      <c r="I762" t="n">
        <v>21.99</v>
      </c>
    </row>
    <row r="763">
      <c r="A763" s="1">
        <f>Hyperlink("https://www.tilemountain.co.uk/p/naples-gloss-travertine-effect-cream-wall-tile.html","Product")</f>
        <v/>
      </c>
      <c r="B763" s="1" t="inlineStr">
        <is>
          <t>448805</t>
        </is>
      </c>
      <c r="C763" s="1" t="inlineStr">
        <is>
          <t>Naples Gloss Travertine Effect Cream Wall Tile</t>
        </is>
      </c>
      <c r="D763" s="1" t="n">
        <v>12.99</v>
      </c>
      <c r="E763" s="1" t="inlineStr">
        <is>
          <t>600x300mm</t>
        </is>
      </c>
      <c r="F763" s="1" t="inlineStr">
        <is>
          <t>m2</t>
        </is>
      </c>
      <c r="G763" s="1" t="inlineStr">
        <is>
          <t>Ceramic</t>
        </is>
      </c>
      <c r="H763" s="1" t="inlineStr">
        <is>
          <t>Gloss</t>
        </is>
      </c>
      <c r="I763" t="n">
        <v>12.99</v>
      </c>
    </row>
    <row r="764">
      <c r="A764" s="1">
        <f>Hyperlink("https://www.tilemountain.co.uk/p/naples-gloss-travertine-effect-dark-grey-wall-tile.html","Product")</f>
        <v/>
      </c>
      <c r="B764" s="1" t="inlineStr">
        <is>
          <t>448810</t>
        </is>
      </c>
      <c r="C764" s="1" t="inlineStr">
        <is>
          <t>Naples Gloss Travertine Effect Dark Grey Wall Tile</t>
        </is>
      </c>
      <c r="D764" s="1" t="n">
        <v>12.99</v>
      </c>
      <c r="E764" s="1" t="inlineStr">
        <is>
          <t>600x300mm</t>
        </is>
      </c>
      <c r="F764" s="1" t="inlineStr">
        <is>
          <t>m2</t>
        </is>
      </c>
      <c r="G764" s="1" t="inlineStr">
        <is>
          <t>Ceramic</t>
        </is>
      </c>
      <c r="H764" s="1" t="inlineStr">
        <is>
          <t>Gloss</t>
        </is>
      </c>
      <c r="I764" t="n">
        <v>12.99</v>
      </c>
    </row>
    <row r="765">
      <c r="A765" s="1">
        <f>Hyperlink("https://www.tilemountain.co.uk/p/naples-matt-travertine-effect-cream-porcelain-floor-tile.html","Product")</f>
        <v/>
      </c>
      <c r="B765" s="1" t="inlineStr">
        <is>
          <t>448825</t>
        </is>
      </c>
      <c r="C765" s="1" t="inlineStr">
        <is>
          <t>Naples Matt Travertine Effect Cream Floor Tile</t>
        </is>
      </c>
      <c r="D765" s="1" t="n">
        <v>12.99</v>
      </c>
      <c r="E765" s="1" t="inlineStr">
        <is>
          <t>450x450mm</t>
        </is>
      </c>
      <c r="F765" s="1" t="inlineStr">
        <is>
          <t>m2</t>
        </is>
      </c>
      <c r="G765" s="1" t="inlineStr">
        <is>
          <t>Porcelain</t>
        </is>
      </c>
      <c r="H765" s="1" t="inlineStr">
        <is>
          <t>Matt</t>
        </is>
      </c>
      <c r="I765" t="n">
        <v>12.99</v>
      </c>
    </row>
    <row r="766">
      <c r="A766" s="1">
        <f>Hyperlink("https://www.tilemountain.co.uk/p/naples-matt-travertine-effect-dark-grey-porcelain-floor-tile_1.html","Product")</f>
        <v/>
      </c>
      <c r="B766" s="1" t="inlineStr">
        <is>
          <t>448820</t>
        </is>
      </c>
      <c r="C766" s="1" t="inlineStr">
        <is>
          <t>Naples Matt Travertine Effect Dark Grey Floor Tile</t>
        </is>
      </c>
      <c r="D766" s="1" t="n">
        <v>12.99</v>
      </c>
      <c r="E766" s="1" t="inlineStr">
        <is>
          <t>450x450mm</t>
        </is>
      </c>
      <c r="F766" s="1" t="inlineStr">
        <is>
          <t>m2</t>
        </is>
      </c>
      <c r="G766" s="1" t="inlineStr">
        <is>
          <t>Porcelain</t>
        </is>
      </c>
      <c r="H766" s="1" t="inlineStr">
        <is>
          <t>Matt</t>
        </is>
      </c>
      <c r="I766" t="n">
        <v>12.99</v>
      </c>
    </row>
    <row r="767">
      <c r="A767" s="1">
        <f>Hyperlink("https://www.tilemountain.co.uk/p/nativa-dark-wall-tiles.html","Product")</f>
        <v/>
      </c>
      <c r="B767" s="1" t="inlineStr">
        <is>
          <t>455230</t>
        </is>
      </c>
      <c r="C767" s="1" t="inlineStr">
        <is>
          <t>Nativa Dark Cladding Wall Tiles</t>
        </is>
      </c>
      <c r="D767" s="1" t="n">
        <v>26.99</v>
      </c>
      <c r="E767" s="1" t="inlineStr">
        <is>
          <t>400x160mm</t>
        </is>
      </c>
      <c r="F767" s="1" t="inlineStr">
        <is>
          <t>m2</t>
        </is>
      </c>
      <c r="G767" s="1" t="inlineStr">
        <is>
          <t>Porcelain</t>
        </is>
      </c>
      <c r="H767" s="1" t="inlineStr">
        <is>
          <t>Riven</t>
        </is>
      </c>
      <c r="I767" t="n">
        <v>26.99</v>
      </c>
    </row>
    <row r="768">
      <c r="A768" s="1">
        <f>Hyperlink("https://www.tilemountain.co.uk/p/nativa-light-wall-tiles.html","Product")</f>
        <v/>
      </c>
      <c r="B768" s="1" t="inlineStr">
        <is>
          <t>455220</t>
        </is>
      </c>
      <c r="C768" s="1" t="inlineStr">
        <is>
          <t>Nativa Light Cladding Wall Tiles</t>
        </is>
      </c>
      <c r="D768" s="1" t="n">
        <v>26.99</v>
      </c>
      <c r="E768" s="1" t="inlineStr">
        <is>
          <t>400x160mm</t>
        </is>
      </c>
      <c r="F768" s="1" t="inlineStr">
        <is>
          <t>m2</t>
        </is>
      </c>
      <c r="G768" s="1" t="inlineStr">
        <is>
          <t>Porcelain</t>
        </is>
      </c>
      <c r="H768" s="1" t="inlineStr">
        <is>
          <t>Riven</t>
        </is>
      </c>
      <c r="I768" t="n">
        <v>26.99</v>
      </c>
    </row>
    <row r="769">
      <c r="A769" s="1">
        <f>Hyperlink("https://www.tilemountain.co.uk/p/nativa-medium-wall-tiles.html","Product")</f>
        <v/>
      </c>
      <c r="B769" s="1" t="inlineStr">
        <is>
          <t>455225</t>
        </is>
      </c>
      <c r="C769" s="1" t="inlineStr">
        <is>
          <t>Nativa Medium Cladding Wall Tiles</t>
        </is>
      </c>
      <c r="D769" s="1" t="n">
        <v>26.99</v>
      </c>
      <c r="E769" s="1" t="inlineStr">
        <is>
          <t>400x160mm</t>
        </is>
      </c>
      <c r="F769" s="1" t="inlineStr">
        <is>
          <t>m2</t>
        </is>
      </c>
      <c r="G769" s="1" t="inlineStr">
        <is>
          <t>Porcelain</t>
        </is>
      </c>
      <c r="H769" s="1" t="inlineStr">
        <is>
          <t>Riven</t>
        </is>
      </c>
      <c r="I769" t="n">
        <v>26.99</v>
      </c>
    </row>
    <row r="770">
      <c r="A770" s="1">
        <f>Hyperlink("https://www.tilemountain.co.uk/p/natural-tones-dove-gloss-floor-tile.html","Product")</f>
        <v/>
      </c>
      <c r="B770" s="1" t="inlineStr">
        <is>
          <t>437635</t>
        </is>
      </c>
      <c r="C770" s="1" t="inlineStr">
        <is>
          <t>Natural Tones Dove Gloss Floor Tiles</t>
        </is>
      </c>
      <c r="D770" s="1" t="n">
        <v>32.99</v>
      </c>
      <c r="E770" s="1" t="inlineStr">
        <is>
          <t>600x600mm</t>
        </is>
      </c>
      <c r="F770" s="1" t="inlineStr">
        <is>
          <t>m2</t>
        </is>
      </c>
      <c r="G770" s="1" t="inlineStr">
        <is>
          <t>Porcelain</t>
        </is>
      </c>
      <c r="H770" s="1" t="inlineStr">
        <is>
          <t>Gloss</t>
        </is>
      </c>
      <c r="I770" t="n">
        <v>32.99</v>
      </c>
    </row>
    <row r="771">
      <c r="A771" s="1">
        <f>Hyperlink("https://www.tilemountain.co.uk/p/natural-tones-ecru-matt-floor-tile.html","Product")</f>
        <v/>
      </c>
      <c r="B771" s="1" t="inlineStr">
        <is>
          <t>437605</t>
        </is>
      </c>
      <c r="C771" s="1" t="inlineStr">
        <is>
          <t>Natural Tones Ecru Matt Floor Tiles</t>
        </is>
      </c>
      <c r="D771" s="1" t="n">
        <v>32.99</v>
      </c>
      <c r="E771" s="1" t="inlineStr">
        <is>
          <t>600x600mm</t>
        </is>
      </c>
      <c r="F771" s="1" t="inlineStr">
        <is>
          <t>m2</t>
        </is>
      </c>
      <c r="G771" s="1" t="inlineStr">
        <is>
          <t>Porcelain</t>
        </is>
      </c>
      <c r="H771" s="1" t="inlineStr">
        <is>
          <t>Matt</t>
        </is>
      </c>
      <c r="I771" t="n">
        <v>32.99</v>
      </c>
    </row>
    <row r="772">
      <c r="A772" s="1">
        <f>Hyperlink("https://www.tilemountain.co.uk/p/natural-tones-ecru-matt-wall-tile.html","Product")</f>
        <v/>
      </c>
      <c r="B772" s="1" t="inlineStr">
        <is>
          <t>437560</t>
        </is>
      </c>
      <c r="C772" s="1" t="inlineStr">
        <is>
          <t>Natural Tones Ecru Matt Wall Tiles</t>
        </is>
      </c>
      <c r="D772" s="1" t="n">
        <v>29.99</v>
      </c>
      <c r="E772" s="1" t="inlineStr">
        <is>
          <t>300x600mm</t>
        </is>
      </c>
      <c r="F772" s="1" t="inlineStr">
        <is>
          <t>m2</t>
        </is>
      </c>
      <c r="G772" s="1" t="inlineStr">
        <is>
          <t>Ceramic</t>
        </is>
      </c>
      <c r="H772" s="1" t="inlineStr">
        <is>
          <t>Matt</t>
        </is>
      </c>
      <c r="I772" t="n">
        <v>29.99</v>
      </c>
    </row>
    <row r="773">
      <c r="A773" s="1">
        <f>Hyperlink("https://www.tilemountain.co.uk/p/natural-tones-nougat-gloss-floor-tile.html","Product")</f>
        <v/>
      </c>
      <c r="B773" s="1" t="inlineStr">
        <is>
          <t>437645</t>
        </is>
      </c>
      <c r="C773" s="1" t="inlineStr">
        <is>
          <t>Natural Tones Nougat Gloss Floor Tiles</t>
        </is>
      </c>
      <c r="D773" s="1" t="n">
        <v>32.99</v>
      </c>
      <c r="E773" s="1" t="inlineStr">
        <is>
          <t>600x600mm</t>
        </is>
      </c>
      <c r="F773" s="1" t="inlineStr">
        <is>
          <t>m2</t>
        </is>
      </c>
      <c r="G773" s="1" t="inlineStr">
        <is>
          <t>Porcelain</t>
        </is>
      </c>
      <c r="H773" s="1" t="inlineStr">
        <is>
          <t>Gloss</t>
        </is>
      </c>
      <c r="I773" t="n">
        <v>32.99</v>
      </c>
    </row>
    <row r="774">
      <c r="A774" s="1">
        <f>Hyperlink("https://www.tilemountain.co.uk/p/natural-tones-nougat-gloss-wall-tile.html","Product")</f>
        <v/>
      </c>
      <c r="B774" s="1" t="inlineStr">
        <is>
          <t>437600</t>
        </is>
      </c>
      <c r="C774" s="1" t="inlineStr">
        <is>
          <t>Natural Tones Nougat Gloss Wall Tiles</t>
        </is>
      </c>
      <c r="D774" s="1" t="n">
        <v>29.99</v>
      </c>
      <c r="E774" s="1" t="inlineStr">
        <is>
          <t>300x600mm</t>
        </is>
      </c>
      <c r="F774" s="1" t="inlineStr">
        <is>
          <t>m2</t>
        </is>
      </c>
      <c r="G774" s="1" t="inlineStr">
        <is>
          <t>Ceramic</t>
        </is>
      </c>
      <c r="H774" s="1" t="inlineStr">
        <is>
          <t>Gloss</t>
        </is>
      </c>
      <c r="I774" t="n">
        <v>29.99</v>
      </c>
    </row>
    <row r="775">
      <c r="A775" s="1">
        <f>Hyperlink("https://www.tilemountain.co.uk/p/natural-tones-zinc-matt-floor-tile.html","Product")</f>
        <v/>
      </c>
      <c r="B775" s="1" t="inlineStr">
        <is>
          <t>437620</t>
        </is>
      </c>
      <c r="C775" s="1" t="inlineStr">
        <is>
          <t>Natural Tones Zinc Matt Floor Tiles</t>
        </is>
      </c>
      <c r="D775" s="1" t="n">
        <v>32.99</v>
      </c>
      <c r="E775" s="1" t="inlineStr">
        <is>
          <t>600x600mm</t>
        </is>
      </c>
      <c r="F775" s="1" t="inlineStr">
        <is>
          <t>m2</t>
        </is>
      </c>
      <c r="G775" s="1" t="inlineStr">
        <is>
          <t>Porcelain</t>
        </is>
      </c>
      <c r="H775" s="1" t="inlineStr">
        <is>
          <t>Matt</t>
        </is>
      </c>
      <c r="I775" t="n">
        <v>32.99</v>
      </c>
    </row>
    <row r="776">
      <c r="A776" s="1">
        <f>Hyperlink("https://www.tilemountain.co.uk/p/natural-wood-dark-brown-tile-200x1200.html","Product")</f>
        <v/>
      </c>
      <c r="B776" s="1" t="inlineStr">
        <is>
          <t>449145</t>
        </is>
      </c>
      <c r="C776" s="1" t="inlineStr">
        <is>
          <t>Natural Wood Dark Brown Tiles</t>
        </is>
      </c>
      <c r="D776" s="1" t="n">
        <v>30.96</v>
      </c>
      <c r="E776" s="1" t="inlineStr">
        <is>
          <t>1200x200mm</t>
        </is>
      </c>
      <c r="F776" s="1" t="inlineStr">
        <is>
          <t>m2</t>
        </is>
      </c>
      <c r="G776" s="1" t="inlineStr">
        <is>
          <t>Porcelain</t>
        </is>
      </c>
      <c r="H776" s="1" t="inlineStr">
        <is>
          <t>Matt</t>
        </is>
      </c>
      <c r="I776" t="n">
        <v>30.96</v>
      </c>
    </row>
    <row r="777">
      <c r="A777" s="1">
        <f>Hyperlink("https://www.tilemountain.co.uk/p/nebraska-elm-outdoor-plank-tile.html","Product")</f>
        <v/>
      </c>
      <c r="B777" s="1" t="inlineStr">
        <is>
          <t>455315</t>
        </is>
      </c>
      <c r="C777" s="1" t="inlineStr">
        <is>
          <t>Nebraska Elm Wood Effect Outdoor Slab</t>
        </is>
      </c>
      <c r="D777" s="1" t="n">
        <v>39.99</v>
      </c>
      <c r="E777" s="1" t="inlineStr">
        <is>
          <t>1200x300mm</t>
        </is>
      </c>
      <c r="F777" s="1" t="inlineStr">
        <is>
          <t>m2</t>
        </is>
      </c>
      <c r="G777" s="1" t="inlineStr">
        <is>
          <t>Porcelain</t>
        </is>
      </c>
      <c r="H777" s="1" t="inlineStr">
        <is>
          <t>Matt</t>
        </is>
      </c>
      <c r="I777" t="n">
        <v>39.99</v>
      </c>
    </row>
    <row r="778">
      <c r="A778" s="1">
        <f>Hyperlink("https://www.tilemountain.co.uk/p/nebraska-maple-outdoor-plank-tile.html","Product")</f>
        <v/>
      </c>
      <c r="B778" s="1" t="inlineStr">
        <is>
          <t>455325</t>
        </is>
      </c>
      <c r="C778" s="1" t="inlineStr">
        <is>
          <t>Nebraska Maple Wood Effect Outdoor Slab</t>
        </is>
      </c>
      <c r="D778" s="1" t="n">
        <v>39.99</v>
      </c>
      <c r="E778" s="1" t="inlineStr">
        <is>
          <t>1200x300mm</t>
        </is>
      </c>
      <c r="F778" s="1" t="inlineStr">
        <is>
          <t>m2</t>
        </is>
      </c>
      <c r="G778" s="1" t="inlineStr">
        <is>
          <t>Porcelain</t>
        </is>
      </c>
      <c r="H778" s="1" t="inlineStr">
        <is>
          <t>Matt</t>
        </is>
      </c>
      <c r="I778" t="n">
        <v>39.99</v>
      </c>
    </row>
    <row r="779">
      <c r="A779" s="1">
        <f>Hyperlink("https://www.tilemountain.co.uk/p/nebraska-oak-outdoor-plank-tile.html","Product")</f>
        <v/>
      </c>
      <c r="B779" s="1" t="inlineStr">
        <is>
          <t>455320</t>
        </is>
      </c>
      <c r="C779" s="1" t="inlineStr">
        <is>
          <t>Nebraska Oak Wood Effect Outdoor Slab</t>
        </is>
      </c>
      <c r="D779" s="1" t="n">
        <v>39.99</v>
      </c>
      <c r="E779" s="1" t="inlineStr">
        <is>
          <t>1200x300mm</t>
        </is>
      </c>
      <c r="F779" s="1" t="inlineStr">
        <is>
          <t>m2</t>
        </is>
      </c>
      <c r="G779" s="1" t="inlineStr">
        <is>
          <t>Porcelain</t>
        </is>
      </c>
      <c r="H779" s="1" t="inlineStr">
        <is>
          <t>Matt</t>
        </is>
      </c>
      <c r="I779" t="n">
        <v>39.99</v>
      </c>
    </row>
    <row r="780">
      <c r="A780" s="1">
        <f>Hyperlink("https://www.tilemountain.co.uk/p/nexus-ice-matt-porcelain-wall-and-floor-tile.html","Product")</f>
        <v/>
      </c>
      <c r="B780" s="1" t="inlineStr">
        <is>
          <t>444425</t>
        </is>
      </c>
      <c r="C780" s="1" t="inlineStr">
        <is>
          <t>Nexus Ice Matt Porcelain Wall And Floor Tiles</t>
        </is>
      </c>
      <c r="D780" s="1" t="n">
        <v>12.99</v>
      </c>
      <c r="E780" s="1" t="inlineStr">
        <is>
          <t>600x300mm</t>
        </is>
      </c>
      <c r="F780" s="1" t="inlineStr">
        <is>
          <t>m2</t>
        </is>
      </c>
      <c r="G780" s="1" t="inlineStr">
        <is>
          <t>Porcelain</t>
        </is>
      </c>
      <c r="H780" s="1" t="inlineStr">
        <is>
          <t>Matt</t>
        </is>
      </c>
      <c r="I780" t="n">
        <v>12.99</v>
      </c>
    </row>
    <row r="781">
      <c r="A781" s="1">
        <f>Hyperlink("https://www.tilemountain.co.uk/p/nolla-geometric-wall-floor-tile-45x45cm.html","Product")</f>
        <v/>
      </c>
      <c r="B781" s="1" t="inlineStr">
        <is>
          <t>443300</t>
        </is>
      </c>
      <c r="C781" s="1" t="inlineStr">
        <is>
          <t>Chester Rustic Floor Tiles</t>
        </is>
      </c>
      <c r="D781" s="1" t="n">
        <v>24.99</v>
      </c>
      <c r="E781" s="1" t="inlineStr">
        <is>
          <t>450x450mm</t>
        </is>
      </c>
      <c r="F781" s="1" t="inlineStr">
        <is>
          <t>m2</t>
        </is>
      </c>
      <c r="G781" s="1" t="inlineStr">
        <is>
          <t>Ceramic</t>
        </is>
      </c>
      <c r="H781" s="1" t="inlineStr">
        <is>
          <t>Matt</t>
        </is>
      </c>
      <c r="I781" t="n">
        <v>24.99</v>
      </c>
    </row>
    <row r="782">
      <c r="A782" s="1">
        <f>Hyperlink("https://www.tilemountain.co.uk/p/norcros-ceramic-wall-and-floor-adhesive.html","Product")</f>
        <v/>
      </c>
      <c r="B782" s="1" t="inlineStr">
        <is>
          <t>451280</t>
        </is>
      </c>
      <c r="C782" s="1" t="inlineStr">
        <is>
          <t>Norcros Ceramic Wall and Floor Adhesive</t>
        </is>
      </c>
      <c r="D782" s="1" t="n">
        <v>10.99</v>
      </c>
      <c r="E782" s="1" t="inlineStr">
        <is>
          <t>-</t>
        </is>
      </c>
      <c r="F782" s="1" t="inlineStr">
        <is>
          <t>Qty</t>
        </is>
      </c>
      <c r="G782" s="1" t="inlineStr">
        <is>
          <t>-</t>
        </is>
      </c>
      <c r="H782" s="1" t="inlineStr">
        <is>
          <t>-</t>
        </is>
      </c>
      <c r="I782" t="n">
        <v>10.99</v>
      </c>
    </row>
    <row r="783">
      <c r="A783" s="1">
        <f>Hyperlink("https://www.tilemountain.co.uk/p/norcros-one-part-flexible-white-20kg.html","Product")</f>
        <v/>
      </c>
      <c r="B783" s="1" t="inlineStr">
        <is>
          <t>450305</t>
        </is>
      </c>
      <c r="C783" s="1" t="inlineStr">
        <is>
          <t>Norcros One Part Flexible White Tile Adhesive 20Kg</t>
        </is>
      </c>
      <c r="D783" s="1" t="n">
        <v>16.99</v>
      </c>
      <c r="E783" s="1" t="inlineStr">
        <is>
          <t>-</t>
        </is>
      </c>
      <c r="F783" s="1" t="inlineStr">
        <is>
          <t>Qty</t>
        </is>
      </c>
      <c r="G783" s="1" t="inlineStr">
        <is>
          <t>-</t>
        </is>
      </c>
      <c r="H783" s="1" t="inlineStr">
        <is>
          <t>-</t>
        </is>
      </c>
      <c r="I783" t="n">
        <v>16.99</v>
      </c>
    </row>
    <row r="784">
      <c r="A784" s="1">
        <f>Hyperlink("https://www.tilemountain.co.uk/p/norcros-permalayer-19-8-sqm.html","Product")</f>
        <v/>
      </c>
      <c r="B784" s="1" t="inlineStr">
        <is>
          <t>434975</t>
        </is>
      </c>
      <c r="C784" s="1" t="inlineStr">
        <is>
          <t>Norcros Permalayer 19.8 SQM</t>
        </is>
      </c>
      <c r="D784" s="1" t="n">
        <v>149.99</v>
      </c>
      <c r="E784" s="1" t="inlineStr">
        <is>
          <t>-</t>
        </is>
      </c>
      <c r="F784" s="1" t="inlineStr">
        <is>
          <t>Qty</t>
        </is>
      </c>
      <c r="G784" s="1" t="inlineStr">
        <is>
          <t>-</t>
        </is>
      </c>
      <c r="H784" s="1" t="inlineStr">
        <is>
          <t>-</t>
        </is>
      </c>
      <c r="I784" t="n">
        <v>149.99</v>
      </c>
    </row>
    <row r="785">
      <c r="A785" s="1">
        <f>Hyperlink("https://www.tilemountain.co.uk/p/norcros-pro-50-levelling-compound-20kg-5535.html","Product")</f>
        <v/>
      </c>
      <c r="B785" s="1" t="inlineStr">
        <is>
          <t>451260</t>
        </is>
      </c>
      <c r="C785" s="1" t="inlineStr">
        <is>
          <t>Norcros Pro 50 Levelling Compound 20kg</t>
        </is>
      </c>
      <c r="D785" s="1" t="n">
        <v>16.99</v>
      </c>
      <c r="E785" s="1" t="inlineStr">
        <is>
          <t>-</t>
        </is>
      </c>
      <c r="F785" s="1" t="inlineStr">
        <is>
          <t>Qty</t>
        </is>
      </c>
      <c r="G785" s="1" t="inlineStr">
        <is>
          <t>-</t>
        </is>
      </c>
      <c r="H785" s="1" t="inlineStr">
        <is>
          <t>-</t>
        </is>
      </c>
      <c r="I785" t="n">
        <v>16.99</v>
      </c>
    </row>
    <row r="786">
      <c r="A786" s="1">
        <f>Hyperlink("https://www.tilemountain.co.uk/p/norcros-rapid-porcelain-tile-adhesive-grey-20kg.html","Product")</f>
        <v/>
      </c>
      <c r="B786" s="1" t="inlineStr">
        <is>
          <t>450300</t>
        </is>
      </c>
      <c r="C786" s="1" t="inlineStr">
        <is>
          <t>Norcros Rapid Porcelain Tile Adhesive Grey 20Kg</t>
        </is>
      </c>
      <c r="D786" s="1" t="n">
        <v>15.95</v>
      </c>
      <c r="E786" s="1" t="inlineStr">
        <is>
          <t>-</t>
        </is>
      </c>
      <c r="F786" s="1" t="inlineStr">
        <is>
          <t>Qty</t>
        </is>
      </c>
      <c r="G786" s="1" t="inlineStr">
        <is>
          <t>-</t>
        </is>
      </c>
      <c r="H786" s="1" t="inlineStr">
        <is>
          <t>-</t>
        </is>
      </c>
      <c r="I786" t="n">
        <v>15.95</v>
      </c>
    </row>
    <row r="787">
      <c r="A787" s="1">
        <f>Hyperlink("https://www.tilemountain.co.uk/p/norcros-rock-tite-brush-in-grout-15kg-blanched-almond.html","Product")</f>
        <v/>
      </c>
      <c r="B787" s="1" t="inlineStr">
        <is>
          <t>451485</t>
        </is>
      </c>
      <c r="C787" s="1" t="inlineStr">
        <is>
          <t>Norcros Rock-Tite Brush in Grout 15kg - Blanched Almond</t>
        </is>
      </c>
      <c r="D787" s="1" t="n">
        <v>39.95</v>
      </c>
      <c r="E787" s="1" t="inlineStr">
        <is>
          <t>-</t>
        </is>
      </c>
      <c r="F787" s="1" t="inlineStr">
        <is>
          <t>Qty</t>
        </is>
      </c>
      <c r="G787" s="1" t="inlineStr">
        <is>
          <t>-</t>
        </is>
      </c>
      <c r="H787" s="1" t="inlineStr">
        <is>
          <t>-</t>
        </is>
      </c>
      <c r="I787" t="n">
        <v>39.95</v>
      </c>
    </row>
    <row r="788">
      <c r="A788" s="1">
        <f>Hyperlink("https://www.tilemountain.co.uk/p/norcros-rock-tite-brush-in-grout-15kg-steel-grey.html","Product")</f>
        <v/>
      </c>
      <c r="B788" s="1" t="inlineStr">
        <is>
          <t>451490</t>
        </is>
      </c>
      <c r="C788" s="1" t="inlineStr">
        <is>
          <t>Norcros Rock-Tite Brush in Grout 15kg - Steel Grey</t>
        </is>
      </c>
      <c r="D788" s="1" t="n">
        <v>39.95</v>
      </c>
      <c r="E788" s="1" t="inlineStr">
        <is>
          <t>-</t>
        </is>
      </c>
      <c r="F788" s="1" t="inlineStr">
        <is>
          <t>Qty</t>
        </is>
      </c>
      <c r="G788" s="1" t="inlineStr">
        <is>
          <t>-</t>
        </is>
      </c>
      <c r="H788" s="1" t="inlineStr">
        <is>
          <t>-</t>
        </is>
      </c>
      <c r="I788" t="n">
        <v>39.95</v>
      </c>
    </row>
    <row r="789">
      <c r="A789" s="1">
        <f>Hyperlink("https://www.tilemountain.co.uk/p/norcros-rock-tite-brush-in-grout-15kg-tropical-ebony.html","Product")</f>
        <v/>
      </c>
      <c r="B789" s="1" t="inlineStr">
        <is>
          <t>451495</t>
        </is>
      </c>
      <c r="C789" s="1" t="inlineStr">
        <is>
          <t>Norcros Rock-Tite Brush in Grout 15kg - Tropical Ebony</t>
        </is>
      </c>
      <c r="D789" s="1" t="n">
        <v>39.95</v>
      </c>
      <c r="E789" s="1" t="inlineStr">
        <is>
          <t>-</t>
        </is>
      </c>
      <c r="F789" s="1" t="inlineStr">
        <is>
          <t>Qty</t>
        </is>
      </c>
      <c r="G789" s="1" t="inlineStr">
        <is>
          <t>-</t>
        </is>
      </c>
      <c r="H789" s="1" t="inlineStr">
        <is>
          <t>-</t>
        </is>
      </c>
      <c r="I789" t="n">
        <v>39.95</v>
      </c>
    </row>
    <row r="790">
      <c r="A790" s="1">
        <f>Hyperlink("https://www.tilemountain.co.uk/p/norcros-rock-tite-mortar-25-kg-40-bags-pallet-deal.html","Product")</f>
        <v/>
      </c>
      <c r="B790" s="1" t="inlineStr">
        <is>
          <t>451480-pd</t>
        </is>
      </c>
      <c r="C790" s="1" t="inlineStr">
        <is>
          <t>Norcros Rock-Tite Mortar 25 kg - 40 bags PALLET DEAL</t>
        </is>
      </c>
      <c r="D790" s="1" t="n">
        <v>507.2</v>
      </c>
      <c r="E790" s="1" t="inlineStr">
        <is>
          <t>-</t>
        </is>
      </c>
      <c r="F790" s="1" t="inlineStr">
        <is>
          <t>Qty</t>
        </is>
      </c>
      <c r="G790" s="1" t="inlineStr">
        <is>
          <t>-</t>
        </is>
      </c>
      <c r="H790" s="1" t="inlineStr">
        <is>
          <t>-</t>
        </is>
      </c>
      <c r="I790" t="n">
        <v>507.2</v>
      </c>
    </row>
    <row r="791">
      <c r="A791" s="1">
        <f>Hyperlink("https://www.tilemountain.co.uk/p/norcros-rock-tite-mortar-25kg.html","Product")</f>
        <v/>
      </c>
      <c r="B791" s="1" t="inlineStr">
        <is>
          <t>451480</t>
        </is>
      </c>
      <c r="C791" s="1" t="inlineStr">
        <is>
          <t>Norcros Rock-Tite Mortar 25kg</t>
        </is>
      </c>
      <c r="D791" s="1" t="n">
        <v>13.95</v>
      </c>
      <c r="E791" s="1" t="inlineStr">
        <is>
          <t>-</t>
        </is>
      </c>
      <c r="F791" s="1" t="inlineStr">
        <is>
          <t>Qty</t>
        </is>
      </c>
      <c r="G791" s="1" t="inlineStr">
        <is>
          <t>-</t>
        </is>
      </c>
      <c r="H791" s="1" t="inlineStr">
        <is>
          <t>-</t>
        </is>
      </c>
      <c r="I791" t="n">
        <v>13.95</v>
      </c>
    </row>
    <row r="792">
      <c r="A792" s="1">
        <f>Hyperlink("https://www.tilemountain.co.uk/p/norcros-rock-tite-mortar-additive-12-5kg.html","Product")</f>
        <v/>
      </c>
      <c r="B792" s="1" t="inlineStr">
        <is>
          <t>455100</t>
        </is>
      </c>
      <c r="C792" s="1" t="inlineStr">
        <is>
          <t>Norcros Rock-Tite Mortar Additive 12.5kg</t>
        </is>
      </c>
      <c r="D792" s="1" t="n">
        <v>11.95</v>
      </c>
      <c r="E792" s="1" t="inlineStr">
        <is>
          <t>-</t>
        </is>
      </c>
      <c r="F792" s="1" t="inlineStr">
        <is>
          <t>Qty</t>
        </is>
      </c>
      <c r="G792" s="1" t="inlineStr">
        <is>
          <t>-</t>
        </is>
      </c>
      <c r="H792" s="1" t="inlineStr">
        <is>
          <t>-</t>
        </is>
      </c>
      <c r="I792" t="n">
        <v>11.95</v>
      </c>
    </row>
    <row r="793">
      <c r="A793" s="1">
        <f>Hyperlink("https://www.tilemountain.co.uk/p/norcros-rock-tite-porcelain-primer-15kg.html","Product")</f>
        <v/>
      </c>
      <c r="B793" s="1" t="inlineStr">
        <is>
          <t>451475</t>
        </is>
      </c>
      <c r="C793" s="1" t="inlineStr">
        <is>
          <t>Norcros Rock-Tite Porcelain Primer 15kg</t>
        </is>
      </c>
      <c r="D793" s="1" t="n">
        <v>34.95</v>
      </c>
      <c r="E793" s="1" t="inlineStr">
        <is>
          <t>-</t>
        </is>
      </c>
      <c r="F793" s="1" t="inlineStr">
        <is>
          <t>Qty</t>
        </is>
      </c>
      <c r="G793" s="1" t="inlineStr">
        <is>
          <t>-</t>
        </is>
      </c>
      <c r="H793" s="1" t="inlineStr">
        <is>
          <t>-</t>
        </is>
      </c>
      <c r="I793" t="n">
        <v>34.95</v>
      </c>
    </row>
    <row r="794">
      <c r="A794" s="1">
        <f>Hyperlink("https://www.tilemountain.co.uk/p/norcros-stop-mould-arctic-white-wall-tile-grout.html","Product")</f>
        <v/>
      </c>
      <c r="B794" s="1" t="inlineStr">
        <is>
          <t>451285</t>
        </is>
      </c>
      <c r="C794" s="1" t="inlineStr">
        <is>
          <t>Norcros Stop Mould Arctic White Wall Tile Grout</t>
        </is>
      </c>
      <c r="D794" s="1" t="n">
        <v>9.99</v>
      </c>
      <c r="E794" s="1" t="inlineStr">
        <is>
          <t>-</t>
        </is>
      </c>
      <c r="F794" s="1" t="inlineStr">
        <is>
          <t>Qty</t>
        </is>
      </c>
      <c r="G794" s="1" t="inlineStr">
        <is>
          <t>-</t>
        </is>
      </c>
      <c r="H794" s="1" t="inlineStr">
        <is>
          <t>-</t>
        </is>
      </c>
      <c r="I794" t="n">
        <v>9.99</v>
      </c>
    </row>
    <row r="795">
      <c r="A795" s="1">
        <f>Hyperlink("https://www.tilemountain.co.uk/p/norcros-stop-mould-midnight-coal-wall-tile-grout.html","Product")</f>
        <v/>
      </c>
      <c r="B795" s="1" t="inlineStr">
        <is>
          <t>451290</t>
        </is>
      </c>
      <c r="C795" s="1" t="inlineStr">
        <is>
          <t>Norcros Stop Mould Golden Jasmine Wall Tile Grout</t>
        </is>
      </c>
      <c r="D795" s="1" t="n">
        <v>9.99</v>
      </c>
      <c r="E795" s="1" t="inlineStr">
        <is>
          <t>-</t>
        </is>
      </c>
      <c r="F795" s="1" t="inlineStr">
        <is>
          <t>Qty</t>
        </is>
      </c>
      <c r="G795" s="1" t="inlineStr">
        <is>
          <t>-</t>
        </is>
      </c>
      <c r="H795" s="1" t="inlineStr">
        <is>
          <t>-</t>
        </is>
      </c>
      <c r="I795" t="n">
        <v>9.99</v>
      </c>
    </row>
    <row r="796">
      <c r="A796" s="1">
        <f>Hyperlink("https://www.tilemountain.co.uk/p/norcros-stop-mould-silver-grey-wall-tile-grout.html","Product")</f>
        <v/>
      </c>
      <c r="B796" s="1" t="inlineStr">
        <is>
          <t>451295</t>
        </is>
      </c>
      <c r="C796" s="1" t="inlineStr">
        <is>
          <t>Norcros Stop Mould Steel Grey Wall Tile Grout</t>
        </is>
      </c>
      <c r="D796" s="1" t="n">
        <v>9.99</v>
      </c>
      <c r="E796" s="1" t="inlineStr">
        <is>
          <t>-</t>
        </is>
      </c>
      <c r="F796" s="1" t="inlineStr">
        <is>
          <t>Qty</t>
        </is>
      </c>
      <c r="G796" s="1" t="inlineStr">
        <is>
          <t>-</t>
        </is>
      </c>
      <c r="H796" s="1" t="inlineStr">
        <is>
          <t>-</t>
        </is>
      </c>
      <c r="I796" t="n">
        <v>9.99</v>
      </c>
    </row>
    <row r="797">
      <c r="A797" s="1">
        <f>Hyperlink("https://www.tilemountain.co.uk/p/norcros-thick-bed-porcelain-and-stone-adhesive.html","Product")</f>
        <v/>
      </c>
      <c r="B797" s="1" t="inlineStr">
        <is>
          <t>451275</t>
        </is>
      </c>
      <c r="C797" s="1" t="inlineStr">
        <is>
          <t>Norcros Thick Bed Porcelain and Stone Adhesive</t>
        </is>
      </c>
      <c r="D797" s="1" t="n">
        <v>19.99</v>
      </c>
      <c r="E797" s="1" t="inlineStr">
        <is>
          <t>-</t>
        </is>
      </c>
      <c r="F797" s="1" t="inlineStr">
        <is>
          <t>Qty</t>
        </is>
      </c>
      <c r="G797" s="1" t="inlineStr">
        <is>
          <t>-</t>
        </is>
      </c>
      <c r="H797" s="1" t="inlineStr">
        <is>
          <t>-</t>
        </is>
      </c>
      <c r="I797" t="n">
        <v>19.99</v>
      </c>
    </row>
    <row r="798">
      <c r="A798" s="1">
        <f>Hyperlink("https://www.tilemountain.co.uk/p/nordic-wood-dark-brown-wall-and-floor-tile.html","Product")</f>
        <v/>
      </c>
      <c r="B798" s="1" t="inlineStr">
        <is>
          <t>431660</t>
        </is>
      </c>
      <c r="C798" s="1" t="inlineStr">
        <is>
          <t>Nordic Wood Dark Brown Wood Effect Wall and Floor Tiles</t>
        </is>
      </c>
      <c r="D798" s="1" t="n">
        <v>14.99</v>
      </c>
      <c r="E798" s="1" t="inlineStr">
        <is>
          <t>150x600mm</t>
        </is>
      </c>
      <c r="F798" s="1" t="inlineStr">
        <is>
          <t>m2</t>
        </is>
      </c>
      <c r="G798" s="1" t="inlineStr">
        <is>
          <t>-</t>
        </is>
      </c>
      <c r="H798" s="1" t="inlineStr">
        <is>
          <t>-</t>
        </is>
      </c>
      <c r="I798" t="n">
        <v>14.99</v>
      </c>
    </row>
    <row r="799">
      <c r="A799" s="1">
        <f>Hyperlink("https://www.tilemountain.co.uk/p/nordic-wood-light-brown-wall-and-floor-tile.html","Product")</f>
        <v/>
      </c>
      <c r="B799" s="1" t="inlineStr">
        <is>
          <t>431655</t>
        </is>
      </c>
      <c r="C799" s="1" t="inlineStr">
        <is>
          <t>Nordic Wood Light Brown Wood Effect Wall and Floor Tiles</t>
        </is>
      </c>
      <c r="D799" s="1" t="n">
        <v>14.99</v>
      </c>
      <c r="E799" s="1" t="inlineStr">
        <is>
          <t>150x600mm</t>
        </is>
      </c>
      <c r="F799" s="1" t="inlineStr">
        <is>
          <t>m2</t>
        </is>
      </c>
      <c r="G799" s="1" t="inlineStr">
        <is>
          <t>Porcelain</t>
        </is>
      </c>
      <c r="H799" s="1" t="inlineStr">
        <is>
          <t>Matt</t>
        </is>
      </c>
      <c r="I799" t="n">
        <v>14.99</v>
      </c>
    </row>
    <row r="800">
      <c r="A800" s="1">
        <f>Hyperlink("https://www.tilemountain.co.uk/p/nordic-wood-pearl-wall-and-floor-tile.html","Product")</f>
        <v/>
      </c>
      <c r="B800" s="1" t="inlineStr">
        <is>
          <t>431665</t>
        </is>
      </c>
      <c r="C800" s="1" t="inlineStr">
        <is>
          <t>Nordic Wood Pearl Wood Effect Wall and Floor Tiles</t>
        </is>
      </c>
      <c r="D800" s="1" t="n">
        <v>14.99</v>
      </c>
      <c r="E800" s="1" t="inlineStr">
        <is>
          <t>150x600mm</t>
        </is>
      </c>
      <c r="F800" s="1" t="inlineStr">
        <is>
          <t>m2</t>
        </is>
      </c>
      <c r="G800" s="1" t="inlineStr">
        <is>
          <t>Porcelain</t>
        </is>
      </c>
      <c r="H800" s="1" t="inlineStr">
        <is>
          <t>Matt</t>
        </is>
      </c>
      <c r="I800" t="n">
        <v>14.99</v>
      </c>
    </row>
    <row r="801">
      <c r="A801" s="1">
        <f>Hyperlink("https://www.tilemountain.co.uk/p/norfolk-walnut-3824.html","Product")</f>
        <v/>
      </c>
      <c r="B801" s="1" t="inlineStr">
        <is>
          <t>445350</t>
        </is>
      </c>
      <c r="C801" s="1" t="inlineStr">
        <is>
          <t>Norfolk Walnut Luxury Vinyl Tiles</t>
        </is>
      </c>
      <c r="D801" s="1" t="n">
        <v>20.99</v>
      </c>
      <c r="E801" s="1" t="inlineStr">
        <is>
          <t>1216x191x4mm</t>
        </is>
      </c>
      <c r="F801" s="1" t="inlineStr">
        <is>
          <t>m2</t>
        </is>
      </c>
      <c r="G801" s="1" t="inlineStr">
        <is>
          <t>LVT</t>
        </is>
      </c>
      <c r="H801" s="1" t="inlineStr">
        <is>
          <t>Matt</t>
        </is>
      </c>
      <c r="I801" t="n">
        <v>20.99</v>
      </c>
    </row>
    <row r="802">
      <c r="A802" s="1">
        <f>Hyperlink("https://www.tilemountain.co.uk/p/notched-margin-trowel.html","Product")</f>
        <v/>
      </c>
      <c r="B802" s="1" t="inlineStr">
        <is>
          <t>450650</t>
        </is>
      </c>
      <c r="C802" s="1" t="inlineStr">
        <is>
          <t>Notched Margin Trowel</t>
        </is>
      </c>
      <c r="D802" s="1" t="n">
        <v>4.99</v>
      </c>
      <c r="E802" s="1" t="inlineStr">
        <is>
          <t>-</t>
        </is>
      </c>
      <c r="F802" s="1" t="inlineStr">
        <is>
          <t>Qty</t>
        </is>
      </c>
      <c r="G802" s="1" t="inlineStr">
        <is>
          <t>-</t>
        </is>
      </c>
      <c r="H802" s="1" t="inlineStr">
        <is>
          <t>-</t>
        </is>
      </c>
      <c r="I802" t="n">
        <v>4.99</v>
      </c>
    </row>
    <row r="803">
      <c r="A803" s="1">
        <f>Hyperlink("https://www.tilemountain.co.uk/p/ofelia-rustic-porcelain-floor-tile.html","Product")</f>
        <v/>
      </c>
      <c r="B803" s="1" t="inlineStr">
        <is>
          <t>443290</t>
        </is>
      </c>
      <c r="C803" s="1" t="inlineStr">
        <is>
          <t>Ofelia Porcelain Floor Tiles</t>
        </is>
      </c>
      <c r="D803" s="1" t="n">
        <v>28.99</v>
      </c>
      <c r="E803" s="1" t="inlineStr">
        <is>
          <t>452x452mm</t>
        </is>
      </c>
      <c r="F803" s="1" t="inlineStr">
        <is>
          <t>m2</t>
        </is>
      </c>
      <c r="G803" s="1" t="inlineStr">
        <is>
          <t>Porcelain</t>
        </is>
      </c>
      <c r="H803" s="1" t="inlineStr">
        <is>
          <t>Matt</t>
        </is>
      </c>
      <c r="I803" t="n">
        <v>28.99</v>
      </c>
    </row>
    <row r="804">
      <c r="A804" s="1">
        <f>Hyperlink("https://www.tilemountain.co.uk/p/ohio-outdoor-anthracite-porcelain-slab-5318.html","Product")</f>
        <v/>
      </c>
      <c r="B804" s="1" t="inlineStr">
        <is>
          <t>450240</t>
        </is>
      </c>
      <c r="C804" s="1" t="inlineStr">
        <is>
          <t>Ohio Outdoor Anthracite Porcelain Slab</t>
        </is>
      </c>
      <c r="D804" s="1" t="n">
        <v>35.99</v>
      </c>
      <c r="E804" s="1" t="inlineStr">
        <is>
          <t>900x600mm</t>
        </is>
      </c>
      <c r="F804" s="1" t="inlineStr">
        <is>
          <t>m2</t>
        </is>
      </c>
      <c r="G804" s="1" t="inlineStr">
        <is>
          <t>Porcelain</t>
        </is>
      </c>
      <c r="H804" s="1" t="inlineStr">
        <is>
          <t>Matt</t>
        </is>
      </c>
      <c r="I804" t="n">
        <v>35.99</v>
      </c>
    </row>
    <row r="805">
      <c r="A805" s="1">
        <f>Hyperlink("https://www.tilemountain.co.uk/p/ohio-outdoor-silver-grey-porcelain-slab_1.html","Product")</f>
        <v/>
      </c>
      <c r="B805" s="1" t="inlineStr">
        <is>
          <t>450245</t>
        </is>
      </c>
      <c r="C805" s="1" t="inlineStr">
        <is>
          <t>Ohio Outdoor Silver Grey Porcelain Slab</t>
        </is>
      </c>
      <c r="D805" s="1" t="n">
        <v>35.99</v>
      </c>
      <c r="E805" s="1" t="inlineStr">
        <is>
          <t>900x600mm</t>
        </is>
      </c>
      <c r="F805" s="1" t="inlineStr">
        <is>
          <t>m2</t>
        </is>
      </c>
      <c r="G805" s="1" t="inlineStr">
        <is>
          <t>Porcelain</t>
        </is>
      </c>
      <c r="H805" s="1" t="inlineStr">
        <is>
          <t>Matt</t>
        </is>
      </c>
      <c r="I805" t="n">
        <v>35.99</v>
      </c>
    </row>
    <row r="806">
      <c r="A806" s="1">
        <f>Hyperlink("https://www.tilemountain.co.uk/p/orobico-grey-polished-porcelain-floor-tile.html","Product")</f>
        <v/>
      </c>
      <c r="B806" s="1" t="inlineStr">
        <is>
          <t>450605</t>
        </is>
      </c>
      <c r="C806" s="1" t="inlineStr">
        <is>
          <t>Orobico Grey Polished Porcelain Floor Tile</t>
        </is>
      </c>
      <c r="D806" s="1" t="n">
        <v>49.99</v>
      </c>
      <c r="E806" s="1" t="inlineStr">
        <is>
          <t>1200x600mm</t>
        </is>
      </c>
      <c r="F806" s="1" t="inlineStr">
        <is>
          <t>m2</t>
        </is>
      </c>
      <c r="G806" s="1" t="inlineStr">
        <is>
          <t>Porcelain</t>
        </is>
      </c>
      <c r="H806" s="1" t="inlineStr">
        <is>
          <t>Polished</t>
        </is>
      </c>
      <c r="I806" t="n">
        <v>49.99</v>
      </c>
    </row>
    <row r="807">
      <c r="A807" s="1">
        <f>Hyperlink("https://www.tilemountain.co.uk/p/oxford-grey-mosaic.html","Product")</f>
        <v/>
      </c>
      <c r="B807" s="1" t="inlineStr">
        <is>
          <t>443900</t>
        </is>
      </c>
      <c r="C807" s="1" t="inlineStr">
        <is>
          <t>Oxford Grey Mosaic</t>
        </is>
      </c>
      <c r="D807" s="1" t="n">
        <v>6.99</v>
      </c>
      <c r="E807" s="1" t="inlineStr">
        <is>
          <t>300x300mm</t>
        </is>
      </c>
      <c r="F807" s="1" t="inlineStr">
        <is>
          <t>sheet</t>
        </is>
      </c>
      <c r="G807" s="1" t="inlineStr">
        <is>
          <t>Porcelain</t>
        </is>
      </c>
      <c r="H807" s="1" t="inlineStr">
        <is>
          <t>Matt</t>
        </is>
      </c>
      <c r="I807" t="n">
        <v>6.99</v>
      </c>
    </row>
    <row r="808">
      <c r="A808" s="1">
        <f>Hyperlink("https://www.tilemountain.co.uk/p/oyster-split-face-mosaic-3863.html","Product")</f>
        <v/>
      </c>
      <c r="B808" s="1" t="inlineStr">
        <is>
          <t>445560</t>
        </is>
      </c>
      <c r="C808" s="1" t="inlineStr">
        <is>
          <t>Oyster Split Face Mosaic</t>
        </is>
      </c>
      <c r="D808" s="1" t="n">
        <v>40.99</v>
      </c>
      <c r="E808" s="1" t="inlineStr">
        <is>
          <t>300x150mm</t>
        </is>
      </c>
      <c r="F808" s="1" t="inlineStr">
        <is>
          <t>m2</t>
        </is>
      </c>
      <c r="G808" s="1" t="inlineStr">
        <is>
          <t>Slate</t>
        </is>
      </c>
      <c r="H808" s="1" t="inlineStr">
        <is>
          <t>Riven</t>
        </is>
      </c>
      <c r="I808" t="n">
        <v>40.99</v>
      </c>
    </row>
    <row r="809">
      <c r="A809" s="1">
        <f>Hyperlink("https://www.tilemountain.co.uk/p/pad-holder-white.html","Product")</f>
        <v/>
      </c>
      <c r="B809" s="1" t="inlineStr">
        <is>
          <t>LTPT34</t>
        </is>
      </c>
      <c r="C809" s="1" t="inlineStr">
        <is>
          <t>Pad Holder White</t>
        </is>
      </c>
      <c r="D809" s="1" t="n">
        <v>12.95</v>
      </c>
      <c r="E809" s="1" t="inlineStr">
        <is>
          <t>-</t>
        </is>
      </c>
      <c r="F809" s="1" t="inlineStr">
        <is>
          <t>Qty</t>
        </is>
      </c>
      <c r="G809" s="1" t="inlineStr">
        <is>
          <t>-</t>
        </is>
      </c>
      <c r="H809" s="1" t="inlineStr">
        <is>
          <t>-</t>
        </is>
      </c>
      <c r="I809" t="n">
        <v>12.95</v>
      </c>
    </row>
    <row r="810">
      <c r="A810" s="1">
        <f>Hyperlink("https://www.tilemountain.co.uk/p/paintwash-cherry-wood-effect-wall-and-floor-tile.html","Product")</f>
        <v/>
      </c>
      <c r="B810" s="1" t="inlineStr">
        <is>
          <t>440155</t>
        </is>
      </c>
      <c r="C810" s="1" t="inlineStr">
        <is>
          <t>Paintwash Cherry Wood Effect Wall And Floor Tiles</t>
        </is>
      </c>
      <c r="D810" s="1" t="n">
        <v>28.99</v>
      </c>
      <c r="E810" s="1" t="inlineStr">
        <is>
          <t>140x840mm</t>
        </is>
      </c>
      <c r="F810" s="1" t="inlineStr">
        <is>
          <t>m2</t>
        </is>
      </c>
      <c r="G810" s="1" t="inlineStr">
        <is>
          <t>Porcelain</t>
        </is>
      </c>
      <c r="H810" s="1" t="inlineStr">
        <is>
          <t>Matt</t>
        </is>
      </c>
      <c r="I810" t="n">
        <v>28.99</v>
      </c>
    </row>
    <row r="811">
      <c r="A811" s="1">
        <f>Hyperlink("https://www.tilemountain.co.uk/p/paintwash-denim-wood-effect-wall-and-floor-tile_1.html","Product")</f>
        <v/>
      </c>
      <c r="B811" s="1" t="inlineStr">
        <is>
          <t>440165</t>
        </is>
      </c>
      <c r="C811" s="1" t="inlineStr">
        <is>
          <t>Paintwash Denim Wood Effect Wall And Floor Tiles</t>
        </is>
      </c>
      <c r="D811" s="1" t="n">
        <v>28.99</v>
      </c>
      <c r="E811" s="1" t="inlineStr">
        <is>
          <t>140x840mm</t>
        </is>
      </c>
      <c r="F811" s="1" t="inlineStr">
        <is>
          <t>m2</t>
        </is>
      </c>
      <c r="G811" s="1" t="inlineStr">
        <is>
          <t>Porcelain</t>
        </is>
      </c>
      <c r="H811" s="1" t="inlineStr">
        <is>
          <t>Matt</t>
        </is>
      </c>
      <c r="I811" t="n">
        <v>28.99</v>
      </c>
    </row>
    <row r="812">
      <c r="A812" s="1">
        <f>Hyperlink("https://www.tilemountain.co.uk/p/paintwash-white-wood-effect-wall-and-floor-tile.html","Product")</f>
        <v/>
      </c>
      <c r="B812" s="1" t="inlineStr">
        <is>
          <t>440140</t>
        </is>
      </c>
      <c r="C812" s="1" t="inlineStr">
        <is>
          <t>Paintwash White Wood Effect Wall And Floor Tiles</t>
        </is>
      </c>
      <c r="D812" s="1" t="n">
        <v>28.99</v>
      </c>
      <c r="E812" s="1" t="inlineStr">
        <is>
          <t>140x840mm</t>
        </is>
      </c>
      <c r="F812" s="1" t="inlineStr">
        <is>
          <t>m2</t>
        </is>
      </c>
      <c r="G812" s="1" t="inlineStr">
        <is>
          <t>Porcelain</t>
        </is>
      </c>
      <c r="H812" s="1" t="inlineStr">
        <is>
          <t>Matt</t>
        </is>
      </c>
      <c r="I812" t="n">
        <v>28.99</v>
      </c>
    </row>
    <row r="813">
      <c r="A813" s="1">
        <f>Hyperlink("https://www.tilemountain.co.uk/p/palace-cream-wall-tile.html","Product")</f>
        <v/>
      </c>
      <c r="B813" s="1" t="inlineStr">
        <is>
          <t>431685</t>
        </is>
      </c>
      <c r="C813" s="1" t="inlineStr">
        <is>
          <t>Palace Cream Wall Tiles</t>
        </is>
      </c>
      <c r="D813" s="1" t="n">
        <v>12.99</v>
      </c>
      <c r="E813" s="1" t="inlineStr">
        <is>
          <t>250x400mm</t>
        </is>
      </c>
      <c r="F813" s="1" t="inlineStr">
        <is>
          <t>m2</t>
        </is>
      </c>
      <c r="G813" s="1" t="inlineStr">
        <is>
          <t>Ceramic</t>
        </is>
      </c>
      <c r="H813" s="1" t="inlineStr">
        <is>
          <t>Gloss</t>
        </is>
      </c>
      <c r="I813" t="n">
        <v>12.99</v>
      </c>
    </row>
    <row r="814">
      <c r="A814" s="1">
        <f>Hyperlink("https://www.tilemountain.co.uk/p/palatina-bello-white-floor-tile.html","Product")</f>
        <v/>
      </c>
      <c r="B814" s="1" t="inlineStr">
        <is>
          <t>447665</t>
        </is>
      </c>
      <c r="C814" s="1" t="inlineStr">
        <is>
          <t>Naos Blanco Brillo Floor Tiles</t>
        </is>
      </c>
      <c r="D814" s="1" t="n">
        <v>10.99</v>
      </c>
      <c r="E814" s="1" t="inlineStr">
        <is>
          <t>450x450mm</t>
        </is>
      </c>
      <c r="F814" s="1" t="inlineStr">
        <is>
          <t>m2</t>
        </is>
      </c>
      <c r="G814" s="1" t="inlineStr">
        <is>
          <t>Ceramic</t>
        </is>
      </c>
      <c r="H814" s="1" t="inlineStr">
        <is>
          <t>Gloss</t>
        </is>
      </c>
      <c r="I814" t="n">
        <v>10.99</v>
      </c>
    </row>
    <row r="815">
      <c r="A815" s="1">
        <f>Hyperlink("https://www.tilemountain.co.uk/p/palatina-white-matt-floor-tile.html","Product")</f>
        <v/>
      </c>
      <c r="B815" s="1" t="inlineStr">
        <is>
          <t>445520</t>
        </is>
      </c>
      <c r="C815" s="1" t="inlineStr">
        <is>
          <t>Carrara White Matt Marble Porcelain Floor Tile</t>
        </is>
      </c>
      <c r="D815" s="1" t="n">
        <v>14.99</v>
      </c>
      <c r="E815" s="1" t="inlineStr">
        <is>
          <t>605x605mm</t>
        </is>
      </c>
      <c r="F815" s="1" t="inlineStr">
        <is>
          <t>m2</t>
        </is>
      </c>
      <c r="G815" s="1" t="inlineStr">
        <is>
          <t>Porcelain</t>
        </is>
      </c>
      <c r="H815" s="1" t="inlineStr">
        <is>
          <t>Matt</t>
        </is>
      </c>
      <c r="I815" t="n">
        <v>14.99</v>
      </c>
    </row>
    <row r="816">
      <c r="A816" s="1">
        <f>Hyperlink("https://www.tilemountain.co.uk/p/palermo-beige-slate-effect-wall-tile_1.html","Product")</f>
        <v/>
      </c>
      <c r="B816" s="1" t="inlineStr">
        <is>
          <t>455280</t>
        </is>
      </c>
      <c r="C816" s="1" t="inlineStr">
        <is>
          <t>Palermo Beige Slate Effect Wall Tile</t>
        </is>
      </c>
      <c r="D816" s="1" t="n">
        <v>19.99</v>
      </c>
      <c r="E816" s="1" t="inlineStr">
        <is>
          <t>440x80mm</t>
        </is>
      </c>
      <c r="F816" s="1" t="inlineStr">
        <is>
          <t>m2</t>
        </is>
      </c>
      <c r="G816" s="1" t="inlineStr">
        <is>
          <t>Porcelain</t>
        </is>
      </c>
      <c r="H816" s="1" t="inlineStr">
        <is>
          <t>Riven</t>
        </is>
      </c>
      <c r="I816" t="n">
        <v>19.99</v>
      </c>
    </row>
    <row r="817">
      <c r="A817" s="1">
        <f>Hyperlink("https://www.tilemountain.co.uk/p/palermo-natural-slate-effect-wall-tile_1.html","Product")</f>
        <v/>
      </c>
      <c r="B817" s="1" t="inlineStr">
        <is>
          <t>455275</t>
        </is>
      </c>
      <c r="C817" s="1" t="inlineStr">
        <is>
          <t>Palermo Natural Slate Effect Wall Tile</t>
        </is>
      </c>
      <c r="D817" s="1" t="n">
        <v>19.99</v>
      </c>
      <c r="E817" s="1" t="inlineStr">
        <is>
          <t>440x80mm</t>
        </is>
      </c>
      <c r="F817" s="1" t="inlineStr">
        <is>
          <t>m2</t>
        </is>
      </c>
      <c r="G817" s="1" t="inlineStr">
        <is>
          <t>Porcelain</t>
        </is>
      </c>
      <c r="H817" s="1" t="inlineStr">
        <is>
          <t>Riven</t>
        </is>
      </c>
      <c r="I817" t="n">
        <v>19.99</v>
      </c>
    </row>
    <row r="818">
      <c r="A818" s="1">
        <f>Hyperlink("https://www.tilemountain.co.uk/p/palermo-oxide-slate-effect-wall-tile_1.html","Product")</f>
        <v/>
      </c>
      <c r="B818" s="1" t="inlineStr">
        <is>
          <t>455305</t>
        </is>
      </c>
      <c r="C818" s="1" t="inlineStr">
        <is>
          <t>Palermo Oxide Slate Effect Wall Tile</t>
        </is>
      </c>
      <c r="D818" s="1" t="n">
        <v>19.99</v>
      </c>
      <c r="E818" s="1" t="inlineStr">
        <is>
          <t>440x80mm</t>
        </is>
      </c>
      <c r="F818" s="1" t="inlineStr">
        <is>
          <t>m2</t>
        </is>
      </c>
      <c r="G818" s="1" t="inlineStr">
        <is>
          <t>Porcelain</t>
        </is>
      </c>
      <c r="H818" s="1" t="inlineStr">
        <is>
          <t>Riven</t>
        </is>
      </c>
      <c r="I818" t="n">
        <v>19.99</v>
      </c>
    </row>
    <row r="819">
      <c r="A819" s="1">
        <f>Hyperlink("https://www.tilemountain.co.uk/p/pasadena-3825.html","Product")</f>
        <v/>
      </c>
      <c r="B819" s="1" t="inlineStr">
        <is>
          <t>445355</t>
        </is>
      </c>
      <c r="C819" s="1" t="inlineStr">
        <is>
          <t>Pasadena Luxury Vinyl Tiles</t>
        </is>
      </c>
      <c r="D819" s="1" t="n">
        <v>20.99</v>
      </c>
      <c r="E819" s="1" t="inlineStr">
        <is>
          <t>604x299x4mm</t>
        </is>
      </c>
      <c r="F819" s="1" t="inlineStr">
        <is>
          <t>m2</t>
        </is>
      </c>
      <c r="G819" s="1" t="inlineStr">
        <is>
          <t>LVT</t>
        </is>
      </c>
      <c r="H819" s="1" t="inlineStr">
        <is>
          <t>Matt</t>
        </is>
      </c>
      <c r="I819" t="n">
        <v>20.99</v>
      </c>
    </row>
    <row r="820">
      <c r="A820" s="1">
        <f>Hyperlink("https://www.tilemountain.co.uk/p/piastrella-mix-acqua-wall-tile.html","Product")</f>
        <v/>
      </c>
      <c r="B820" s="1" t="inlineStr">
        <is>
          <t>446745</t>
        </is>
      </c>
      <c r="C820" s="1" t="inlineStr">
        <is>
          <t>Piacenza Mix Aqua Wall Tile</t>
        </is>
      </c>
      <c r="D820" s="1" t="n">
        <v>30.99</v>
      </c>
      <c r="E820" s="1" t="inlineStr">
        <is>
          <t>250x50mm</t>
        </is>
      </c>
      <c r="F820" s="1" t="inlineStr">
        <is>
          <t>m2</t>
        </is>
      </c>
      <c r="G820" s="1" t="inlineStr">
        <is>
          <t>Ceramic</t>
        </is>
      </c>
      <c r="H820" s="1" t="inlineStr">
        <is>
          <t>Gloss</t>
        </is>
      </c>
      <c r="I820" t="n">
        <v>30.99</v>
      </c>
    </row>
    <row r="821">
      <c r="A821" s="1">
        <f>Hyperlink("https://www.tilemountain.co.uk/p/piastrella-mix-ash-wall-tile.html","Product")</f>
        <v/>
      </c>
      <c r="B821" s="1" t="inlineStr">
        <is>
          <t>446740</t>
        </is>
      </c>
      <c r="C821" s="1" t="inlineStr">
        <is>
          <t>Piacenza Mix Ash Wall Tile</t>
        </is>
      </c>
      <c r="D821" s="1" t="n">
        <v>30.99</v>
      </c>
      <c r="E821" s="1" t="inlineStr">
        <is>
          <t>250x50mm</t>
        </is>
      </c>
      <c r="F821" s="1" t="inlineStr">
        <is>
          <t>m2</t>
        </is>
      </c>
      <c r="G821" s="1" t="inlineStr">
        <is>
          <t>Ceramic</t>
        </is>
      </c>
      <c r="H821" s="1" t="inlineStr">
        <is>
          <t>Gloss</t>
        </is>
      </c>
      <c r="I821" t="n">
        <v>30.99</v>
      </c>
    </row>
    <row r="822">
      <c r="A822" s="1">
        <f>Hyperlink("https://www.tilemountain.co.uk/p/piastrella-mix-bone-wall-tile.html","Product")</f>
        <v/>
      </c>
      <c r="B822" s="1" t="inlineStr">
        <is>
          <t>446735</t>
        </is>
      </c>
      <c r="C822" s="1" t="inlineStr">
        <is>
          <t>Piacenza Mix Bone Wall Tile</t>
        </is>
      </c>
      <c r="D822" s="1" t="n">
        <v>30.99</v>
      </c>
      <c r="E822" s="1" t="inlineStr">
        <is>
          <t>250x50mm</t>
        </is>
      </c>
      <c r="F822" s="1" t="inlineStr">
        <is>
          <t>m2</t>
        </is>
      </c>
      <c r="G822" s="1" t="inlineStr">
        <is>
          <t>Ceramic</t>
        </is>
      </c>
      <c r="H822" s="1" t="inlineStr">
        <is>
          <t>Gloss</t>
        </is>
      </c>
      <c r="I822" t="n">
        <v>30.99</v>
      </c>
    </row>
    <row r="823">
      <c r="A823" s="1">
        <f>Hyperlink("https://www.tilemountain.co.uk/p/piastrella-mix-capuchino-wall-tile.html","Product")</f>
        <v/>
      </c>
      <c r="B823" s="1" t="inlineStr">
        <is>
          <t>446755</t>
        </is>
      </c>
      <c r="C823" s="1" t="inlineStr">
        <is>
          <t>Piacenza Mix Cappuccino Wall Tile</t>
        </is>
      </c>
      <c r="D823" s="1" t="n">
        <v>30.99</v>
      </c>
      <c r="E823" s="1" t="inlineStr">
        <is>
          <t>250x50mm</t>
        </is>
      </c>
      <c r="F823" s="1" t="inlineStr">
        <is>
          <t>m2</t>
        </is>
      </c>
      <c r="G823" s="1" t="inlineStr">
        <is>
          <t>Ceramic</t>
        </is>
      </c>
      <c r="H823" s="1" t="inlineStr">
        <is>
          <t>Gloss</t>
        </is>
      </c>
      <c r="I823" t="n">
        <v>30.99</v>
      </c>
    </row>
    <row r="824">
      <c r="A824" s="1">
        <f>Hyperlink("https://www.tilemountain.co.uk/p/piastrella-mix-grey-wall-tile.html","Product")</f>
        <v/>
      </c>
      <c r="B824" s="1" t="inlineStr">
        <is>
          <t>446760</t>
        </is>
      </c>
      <c r="C824" s="1" t="inlineStr">
        <is>
          <t>Piacenza Mix Grey Wall Tile</t>
        </is>
      </c>
      <c r="D824" s="1" t="n">
        <v>30.99</v>
      </c>
      <c r="E824" s="1" t="inlineStr">
        <is>
          <t>250x50mm</t>
        </is>
      </c>
      <c r="F824" s="1" t="inlineStr">
        <is>
          <t>m2</t>
        </is>
      </c>
      <c r="G824" s="1" t="inlineStr">
        <is>
          <t>Ceramic</t>
        </is>
      </c>
      <c r="H824" s="1" t="inlineStr">
        <is>
          <t>Gloss</t>
        </is>
      </c>
      <c r="I824" t="n">
        <v>30.99</v>
      </c>
    </row>
    <row r="825">
      <c r="A825" s="1">
        <f>Hyperlink("https://www.tilemountain.co.uk/p/piastrella-mix-olive-wall-tile.html","Product")</f>
        <v/>
      </c>
      <c r="B825" s="1" t="inlineStr">
        <is>
          <t>446750</t>
        </is>
      </c>
      <c r="C825" s="1" t="inlineStr">
        <is>
          <t>Piacenza Mix Olive Wall Tile</t>
        </is>
      </c>
      <c r="D825" s="1" t="n">
        <v>30.99</v>
      </c>
      <c r="E825" s="1" t="inlineStr">
        <is>
          <t>250x50mm</t>
        </is>
      </c>
      <c r="F825" s="1" t="inlineStr">
        <is>
          <t>m2</t>
        </is>
      </c>
      <c r="G825" s="1" t="inlineStr">
        <is>
          <t>Ceramic</t>
        </is>
      </c>
      <c r="H825" s="1" t="inlineStr">
        <is>
          <t>Gloss</t>
        </is>
      </c>
      <c r="I825" t="n">
        <v>30.99</v>
      </c>
    </row>
    <row r="826">
      <c r="A826" s="1">
        <f>Hyperlink("https://www.tilemountain.co.uk/p/piastrella-mix-rose-wall-tile.html","Product")</f>
        <v/>
      </c>
      <c r="B826" s="1" t="inlineStr">
        <is>
          <t>446730</t>
        </is>
      </c>
      <c r="C826" s="1" t="inlineStr">
        <is>
          <t>Piacenza Mix Rose Wall Tile</t>
        </is>
      </c>
      <c r="D826" s="1" t="n">
        <v>30.99</v>
      </c>
      <c r="E826" s="1" t="inlineStr">
        <is>
          <t>250x50mm</t>
        </is>
      </c>
      <c r="F826" s="1" t="inlineStr">
        <is>
          <t>m2</t>
        </is>
      </c>
      <c r="G826" s="1" t="inlineStr">
        <is>
          <t>Ceramic</t>
        </is>
      </c>
      <c r="H826" s="1" t="inlineStr">
        <is>
          <t>Gloss</t>
        </is>
      </c>
      <c r="I826" t="n">
        <v>30.99</v>
      </c>
    </row>
    <row r="827">
      <c r="A827" s="1">
        <f>Hyperlink("https://www.tilemountain.co.uk/p/piastrella-mix-turchese-wall-tile.html","Product")</f>
        <v/>
      </c>
      <c r="B827" s="1" t="inlineStr">
        <is>
          <t>446765</t>
        </is>
      </c>
      <c r="C827" s="1" t="inlineStr">
        <is>
          <t>Piacenza Mix Turquoise Wall Tile</t>
        </is>
      </c>
      <c r="D827" s="1" t="n">
        <v>30.99</v>
      </c>
      <c r="E827" s="1" t="inlineStr">
        <is>
          <t>250x50mm</t>
        </is>
      </c>
      <c r="F827" s="1" t="inlineStr">
        <is>
          <t>m2</t>
        </is>
      </c>
      <c r="G827" s="1" t="inlineStr">
        <is>
          <t>Ceramic</t>
        </is>
      </c>
      <c r="H827" s="1" t="inlineStr">
        <is>
          <t>Gloss</t>
        </is>
      </c>
      <c r="I827" t="n">
        <v>30.99</v>
      </c>
    </row>
    <row r="828">
      <c r="A828" s="1">
        <f>Hyperlink("https://www.tilemountain.co.uk/p/piastrella-mix-white.html","Product")</f>
        <v/>
      </c>
      <c r="B828" s="1" t="inlineStr">
        <is>
          <t>447020</t>
        </is>
      </c>
      <c r="C828" s="1" t="inlineStr">
        <is>
          <t>Piacenza Mix White Wall Tile</t>
        </is>
      </c>
      <c r="D828" s="1" t="n">
        <v>30.99</v>
      </c>
      <c r="E828" s="1" t="inlineStr">
        <is>
          <t>250x50mm</t>
        </is>
      </c>
      <c r="F828" s="1" t="inlineStr">
        <is>
          <t>m2</t>
        </is>
      </c>
      <c r="G828" s="1" t="inlineStr">
        <is>
          <t>Ceramic</t>
        </is>
      </c>
      <c r="H828" s="1" t="inlineStr">
        <is>
          <t>Gloss</t>
        </is>
      </c>
      <c r="I828" t="n">
        <v>30.99</v>
      </c>
    </row>
    <row r="829">
      <c r="A829" s="1">
        <f>Hyperlink("https://www.tilemountain.co.uk/p/pienza-grey-polished-porcelain-floor-tile_1.html","Product")</f>
        <v/>
      </c>
      <c r="B829" s="1" t="inlineStr">
        <is>
          <t>450165</t>
        </is>
      </c>
      <c r="C829" s="1" t="inlineStr">
        <is>
          <t>Pienza Grey Polished Porcelain Floor Tile</t>
        </is>
      </c>
      <c r="D829" s="1" t="n">
        <v>23.99</v>
      </c>
      <c r="E829" s="1" t="inlineStr">
        <is>
          <t>800x800mm</t>
        </is>
      </c>
      <c r="F829" s="1" t="inlineStr">
        <is>
          <t>m2</t>
        </is>
      </c>
      <c r="G829" s="1" t="inlineStr">
        <is>
          <t>Porcelain</t>
        </is>
      </c>
      <c r="H829" s="1" t="inlineStr">
        <is>
          <t>Polished</t>
        </is>
      </c>
      <c r="I829" t="n">
        <v>23.99</v>
      </c>
    </row>
    <row r="830">
      <c r="A830" s="1">
        <f>Hyperlink("https://www.tilemountain.co.uk/p/pierre-bone-rectified-wall-tile.html","Product")</f>
        <v/>
      </c>
      <c r="B830" s="1" t="inlineStr">
        <is>
          <t>448770</t>
        </is>
      </c>
      <c r="C830" s="1" t="inlineStr">
        <is>
          <t>Pierre Bone Rectified Wall Tile</t>
        </is>
      </c>
      <c r="D830" s="1" t="n">
        <v>16.99</v>
      </c>
      <c r="E830" s="1" t="inlineStr">
        <is>
          <t>600x300mm</t>
        </is>
      </c>
      <c r="F830" s="1" t="inlineStr">
        <is>
          <t>m2</t>
        </is>
      </c>
      <c r="G830" s="1" t="inlineStr">
        <is>
          <t>Porcelain</t>
        </is>
      </c>
      <c r="H830" s="1" t="inlineStr">
        <is>
          <t>Matt</t>
        </is>
      </c>
      <c r="I830" t="n">
        <v>16.99</v>
      </c>
    </row>
    <row r="831">
      <c r="A831" s="1">
        <f>Hyperlink("https://www.tilemountain.co.uk/p/pierre-perla-rectified-wall-tile.html","Product")</f>
        <v/>
      </c>
      <c r="B831" s="1" t="inlineStr">
        <is>
          <t>449100</t>
        </is>
      </c>
      <c r="C831" s="1" t="inlineStr">
        <is>
          <t>Pierre Perla Rectified Wall Tile</t>
        </is>
      </c>
      <c r="D831" s="1" t="n">
        <v>16.99</v>
      </c>
      <c r="E831" s="1" t="inlineStr">
        <is>
          <t>600x300mm</t>
        </is>
      </c>
      <c r="F831" s="1" t="inlineStr">
        <is>
          <t>m2</t>
        </is>
      </c>
      <c r="G831" s="1" t="inlineStr">
        <is>
          <t>Porcelain</t>
        </is>
      </c>
      <c r="H831" s="1" t="inlineStr">
        <is>
          <t>Matt</t>
        </is>
      </c>
      <c r="I831" t="n">
        <v>16.99</v>
      </c>
    </row>
    <row r="832">
      <c r="A832" s="1">
        <f>Hyperlink("https://www.tilemountain.co.uk/p/pierre-snow-rectified-wall-tile.html","Product")</f>
        <v/>
      </c>
      <c r="B832" s="1" t="inlineStr">
        <is>
          <t>448760</t>
        </is>
      </c>
      <c r="C832" s="1" t="inlineStr">
        <is>
          <t>Pierre Snow Rectified Wall Tile</t>
        </is>
      </c>
      <c r="D832" s="1" t="n">
        <v>16.99</v>
      </c>
      <c r="E832" s="1" t="inlineStr">
        <is>
          <t>600x300mm</t>
        </is>
      </c>
      <c r="F832" s="1" t="inlineStr">
        <is>
          <t>m2</t>
        </is>
      </c>
      <c r="G832" s="1" t="inlineStr">
        <is>
          <t>Porcelain</t>
        </is>
      </c>
      <c r="H832" s="1" t="inlineStr">
        <is>
          <t>Matt</t>
        </is>
      </c>
      <c r="I832" t="n">
        <v>16.99</v>
      </c>
    </row>
    <row r="833">
      <c r="A833" s="1">
        <f>Hyperlink("https://www.tilemountain.co.uk/p/pietra-anthrcaite-outdoor-slab-tiles.html","Product")</f>
        <v/>
      </c>
      <c r="B833" s="1" t="inlineStr">
        <is>
          <t>452210</t>
        </is>
      </c>
      <c r="C833" s="1" t="inlineStr">
        <is>
          <t>Pietra Anthracite Outdoor Slab</t>
        </is>
      </c>
      <c r="D833" s="1" t="n">
        <v>35.99</v>
      </c>
      <c r="E833" s="1" t="inlineStr">
        <is>
          <t>1200x600mm</t>
        </is>
      </c>
      <c r="F833" s="1" t="inlineStr">
        <is>
          <t>m2</t>
        </is>
      </c>
      <c r="G833" s="1" t="inlineStr">
        <is>
          <t>Porcelain</t>
        </is>
      </c>
      <c r="H833" s="1" t="inlineStr">
        <is>
          <t>Matt</t>
        </is>
      </c>
      <c r="I833" t="n">
        <v>35.99</v>
      </c>
    </row>
    <row r="834">
      <c r="A834" s="1">
        <f>Hyperlink("https://www.tilemountain.co.uk/p/place-white-marble-effect-wall-tile.html","Product")</f>
        <v/>
      </c>
      <c r="B834" s="1" t="inlineStr">
        <is>
          <t>444375</t>
        </is>
      </c>
      <c r="C834" s="1" t="inlineStr">
        <is>
          <t>Place White Marble Effect Wall Tiles</t>
        </is>
      </c>
      <c r="D834" s="1" t="n">
        <v>13.99</v>
      </c>
      <c r="E834" s="1" t="inlineStr">
        <is>
          <t>600x335mm</t>
        </is>
      </c>
      <c r="F834" s="1" t="inlineStr">
        <is>
          <t>m2</t>
        </is>
      </c>
      <c r="G834" s="1" t="inlineStr">
        <is>
          <t>Ceramic</t>
        </is>
      </c>
      <c r="H834" s="1" t="inlineStr">
        <is>
          <t>Gloss</t>
        </is>
      </c>
      <c r="I834" t="n">
        <v>13.99</v>
      </c>
    </row>
    <row r="835">
      <c r="A835" s="1">
        <f>Hyperlink("https://www.tilemountain.co.uk/p/place-white-marble-floor-tile-4867.html","Product")</f>
        <v/>
      </c>
      <c r="B835" s="1" t="inlineStr">
        <is>
          <t>448505</t>
        </is>
      </c>
      <c r="C835" s="1" t="inlineStr">
        <is>
          <t>Place White Matt Marble Effect Floor Tiles</t>
        </is>
      </c>
      <c r="D835" s="1" t="n">
        <v>15.99</v>
      </c>
      <c r="E835" s="1" t="inlineStr">
        <is>
          <t>600x600mm</t>
        </is>
      </c>
      <c r="F835" s="1" t="inlineStr">
        <is>
          <t>m2</t>
        </is>
      </c>
      <c r="G835" s="1" t="inlineStr">
        <is>
          <t>Porcelain</t>
        </is>
      </c>
      <c r="H835" s="1" t="inlineStr">
        <is>
          <t>Matt</t>
        </is>
      </c>
      <c r="I835" t="n">
        <v>15.99</v>
      </c>
    </row>
    <row r="836">
      <c r="A836" s="1">
        <f>Hyperlink("https://www.tilemountain.co.uk/p/place-white-marble-floor-tile.html","Product")</f>
        <v/>
      </c>
      <c r="B836" s="1" t="inlineStr">
        <is>
          <t>443745</t>
        </is>
      </c>
      <c r="C836" s="1" t="inlineStr">
        <is>
          <t>Place White Marble Effect Wall and Floor Tiles</t>
        </is>
      </c>
      <c r="D836" s="1" t="n">
        <v>32.99</v>
      </c>
      <c r="E836" s="1" t="inlineStr">
        <is>
          <t>590x1182mm</t>
        </is>
      </c>
      <c r="F836" s="1" t="inlineStr">
        <is>
          <t>m2</t>
        </is>
      </c>
      <c r="G836" s="1" t="inlineStr">
        <is>
          <t>Porcelain</t>
        </is>
      </c>
      <c r="H836" s="1" t="inlineStr">
        <is>
          <t>Polished</t>
        </is>
      </c>
      <c r="I836" t="n">
        <v>32.99</v>
      </c>
    </row>
    <row r="837">
      <c r="A837" s="1">
        <f>Hyperlink("https://www.tilemountain.co.uk/p/place-white-polished-marble-floor-tile.html","Product")</f>
        <v/>
      </c>
      <c r="B837" s="1" t="inlineStr">
        <is>
          <t>451610</t>
        </is>
      </c>
      <c r="C837" s="1" t="inlineStr">
        <is>
          <t>Place White Polished Marble Effect Floor Tile</t>
        </is>
      </c>
      <c r="D837" s="1" t="n">
        <v>21.99</v>
      </c>
      <c r="E837" s="1" t="inlineStr">
        <is>
          <t>590x590mm</t>
        </is>
      </c>
      <c r="F837" s="1" t="inlineStr">
        <is>
          <t>m2</t>
        </is>
      </c>
      <c r="G837" s="1" t="inlineStr">
        <is>
          <t>Porcelain</t>
        </is>
      </c>
      <c r="H837" s="1" t="inlineStr">
        <is>
          <t>Polished</t>
        </is>
      </c>
      <c r="I837" t="n">
        <v>21.99</v>
      </c>
    </row>
    <row r="838">
      <c r="A838" s="1">
        <f>Hyperlink("https://www.tilemountain.co.uk/p/plastic-trowel.html","Product")</f>
        <v/>
      </c>
      <c r="B838" s="1" t="inlineStr">
        <is>
          <t>450640</t>
        </is>
      </c>
      <c r="C838" s="1" t="inlineStr">
        <is>
          <t>Plastic Trowel</t>
        </is>
      </c>
      <c r="D838" s="1" t="n">
        <v>3.49</v>
      </c>
      <c r="E838" s="1" t="inlineStr">
        <is>
          <t>-</t>
        </is>
      </c>
      <c r="F838" s="1" t="inlineStr">
        <is>
          <t>Qty</t>
        </is>
      </c>
      <c r="G838" s="1" t="inlineStr">
        <is>
          <t>-</t>
        </is>
      </c>
      <c r="H838" s="1" t="inlineStr">
        <is>
          <t>-</t>
        </is>
      </c>
      <c r="I838" t="n">
        <v>3.49</v>
      </c>
    </row>
    <row r="839">
      <c r="A839" s="1">
        <f>Hyperlink("https://www.tilemountain.co.uk/p/pomena-3827.html","Product")</f>
        <v/>
      </c>
      <c r="B839" s="1" t="inlineStr">
        <is>
          <t>445365</t>
        </is>
      </c>
      <c r="C839" s="1" t="inlineStr">
        <is>
          <t>Pomena Luxury Vinyl Tiles</t>
        </is>
      </c>
      <c r="D839" s="1" t="n">
        <v>20.99</v>
      </c>
      <c r="E839" s="1" t="inlineStr">
        <is>
          <t>604x299x4mm</t>
        </is>
      </c>
      <c r="F839" s="1" t="inlineStr">
        <is>
          <t>m2</t>
        </is>
      </c>
      <c r="G839" s="1" t="inlineStr">
        <is>
          <t>LVT</t>
        </is>
      </c>
      <c r="H839" s="1" t="inlineStr">
        <is>
          <t>Matt</t>
        </is>
      </c>
      <c r="I839" t="n">
        <v>20.99</v>
      </c>
    </row>
    <row r="840">
      <c r="A840" s="1">
        <f>Hyperlink("https://www.tilemountain.co.uk/p/portland-oak.html","Product")</f>
        <v/>
      </c>
      <c r="B840" s="1" t="inlineStr">
        <is>
          <t>445335</t>
        </is>
      </c>
      <c r="C840" s="1" t="inlineStr">
        <is>
          <t>Portland Oak Luxury Vinyl Tiles</t>
        </is>
      </c>
      <c r="D840" s="1" t="n">
        <v>20.99</v>
      </c>
      <c r="E840" s="1" t="inlineStr">
        <is>
          <t>1316x191x4mm</t>
        </is>
      </c>
      <c r="F840" s="1" t="inlineStr">
        <is>
          <t>m2</t>
        </is>
      </c>
      <c r="G840" s="1" t="inlineStr">
        <is>
          <t>LVT</t>
        </is>
      </c>
      <c r="H840" s="1" t="inlineStr">
        <is>
          <t>Matt</t>
        </is>
      </c>
      <c r="I840" t="n">
        <v>20.99</v>
      </c>
    </row>
    <row r="841">
      <c r="A841" s="1">
        <f>Hyperlink("https://www.tilemountain.co.uk/p/prime-bond-sbr-water-based-1-ltr.html","Product")</f>
        <v/>
      </c>
      <c r="B841" s="1" t="inlineStr">
        <is>
          <t>450405</t>
        </is>
      </c>
      <c r="C841" s="1" t="inlineStr">
        <is>
          <t>Prime Bond Water Based SBR Primer 1 Ltr</t>
        </is>
      </c>
      <c r="D841" s="1" t="n">
        <v>5.99</v>
      </c>
      <c r="E841" s="1" t="inlineStr">
        <is>
          <t>-</t>
        </is>
      </c>
      <c r="F841" s="1" t="inlineStr">
        <is>
          <t>Qty</t>
        </is>
      </c>
      <c r="G841" s="1" t="inlineStr">
        <is>
          <t>-</t>
        </is>
      </c>
      <c r="H841" s="1" t="inlineStr">
        <is>
          <t>-</t>
        </is>
      </c>
      <c r="I841" t="n">
        <v>5.99</v>
      </c>
    </row>
    <row r="842">
      <c r="A842" s="1">
        <f>Hyperlink("https://www.tilemountain.co.uk/p/primer-g-1kg.html","Product")</f>
        <v/>
      </c>
      <c r="B842" s="1" t="inlineStr">
        <is>
          <t>020101</t>
        </is>
      </c>
      <c r="C842" s="1" t="inlineStr">
        <is>
          <t>Primer G 1kg</t>
        </is>
      </c>
      <c r="D842" s="1" t="n">
        <v>8.99</v>
      </c>
      <c r="E842" s="1" t="inlineStr">
        <is>
          <t>-</t>
        </is>
      </c>
      <c r="F842" s="1" t="inlineStr">
        <is>
          <t>Qty</t>
        </is>
      </c>
      <c r="G842" s="1" t="inlineStr">
        <is>
          <t>-</t>
        </is>
      </c>
      <c r="H842" s="1" t="inlineStr">
        <is>
          <t>-</t>
        </is>
      </c>
      <c r="I842" t="n">
        <v>8.99</v>
      </c>
    </row>
    <row r="843">
      <c r="A843" s="1">
        <f>Hyperlink("https://www.tilemountain.co.uk/p/primer-g-5kg.html","Product")</f>
        <v/>
      </c>
      <c r="B843" s="1" t="inlineStr">
        <is>
          <t>020105</t>
        </is>
      </c>
      <c r="C843" s="1" t="inlineStr">
        <is>
          <t>Primer G 5kg</t>
        </is>
      </c>
      <c r="D843" s="1" t="n">
        <v>17.99</v>
      </c>
      <c r="E843" s="1" t="inlineStr">
        <is>
          <t>-</t>
        </is>
      </c>
      <c r="F843" s="1" t="inlineStr">
        <is>
          <t>Qty</t>
        </is>
      </c>
      <c r="G843" s="1" t="inlineStr">
        <is>
          <t>-</t>
        </is>
      </c>
      <c r="H843" s="1" t="inlineStr">
        <is>
          <t>-</t>
        </is>
      </c>
      <c r="I843" t="n">
        <v>17.99</v>
      </c>
    </row>
    <row r="844">
      <c r="A844" s="1">
        <f>Hyperlink("https://www.tilemountain.co.uk/p/prismatics-duck-egg-gloss-wall-tile-1015.html","Product")</f>
        <v/>
      </c>
      <c r="B844" s="1" t="inlineStr">
        <is>
          <t>432685</t>
        </is>
      </c>
      <c r="C844" s="1" t="inlineStr">
        <is>
          <t>Prismatics Duck Egg Gloss Wall Tiles</t>
        </is>
      </c>
      <c r="D844" s="1" t="n">
        <v>38.99</v>
      </c>
      <c r="E844" s="1" t="inlineStr">
        <is>
          <t>200x100mm</t>
        </is>
      </c>
      <c r="F844" s="1" t="inlineStr">
        <is>
          <t>m2</t>
        </is>
      </c>
      <c r="G844" s="1" t="inlineStr">
        <is>
          <t>Ceramic</t>
        </is>
      </c>
      <c r="H844" s="1" t="inlineStr">
        <is>
          <t>Gloss</t>
        </is>
      </c>
      <c r="I844" t="n">
        <v>38.99</v>
      </c>
    </row>
    <row r="845">
      <c r="A845" s="1">
        <f>Hyperlink("https://www.tilemountain.co.uk/p/prismatics-duck-egg-gloss-wall-tile-1039.html","Product")</f>
        <v/>
      </c>
      <c r="B845" s="1" t="inlineStr">
        <is>
          <t>432330</t>
        </is>
      </c>
      <c r="C845" s="1" t="inlineStr">
        <is>
          <t>Prismatics Duck Egg Gloss Wall Tiles</t>
        </is>
      </c>
      <c r="D845" s="1" t="n">
        <v>32.99</v>
      </c>
      <c r="E845" s="1" t="inlineStr">
        <is>
          <t>150x150mm</t>
        </is>
      </c>
      <c r="F845" s="1" t="inlineStr">
        <is>
          <t>m2</t>
        </is>
      </c>
      <c r="G845" s="1" t="inlineStr">
        <is>
          <t>Ceramic</t>
        </is>
      </c>
      <c r="H845" s="1" t="inlineStr">
        <is>
          <t>Gloss</t>
        </is>
      </c>
      <c r="I845" t="n">
        <v>32.99</v>
      </c>
    </row>
    <row r="846">
      <c r="A846" s="1">
        <f>Hyperlink("https://www.tilemountain.co.uk/p/prismatics-white-gloss-wall-tile-1212.html","Product")</f>
        <v/>
      </c>
      <c r="B846" s="1" t="inlineStr">
        <is>
          <t>432525</t>
        </is>
      </c>
      <c r="C846" s="1" t="inlineStr">
        <is>
          <t>Prismatics White Gloss Wall Tiles</t>
        </is>
      </c>
      <c r="D846" s="1" t="n">
        <v>20.99</v>
      </c>
      <c r="E846" s="1" t="inlineStr">
        <is>
          <t>150x150mm</t>
        </is>
      </c>
      <c r="F846" s="1" t="inlineStr">
        <is>
          <t>m2</t>
        </is>
      </c>
      <c r="G846" s="1" t="inlineStr">
        <is>
          <t>Ceramic</t>
        </is>
      </c>
      <c r="H846" s="1" t="inlineStr">
        <is>
          <t>Gloss</t>
        </is>
      </c>
      <c r="I846" t="n">
        <v>20.99</v>
      </c>
    </row>
    <row r="847">
      <c r="A847" s="1">
        <f>Hyperlink("https://www.tilemountain.co.uk/p/prismatics-white-gloss-wall-tile-1213.html","Product")</f>
        <v/>
      </c>
      <c r="B847" s="1" t="inlineStr">
        <is>
          <t>433005</t>
        </is>
      </c>
      <c r="C847" s="1" t="inlineStr">
        <is>
          <t>Prismatics White Gloss Wall Tiles</t>
        </is>
      </c>
      <c r="D847" s="1" t="n">
        <v>25.99</v>
      </c>
      <c r="E847" s="1" t="inlineStr">
        <is>
          <t>200x200mm</t>
        </is>
      </c>
      <c r="F847" s="1" t="inlineStr">
        <is>
          <t>m2</t>
        </is>
      </c>
      <c r="G847" s="1" t="inlineStr">
        <is>
          <t>Ceramic</t>
        </is>
      </c>
      <c r="H847" s="1" t="inlineStr">
        <is>
          <t>Gloss</t>
        </is>
      </c>
      <c r="I847" t="n">
        <v>25.99</v>
      </c>
    </row>
    <row r="848">
      <c r="A848" s="1">
        <f>Hyperlink("https://www.tilemountain.co.uk/p/prismatics-white-gloss-wall-tile.html","Product")</f>
        <v/>
      </c>
      <c r="B848" s="1" t="inlineStr">
        <is>
          <t>431905</t>
        </is>
      </c>
      <c r="C848" s="1" t="inlineStr">
        <is>
          <t>Prismatics White Gloss Wall Tiles</t>
        </is>
      </c>
      <c r="D848" s="1" t="n">
        <v>27.99</v>
      </c>
      <c r="E848" s="1" t="inlineStr">
        <is>
          <t>100x100mm</t>
        </is>
      </c>
      <c r="F848" s="1" t="inlineStr">
        <is>
          <t>m2</t>
        </is>
      </c>
      <c r="G848" s="1" t="inlineStr">
        <is>
          <t>Ceramic</t>
        </is>
      </c>
      <c r="H848" s="1" t="inlineStr">
        <is>
          <t>Gloss</t>
        </is>
      </c>
      <c r="I848" t="n">
        <v>27.99</v>
      </c>
    </row>
    <row r="849">
      <c r="A849" s="1">
        <f>Hyperlink("https://www.tilemountain.co.uk/p/prismatics-white-satin-wall-tile-1260.html","Product")</f>
        <v/>
      </c>
      <c r="B849" s="1" t="inlineStr">
        <is>
          <t>433065</t>
        </is>
      </c>
      <c r="C849" s="1" t="inlineStr">
        <is>
          <t>Prismatics White Satin Wall Tiles</t>
        </is>
      </c>
      <c r="D849" s="1" t="n">
        <v>25.99</v>
      </c>
      <c r="E849" s="1" t="inlineStr">
        <is>
          <t>200x200mm</t>
        </is>
      </c>
      <c r="F849" s="1" t="inlineStr">
        <is>
          <t>m2</t>
        </is>
      </c>
      <c r="G849" s="1" t="inlineStr">
        <is>
          <t>Ceramic</t>
        </is>
      </c>
      <c r="H849" s="1" t="inlineStr">
        <is>
          <t>Matt</t>
        </is>
      </c>
      <c r="I849" t="n">
        <v>25.99</v>
      </c>
    </row>
    <row r="850">
      <c r="A850" s="1">
        <f>Hyperlink("https://www.tilemountain.co.uk/p/pro-board-fixing-washers.html","Product")</f>
        <v/>
      </c>
      <c r="B850" s="1" t="inlineStr">
        <is>
          <t>434970</t>
        </is>
      </c>
      <c r="C850" s="1" t="inlineStr">
        <is>
          <t>Pro Board Fixing Washers</t>
        </is>
      </c>
      <c r="D850" s="1" t="n">
        <v>23.99</v>
      </c>
      <c r="E850" s="1" t="inlineStr">
        <is>
          <t>-</t>
        </is>
      </c>
      <c r="F850" s="1" t="inlineStr">
        <is>
          <t>Qty</t>
        </is>
      </c>
      <c r="G850" s="1" t="inlineStr">
        <is>
          <t>-</t>
        </is>
      </c>
      <c r="H850" s="1" t="inlineStr">
        <is>
          <t>-</t>
        </is>
      </c>
      <c r="I850" t="n">
        <v>23.99</v>
      </c>
    </row>
    <row r="851">
      <c r="A851" s="1">
        <f>Hyperlink("https://www.tilemountain.co.uk/p/pro-board-tape-46m.html","Product")</f>
        <v/>
      </c>
      <c r="B851" s="1" t="inlineStr">
        <is>
          <t>434960</t>
        </is>
      </c>
      <c r="C851" s="1" t="inlineStr">
        <is>
          <t>Pro Board Tape 46m</t>
        </is>
      </c>
      <c r="D851" s="1" t="n">
        <v>29.99</v>
      </c>
      <c r="E851" s="1" t="inlineStr">
        <is>
          <t>-</t>
        </is>
      </c>
      <c r="F851" s="1" t="inlineStr">
        <is>
          <t>Qty</t>
        </is>
      </c>
      <c r="G851" s="1" t="inlineStr">
        <is>
          <t>-</t>
        </is>
      </c>
      <c r="H851" s="1" t="inlineStr">
        <is>
          <t>-</t>
        </is>
      </c>
      <c r="I851" t="n">
        <v>29.99</v>
      </c>
    </row>
    <row r="852">
      <c r="A852" s="1">
        <f>Hyperlink("https://www.tilemountain.co.uk/p/pro-insulation-board-600x1200-10mm.html","Product")</f>
        <v/>
      </c>
      <c r="B852" s="1" t="inlineStr">
        <is>
          <t>434955</t>
        </is>
      </c>
      <c r="C852" s="1" t="inlineStr">
        <is>
          <t>10mm Pro Insulation Board 600x1200</t>
        </is>
      </c>
      <c r="D852" s="1" t="n">
        <v>13.88</v>
      </c>
      <c r="E852" s="1" t="inlineStr">
        <is>
          <t>600x1200mm</t>
        </is>
      </c>
      <c r="F852" s="1" t="inlineStr">
        <is>
          <t>m2</t>
        </is>
      </c>
      <c r="G852" s="1" t="inlineStr">
        <is>
          <t>-</t>
        </is>
      </c>
      <c r="H852" s="1" t="inlineStr">
        <is>
          <t>-</t>
        </is>
      </c>
      <c r="I852" t="n">
        <v>13.88</v>
      </c>
    </row>
    <row r="853">
      <c r="A853" s="1">
        <f>Hyperlink("https://www.tilemountain.co.uk/p/pro-insulation-board-600x1200-6mm.html","Product")</f>
        <v/>
      </c>
      <c r="B853" s="1" t="inlineStr">
        <is>
          <t>434950</t>
        </is>
      </c>
      <c r="C853" s="1" t="inlineStr">
        <is>
          <t>6mm Pro Insulation Board 600x1200</t>
        </is>
      </c>
      <c r="D853" s="1" t="n">
        <v>13.88</v>
      </c>
      <c r="E853" s="1" t="inlineStr">
        <is>
          <t>600x1200</t>
        </is>
      </c>
      <c r="F853" s="1" t="inlineStr">
        <is>
          <t>m2</t>
        </is>
      </c>
      <c r="G853" s="1" t="inlineStr">
        <is>
          <t>-</t>
        </is>
      </c>
      <c r="H853" s="1" t="inlineStr">
        <is>
          <t>-</t>
        </is>
      </c>
      <c r="I853" t="n">
        <v>13.88</v>
      </c>
    </row>
    <row r="854">
      <c r="A854" s="1">
        <f>Hyperlink("https://www.tilemountain.co.uk/p/professional-hydro-sponge.html","Product")</f>
        <v/>
      </c>
      <c r="B854" s="1" t="inlineStr">
        <is>
          <t>450725</t>
        </is>
      </c>
      <c r="C854" s="1" t="inlineStr">
        <is>
          <t>Professional Hydro Sponge</t>
        </is>
      </c>
      <c r="D854" s="1" t="n">
        <v>1.99</v>
      </c>
      <c r="E854" s="1" t="inlineStr">
        <is>
          <t>-</t>
        </is>
      </c>
      <c r="F854" s="1" t="inlineStr">
        <is>
          <t>Qty</t>
        </is>
      </c>
      <c r="G854" s="1" t="inlineStr">
        <is>
          <t>-</t>
        </is>
      </c>
      <c r="H854" s="1" t="inlineStr">
        <is>
          <t>-</t>
        </is>
      </c>
      <c r="I854" t="n">
        <v>1.99</v>
      </c>
    </row>
    <row r="855">
      <c r="A855" s="1">
        <f>Hyperlink("https://www.tilemountain.co.uk/p/pronto-anthracite-wall-and-floor-tile.html","Product")</f>
        <v/>
      </c>
      <c r="B855" s="1" t="inlineStr">
        <is>
          <t>445180</t>
        </is>
      </c>
      <c r="C855" s="1" t="inlineStr">
        <is>
          <t>Pronto Anthracite Wall And Floor Tiles</t>
        </is>
      </c>
      <c r="D855" s="1" t="n">
        <v>12.99</v>
      </c>
      <c r="E855" s="1" t="inlineStr">
        <is>
          <t>600x300mm</t>
        </is>
      </c>
      <c r="F855" s="1" t="inlineStr">
        <is>
          <t>m2</t>
        </is>
      </c>
      <c r="G855" s="1" t="inlineStr">
        <is>
          <t>Porcelain</t>
        </is>
      </c>
      <c r="H855" s="1" t="inlineStr">
        <is>
          <t>Matt</t>
        </is>
      </c>
      <c r="I855" t="n">
        <v>12.99</v>
      </c>
    </row>
    <row r="856">
      <c r="A856" s="1">
        <f>Hyperlink("https://www.tilemountain.co.uk/p/pronto-grey-wall-and-floor-tile.html","Product")</f>
        <v/>
      </c>
      <c r="B856" s="1" t="inlineStr">
        <is>
          <t>445175</t>
        </is>
      </c>
      <c r="C856" s="1" t="inlineStr">
        <is>
          <t>Pronto Grey Wall And Floor Tiles</t>
        </is>
      </c>
      <c r="D856" s="1" t="n">
        <v>12.99</v>
      </c>
      <c r="E856" s="1" t="inlineStr">
        <is>
          <t>600x300mm</t>
        </is>
      </c>
      <c r="F856" s="1" t="inlineStr">
        <is>
          <t>m2</t>
        </is>
      </c>
      <c r="G856" s="1" t="inlineStr">
        <is>
          <t>Porcelain</t>
        </is>
      </c>
      <c r="H856" s="1" t="inlineStr">
        <is>
          <t>Matt</t>
        </is>
      </c>
      <c r="I856" t="n">
        <v>12.99</v>
      </c>
    </row>
    <row r="857">
      <c r="A857" s="1">
        <f>Hyperlink("https://www.tilemountain.co.uk/p/pronto-ice-grey-wall-and-floor-tile_1.html","Product")</f>
        <v/>
      </c>
      <c r="B857" s="1" t="inlineStr">
        <is>
          <t>454775</t>
        </is>
      </c>
      <c r="C857" s="1" t="inlineStr">
        <is>
          <t>Pronto Ice Grey Wall And Floor Tile</t>
        </is>
      </c>
      <c r="D857" s="1" t="n">
        <v>12.99</v>
      </c>
      <c r="E857" s="1" t="inlineStr">
        <is>
          <t>300x600mm</t>
        </is>
      </c>
      <c r="F857" s="1" t="inlineStr">
        <is>
          <t>m2</t>
        </is>
      </c>
      <c r="G857" s="1" t="inlineStr">
        <is>
          <t>Porcelain</t>
        </is>
      </c>
      <c r="H857" s="1" t="inlineStr">
        <is>
          <t>Matt</t>
        </is>
      </c>
      <c r="I857" t="n">
        <v>12.99</v>
      </c>
    </row>
    <row r="858">
      <c r="A858" s="1">
        <f>Hyperlink("https://www.tilemountain.co.uk/p/pronto-ivory-wall-and-floor-tile.html","Product")</f>
        <v/>
      </c>
      <c r="B858" s="1" t="inlineStr">
        <is>
          <t>445185</t>
        </is>
      </c>
      <c r="C858" s="1" t="inlineStr">
        <is>
          <t>Pronto Ivory Wall And Floor Tiles</t>
        </is>
      </c>
      <c r="D858" s="1" t="n">
        <v>12.99</v>
      </c>
      <c r="E858" s="1" t="inlineStr">
        <is>
          <t>600x300mm</t>
        </is>
      </c>
      <c r="F858" s="1" t="inlineStr">
        <is>
          <t>m2</t>
        </is>
      </c>
      <c r="G858" s="1" t="inlineStr">
        <is>
          <t>Porcelain</t>
        </is>
      </c>
      <c r="H858" s="1" t="inlineStr">
        <is>
          <t>Matt</t>
        </is>
      </c>
      <c r="I858" t="n">
        <v>12.99</v>
      </c>
    </row>
    <row r="859">
      <c r="A859" s="1">
        <f>Hyperlink("https://www.tilemountain.co.uk/p/prospect-natural.html","Product")</f>
        <v/>
      </c>
      <c r="B859" s="1" t="inlineStr">
        <is>
          <t>444435</t>
        </is>
      </c>
      <c r="C859" s="1" t="inlineStr">
        <is>
          <t>Prospect Natural Wall and Floor Tile</t>
        </is>
      </c>
      <c r="D859" s="1" t="n">
        <v>16.99</v>
      </c>
      <c r="E859" s="1" t="inlineStr">
        <is>
          <t>1200x600mm</t>
        </is>
      </c>
      <c r="F859" s="1" t="inlineStr">
        <is>
          <t>m2</t>
        </is>
      </c>
      <c r="G859" s="1" t="inlineStr">
        <is>
          <t>Porcelain</t>
        </is>
      </c>
      <c r="H859" s="1" t="inlineStr">
        <is>
          <t>Matt</t>
        </is>
      </c>
      <c r="I859" t="n">
        <v>16.99</v>
      </c>
    </row>
    <row r="860">
      <c r="A860" s="1">
        <f>Hyperlink("https://www.tilemountain.co.uk/p/pulpis-grey-stone-effect-floor-tile.html","Product")</f>
        <v/>
      </c>
      <c r="B860" s="1" t="inlineStr">
        <is>
          <t>443755</t>
        </is>
      </c>
      <c r="C860" s="1" t="inlineStr">
        <is>
          <t>Pulpis Grey Stone Effect Wall and Floor Tiles</t>
        </is>
      </c>
      <c r="D860" s="1" t="n">
        <v>34.99</v>
      </c>
      <c r="E860" s="1" t="inlineStr">
        <is>
          <t>590x1182mm</t>
        </is>
      </c>
      <c r="F860" s="1" t="inlineStr">
        <is>
          <t>m2</t>
        </is>
      </c>
      <c r="G860" s="1" t="inlineStr">
        <is>
          <t>Porcelain</t>
        </is>
      </c>
      <c r="H860" s="1" t="inlineStr">
        <is>
          <t>Polished</t>
        </is>
      </c>
      <c r="I860" t="n">
        <v>34.99</v>
      </c>
    </row>
    <row r="861">
      <c r="A861" s="1">
        <f>Hyperlink("https://www.tilemountain.co.uk/p/pulpis-grey-wall-tile.html","Product")</f>
        <v/>
      </c>
      <c r="B861" s="1" t="inlineStr">
        <is>
          <t>448520</t>
        </is>
      </c>
      <c r="C861" s="1" t="inlineStr">
        <is>
          <t>Pulpis Grey Wall Tile</t>
        </is>
      </c>
      <c r="D861" s="1" t="n">
        <v>13.99</v>
      </c>
      <c r="E861" s="1" t="inlineStr">
        <is>
          <t>600x335mm</t>
        </is>
      </c>
      <c r="F861" s="1" t="inlineStr">
        <is>
          <t>m2</t>
        </is>
      </c>
      <c r="G861" s="1" t="inlineStr">
        <is>
          <t>Ceramic</t>
        </is>
      </c>
      <c r="H861" s="1" t="inlineStr">
        <is>
          <t>Gloss</t>
        </is>
      </c>
      <c r="I861" t="n">
        <v>13.99</v>
      </c>
    </row>
    <row r="862">
      <c r="A862" s="1">
        <f>Hyperlink("https://www.tilemountain.co.uk/p/quartz-stone-midnight-black-1946.html","Product")</f>
        <v/>
      </c>
      <c r="B862" s="1" t="inlineStr">
        <is>
          <t>436165</t>
        </is>
      </c>
      <c r="C862" s="1" t="inlineStr">
        <is>
          <t>Quartz Stone Midnight Black Floor Tile</t>
        </is>
      </c>
      <c r="D862" s="1" t="n">
        <v>64.95</v>
      </c>
      <c r="E862" s="1" t="inlineStr">
        <is>
          <t>600x600mm</t>
        </is>
      </c>
      <c r="F862" s="1" t="inlineStr">
        <is>
          <t>m2</t>
        </is>
      </c>
      <c r="G862" s="1" t="inlineStr">
        <is>
          <t>Quartz</t>
        </is>
      </c>
      <c r="H862" s="1" t="inlineStr">
        <is>
          <t>Gloss</t>
        </is>
      </c>
      <c r="I862" t="n">
        <v>64.95</v>
      </c>
    </row>
    <row r="863">
      <c r="A863" s="1">
        <f>Hyperlink("https://www.tilemountain.co.uk/p/quartz-stone-midnight-black.html","Product")</f>
        <v/>
      </c>
      <c r="B863" s="1" t="inlineStr">
        <is>
          <t>436160</t>
        </is>
      </c>
      <c r="C863" s="1" t="inlineStr">
        <is>
          <t>Quartz Stone Midnight Black Wall and Floor Tile</t>
        </is>
      </c>
      <c r="D863" s="1" t="n">
        <v>64.95</v>
      </c>
      <c r="E863" s="1" t="inlineStr">
        <is>
          <t>300x300mm</t>
        </is>
      </c>
      <c r="F863" s="1" t="inlineStr">
        <is>
          <t>m2</t>
        </is>
      </c>
      <c r="G863" s="1" t="inlineStr">
        <is>
          <t>Quartz</t>
        </is>
      </c>
      <c r="H863" s="1" t="inlineStr">
        <is>
          <t>Gloss</t>
        </is>
      </c>
      <c r="I863" t="n">
        <v>64.95</v>
      </c>
    </row>
    <row r="864">
      <c r="A864" s="1">
        <f>Hyperlink("https://www.tilemountain.co.uk/p/quartz-stone-snow-white-1944.html","Product")</f>
        <v/>
      </c>
      <c r="B864" s="1" t="inlineStr">
        <is>
          <t>436155</t>
        </is>
      </c>
      <c r="C864" s="1" t="inlineStr">
        <is>
          <t>Quartz Stone Snow White Floor Tile</t>
        </is>
      </c>
      <c r="D864" s="1" t="n">
        <v>54.95</v>
      </c>
      <c r="E864" s="1" t="inlineStr">
        <is>
          <t>600x600mm</t>
        </is>
      </c>
      <c r="F864" s="1" t="inlineStr">
        <is>
          <t>m2</t>
        </is>
      </c>
      <c r="G864" s="1" t="inlineStr">
        <is>
          <t>Quartz</t>
        </is>
      </c>
      <c r="H864" s="1" t="inlineStr">
        <is>
          <t>Gloss</t>
        </is>
      </c>
      <c r="I864" t="n">
        <v>54.95</v>
      </c>
    </row>
    <row r="865">
      <c r="A865" s="1">
        <f>Hyperlink("https://www.tilemountain.co.uk/p/quartz-stone-snow-white-2099.html","Product")</f>
        <v/>
      </c>
      <c r="B865" s="1" t="inlineStr">
        <is>
          <t>436870</t>
        </is>
      </c>
      <c r="C865" s="1" t="inlineStr">
        <is>
          <t>Quartz Stone Snow White Wall and Floor Tile</t>
        </is>
      </c>
      <c r="D865" s="1" t="n">
        <v>55</v>
      </c>
      <c r="E865" s="1" t="inlineStr">
        <is>
          <t>300x300mm</t>
        </is>
      </c>
      <c r="F865" s="1" t="inlineStr">
        <is>
          <t>m2</t>
        </is>
      </c>
      <c r="G865" s="1" t="inlineStr">
        <is>
          <t>Quartz</t>
        </is>
      </c>
      <c r="H865" s="1" t="inlineStr">
        <is>
          <t>Gloss</t>
        </is>
      </c>
      <c r="I865" t="n">
        <v>55</v>
      </c>
    </row>
    <row r="866">
      <c r="A866" s="1">
        <f>Hyperlink("https://www.tilemountain.co.uk/p/quartz-stone-snow-white.html","Product")</f>
        <v/>
      </c>
      <c r="B866" s="1" t="inlineStr">
        <is>
          <t>436150</t>
        </is>
      </c>
      <c r="C866" s="1" t="inlineStr">
        <is>
          <t>Quartz Stone Snow White Wall and Floor Tile</t>
        </is>
      </c>
      <c r="D866" s="1" t="n">
        <v>64.95</v>
      </c>
      <c r="E866" s="1" t="inlineStr">
        <is>
          <t>300x600mm</t>
        </is>
      </c>
      <c r="F866" s="1" t="inlineStr">
        <is>
          <t>m2</t>
        </is>
      </c>
      <c r="G866" s="1" t="inlineStr">
        <is>
          <t>Quartz</t>
        </is>
      </c>
      <c r="H866" s="1" t="inlineStr">
        <is>
          <t>Gloss</t>
        </is>
      </c>
      <c r="I866" t="n">
        <v>64.95</v>
      </c>
    </row>
    <row r="867">
      <c r="A867" s="1">
        <f>Hyperlink("https://www.tilemountain.co.uk/p/quenos-graphite-outdoor-slab.html","Product")</f>
        <v/>
      </c>
      <c r="B867" s="1" t="inlineStr">
        <is>
          <t>455180</t>
        </is>
      </c>
      <c r="C867" s="1" t="inlineStr">
        <is>
          <t>Quenos Graphite Outdoor Slab</t>
        </is>
      </c>
      <c r="D867" s="1" t="n">
        <v>28.99</v>
      </c>
      <c r="E867" s="1" t="inlineStr">
        <is>
          <t>593x593mm</t>
        </is>
      </c>
      <c r="F867" s="1" t="inlineStr">
        <is>
          <t>m2</t>
        </is>
      </c>
      <c r="G867" s="1" t="inlineStr">
        <is>
          <t>Porcelain</t>
        </is>
      </c>
      <c r="H867" s="1" t="inlineStr">
        <is>
          <t>Matt</t>
        </is>
      </c>
      <c r="I867" t="n">
        <v>28.99</v>
      </c>
    </row>
    <row r="868">
      <c r="A868" s="1">
        <f>Hyperlink("https://www.tilemountain.co.uk/p/quenos-grey-outdoor-slab.html","Product")</f>
        <v/>
      </c>
      <c r="B868" s="1" t="inlineStr">
        <is>
          <t>455185</t>
        </is>
      </c>
      <c r="C868" s="1" t="inlineStr">
        <is>
          <t>Quenos Grey Outdoor Slab</t>
        </is>
      </c>
      <c r="D868" s="1" t="n">
        <v>28.99</v>
      </c>
      <c r="E868" s="1" t="inlineStr">
        <is>
          <t>593x593mm</t>
        </is>
      </c>
      <c r="F868" s="1" t="inlineStr">
        <is>
          <t>m2</t>
        </is>
      </c>
      <c r="G868" s="1" t="inlineStr">
        <is>
          <t>Porcelain</t>
        </is>
      </c>
      <c r="H868" s="1" t="inlineStr">
        <is>
          <t>Matt</t>
        </is>
      </c>
      <c r="I868" t="n">
        <v>28.99</v>
      </c>
    </row>
    <row r="869">
      <c r="A869" s="1">
        <f>Hyperlink("https://www.tilemountain.co.uk/p/quenos-light-grey-outdoor-slab.html","Product")</f>
        <v/>
      </c>
      <c r="B869" s="1" t="inlineStr">
        <is>
          <t>455190</t>
        </is>
      </c>
      <c r="C869" s="1" t="inlineStr">
        <is>
          <t>Quenos Light Grey Outdoor Slab</t>
        </is>
      </c>
      <c r="D869" s="1" t="n">
        <v>28.99</v>
      </c>
      <c r="E869" s="1" t="inlineStr">
        <is>
          <t>593x593mm</t>
        </is>
      </c>
      <c r="F869" s="1" t="inlineStr">
        <is>
          <t>m2</t>
        </is>
      </c>
      <c r="G869" s="1" t="inlineStr">
        <is>
          <t>Porcelain</t>
        </is>
      </c>
      <c r="H869" s="1" t="inlineStr">
        <is>
          <t>Matt</t>
        </is>
      </c>
      <c r="I869" t="n">
        <v>28.99</v>
      </c>
    </row>
    <row r="870">
      <c r="A870" s="1">
        <f>Hyperlink("https://www.tilemountain.co.uk/p/quenos-white-outdoor-slab.html","Product")</f>
        <v/>
      </c>
      <c r="B870" s="1" t="inlineStr">
        <is>
          <t>455195</t>
        </is>
      </c>
      <c r="C870" s="1" t="inlineStr">
        <is>
          <t>Quenos White Outdoor Slab</t>
        </is>
      </c>
      <c r="D870" s="1" t="n">
        <v>29.68</v>
      </c>
      <c r="E870" s="1" t="inlineStr">
        <is>
          <t>593x593mm</t>
        </is>
      </c>
      <c r="F870" s="1" t="inlineStr">
        <is>
          <t>m2</t>
        </is>
      </c>
      <c r="G870" s="1" t="inlineStr">
        <is>
          <t>Porcelain</t>
        </is>
      </c>
      <c r="H870" s="1" t="inlineStr">
        <is>
          <t>Matt</t>
        </is>
      </c>
      <c r="I870" t="n">
        <v>29.68</v>
      </c>
    </row>
    <row r="871">
      <c r="A871" s="1">
        <f>Hyperlink("https://www.tilemountain.co.uk/p/raindrop-blue-glass-mosaic.html","Product")</f>
        <v/>
      </c>
      <c r="B871" s="1" t="inlineStr">
        <is>
          <t>450055</t>
        </is>
      </c>
      <c r="C871" s="1" t="inlineStr">
        <is>
          <t>Raindrop Blue Glass Mosaic 300x300</t>
        </is>
      </c>
      <c r="D871" s="1" t="n">
        <v>14.99</v>
      </c>
      <c r="E871" s="1" t="inlineStr">
        <is>
          <t>300x300mm</t>
        </is>
      </c>
      <c r="F871" s="1" t="inlineStr">
        <is>
          <t>sheet</t>
        </is>
      </c>
      <c r="G871" s="1" t="inlineStr">
        <is>
          <t>Glass</t>
        </is>
      </c>
      <c r="H871" s="1" t="inlineStr">
        <is>
          <t>Gloss</t>
        </is>
      </c>
      <c r="I871" t="n">
        <v>14.99</v>
      </c>
    </row>
    <row r="872">
      <c r="A872" s="1">
        <f>Hyperlink("https://www.tilemountain.co.uk/p/raindrop-green-glass-mosaic.html","Product")</f>
        <v/>
      </c>
      <c r="B872" s="1" t="inlineStr">
        <is>
          <t>450065</t>
        </is>
      </c>
      <c r="C872" s="1" t="inlineStr">
        <is>
          <t>Raindrop Green Glass Mosaic 300x300</t>
        </is>
      </c>
      <c r="D872" s="1" t="n">
        <v>14.99</v>
      </c>
      <c r="E872" s="1" t="inlineStr">
        <is>
          <t>300x300mm</t>
        </is>
      </c>
      <c r="F872" s="1" t="inlineStr">
        <is>
          <t>sheet</t>
        </is>
      </c>
      <c r="G872" s="1" t="inlineStr">
        <is>
          <t>Glass</t>
        </is>
      </c>
      <c r="H872" s="1" t="inlineStr">
        <is>
          <t>Gloss</t>
        </is>
      </c>
      <c r="I872" t="n">
        <v>14.99</v>
      </c>
    </row>
    <row r="873">
      <c r="A873" s="1">
        <f>Hyperlink("https://www.tilemountain.co.uk/p/raindrop-grey-glass-mosaic_1.html","Product")</f>
        <v/>
      </c>
      <c r="B873" s="1" t="inlineStr">
        <is>
          <t>450070</t>
        </is>
      </c>
      <c r="C873" s="1" t="inlineStr">
        <is>
          <t>Raindrop Grey Glass Mosaic 300x300</t>
        </is>
      </c>
      <c r="D873" s="1" t="n">
        <v>14.99</v>
      </c>
      <c r="E873" s="1" t="inlineStr">
        <is>
          <t>300x300mm</t>
        </is>
      </c>
      <c r="F873" s="1" t="inlineStr">
        <is>
          <t>sheet</t>
        </is>
      </c>
      <c r="G873" s="1" t="inlineStr">
        <is>
          <t>Glass</t>
        </is>
      </c>
      <c r="H873" s="1" t="inlineStr">
        <is>
          <t>Gloss</t>
        </is>
      </c>
      <c r="I873" t="n">
        <v>14.99</v>
      </c>
    </row>
    <row r="874">
      <c r="A874" s="1">
        <f>Hyperlink("https://www.tilemountain.co.uk/p/raindrop-red-glass-mosaic.html","Product")</f>
        <v/>
      </c>
      <c r="B874" s="1" t="inlineStr">
        <is>
          <t>450060</t>
        </is>
      </c>
      <c r="C874" s="1" t="inlineStr">
        <is>
          <t>Raindrop Red Glass Mosaic 300x300</t>
        </is>
      </c>
      <c r="D874" s="1" t="n">
        <v>14.99</v>
      </c>
      <c r="E874" s="1" t="inlineStr">
        <is>
          <t>300x300mm</t>
        </is>
      </c>
      <c r="F874" s="1" t="inlineStr">
        <is>
          <t>sheet</t>
        </is>
      </c>
      <c r="G874" s="1" t="inlineStr">
        <is>
          <t>Glass</t>
        </is>
      </c>
      <c r="H874" s="1" t="inlineStr">
        <is>
          <t>Gloss</t>
        </is>
      </c>
      <c r="I874" t="n">
        <v>14.99</v>
      </c>
    </row>
    <row r="875">
      <c r="A875" s="1">
        <f>Hyperlink("https://www.tilemountain.co.uk/p/rapid-porcelain-grey-s1.html","Product")</f>
        <v/>
      </c>
      <c r="B875" s="1" t="inlineStr">
        <is>
          <t>450310</t>
        </is>
      </c>
      <c r="C875" s="1" t="inlineStr">
        <is>
          <t>Rapid Porcelain Grey S1 Tile Adhesive</t>
        </is>
      </c>
      <c r="D875" s="1" t="n">
        <v>19.95</v>
      </c>
      <c r="E875" s="1" t="inlineStr">
        <is>
          <t>-</t>
        </is>
      </c>
      <c r="F875" s="1" t="inlineStr">
        <is>
          <t>Qty</t>
        </is>
      </c>
      <c r="G875" s="1" t="inlineStr">
        <is>
          <t>-</t>
        </is>
      </c>
      <c r="H875" s="1" t="inlineStr">
        <is>
          <t>-</t>
        </is>
      </c>
      <c r="I875" t="n">
        <v>19.95</v>
      </c>
    </row>
    <row r="876">
      <c r="A876" s="1">
        <f>Hyperlink("https://www.tilemountain.co.uk/p/rapid-porcelain-white-s1.html","Product")</f>
        <v/>
      </c>
      <c r="B876" s="1" t="inlineStr">
        <is>
          <t>450315</t>
        </is>
      </c>
      <c r="C876" s="1" t="inlineStr">
        <is>
          <t>Rapid Porcelain &amp; Stone White S1 Tile Adhesive</t>
        </is>
      </c>
      <c r="D876" s="1" t="n">
        <v>23.95</v>
      </c>
      <c r="E876" s="1" t="inlineStr">
        <is>
          <t>-</t>
        </is>
      </c>
      <c r="F876" s="1" t="inlineStr">
        <is>
          <t>Qty</t>
        </is>
      </c>
      <c r="G876" s="1" t="inlineStr">
        <is>
          <t>-</t>
        </is>
      </c>
      <c r="H876" s="1" t="inlineStr">
        <is>
          <t>-</t>
        </is>
      </c>
      <c r="I876" t="n">
        <v>23.95</v>
      </c>
    </row>
    <row r="877">
      <c r="A877" s="1">
        <f>Hyperlink("https://www.tilemountain.co.uk/p/rapolano-grey-wall-tile-3504.html","Product")</f>
        <v/>
      </c>
      <c r="B877" s="1" t="inlineStr">
        <is>
          <t>443810</t>
        </is>
      </c>
      <c r="C877" s="1" t="inlineStr">
        <is>
          <t>Rapolano Grey Wall Tiles</t>
        </is>
      </c>
      <c r="D877" s="1" t="n">
        <v>9.99</v>
      </c>
      <c r="E877" s="1" t="inlineStr">
        <is>
          <t>550x330mm</t>
        </is>
      </c>
      <c r="F877" s="1" t="inlineStr">
        <is>
          <t>m2</t>
        </is>
      </c>
      <c r="G877" s="1" t="inlineStr">
        <is>
          <t>Ceramic</t>
        </is>
      </c>
      <c r="H877" s="1" t="inlineStr">
        <is>
          <t>Matt</t>
        </is>
      </c>
      <c r="I877" t="n">
        <v>9.99</v>
      </c>
    </row>
    <row r="878">
      <c r="A878" s="1">
        <f>Hyperlink("https://www.tilemountain.co.uk/p/red-glass-upstand-pack-2.html","Product")</f>
        <v/>
      </c>
      <c r="B878" s="1" t="inlineStr">
        <is>
          <t>436375</t>
        </is>
      </c>
      <c r="C878" s="1" t="inlineStr">
        <is>
          <t>Red Glass Upstand 2pcsx1000mmx140mm</t>
        </is>
      </c>
      <c r="D878" s="1" t="n">
        <v>34.99</v>
      </c>
      <c r="E878" s="1" t="inlineStr">
        <is>
          <t>1000x140mm</t>
        </is>
      </c>
      <c r="F878" s="1" t="inlineStr">
        <is>
          <t>piece</t>
        </is>
      </c>
      <c r="G878" s="1" t="inlineStr">
        <is>
          <t>Glass</t>
        </is>
      </c>
      <c r="H878" s="1" t="inlineStr">
        <is>
          <t>Polished</t>
        </is>
      </c>
      <c r="I878" t="n">
        <v>34.99</v>
      </c>
    </row>
    <row r="879">
      <c r="A879" s="1">
        <f>Hyperlink("https://www.tilemountain.co.uk/p/red-quarry-tile-3496.html","Product")</f>
        <v/>
      </c>
      <c r="B879" s="1" t="inlineStr">
        <is>
          <t>443775</t>
        </is>
      </c>
      <c r="C879" s="1" t="inlineStr">
        <is>
          <t>Red Quarry Tiles</t>
        </is>
      </c>
      <c r="D879" s="1" t="n">
        <v>12.99</v>
      </c>
      <c r="E879" s="1" t="inlineStr">
        <is>
          <t>200x100mm</t>
        </is>
      </c>
      <c r="F879" s="1" t="inlineStr">
        <is>
          <t>m2</t>
        </is>
      </c>
      <c r="G879" s="1" t="inlineStr">
        <is>
          <t>Natural Clay</t>
        </is>
      </c>
      <c r="H879" s="1" t="inlineStr">
        <is>
          <t>Matt</t>
        </is>
      </c>
      <c r="I879" t="n">
        <v>12.99</v>
      </c>
    </row>
    <row r="880">
      <c r="A880" s="1">
        <f>Hyperlink("https://www.tilemountain.co.uk/p/red-quarry-tile-3497.html","Product")</f>
        <v/>
      </c>
      <c r="B880" s="1" t="inlineStr">
        <is>
          <t>443780</t>
        </is>
      </c>
      <c r="C880" s="1" t="inlineStr">
        <is>
          <t>Red Quarry Tiles</t>
        </is>
      </c>
      <c r="D880" s="1" t="n">
        <v>16.99</v>
      </c>
      <c r="E880" s="1" t="inlineStr">
        <is>
          <t>200x200mm</t>
        </is>
      </c>
      <c r="F880" s="1" t="inlineStr">
        <is>
          <t>m2</t>
        </is>
      </c>
      <c r="G880" s="1" t="inlineStr">
        <is>
          <t>Natural Clay</t>
        </is>
      </c>
      <c r="H880" s="1" t="inlineStr">
        <is>
          <t>Matt</t>
        </is>
      </c>
      <c r="I880" t="n">
        <v>16.99</v>
      </c>
    </row>
    <row r="881">
      <c r="A881" s="1">
        <f>Hyperlink("https://www.tilemountain.co.uk/p/red-quarry-tile-re.html","Product")</f>
        <v/>
      </c>
      <c r="B881" s="1" t="inlineStr">
        <is>
          <t>443765</t>
        </is>
      </c>
      <c r="C881" s="1" t="inlineStr">
        <is>
          <t>Red Quarry Tiles (RE)</t>
        </is>
      </c>
      <c r="D881" s="1" t="n">
        <v>33.99</v>
      </c>
      <c r="E881" s="1" t="inlineStr">
        <is>
          <t>150x150mm</t>
        </is>
      </c>
      <c r="F881" s="1" t="inlineStr">
        <is>
          <t>m2</t>
        </is>
      </c>
      <c r="G881" s="1" t="inlineStr">
        <is>
          <t>Natural Clay</t>
        </is>
      </c>
      <c r="H881" s="1" t="inlineStr">
        <is>
          <t>Matt</t>
        </is>
      </c>
      <c r="I881" t="n">
        <v>33.99</v>
      </c>
    </row>
    <row r="882">
      <c r="A882" s="1">
        <f>Hyperlink("https://www.tilemountain.co.uk/p/red-quarry-tile.html","Product")</f>
        <v/>
      </c>
      <c r="B882" s="1" t="inlineStr">
        <is>
          <t>443760</t>
        </is>
      </c>
      <c r="C882" s="1" t="inlineStr">
        <is>
          <t>Red Quarry Tiles</t>
        </is>
      </c>
      <c r="D882" s="1" t="n">
        <v>12.99</v>
      </c>
      <c r="E882" s="1" t="inlineStr">
        <is>
          <t>150x150mm</t>
        </is>
      </c>
      <c r="F882" s="1" t="inlineStr">
        <is>
          <t>m2</t>
        </is>
      </c>
      <c r="G882" s="1" t="inlineStr">
        <is>
          <t>Natural Clay</t>
        </is>
      </c>
      <c r="H882" s="1" t="inlineStr">
        <is>
          <t>Matt</t>
        </is>
      </c>
      <c r="I882" t="n">
        <v>12.99</v>
      </c>
    </row>
    <row r="883">
      <c r="A883" s="1">
        <f>Hyperlink("https://www.tilemountain.co.uk/p/rewind-powder-tile-750x750.html","Product")</f>
        <v/>
      </c>
      <c r="B883" s="1" t="inlineStr">
        <is>
          <t>449155</t>
        </is>
      </c>
      <c r="C883" s="1" t="inlineStr">
        <is>
          <t>Rewind Powder Tiles</t>
        </is>
      </c>
      <c r="D883" s="1" t="n">
        <v>26.95</v>
      </c>
      <c r="E883" s="1" t="inlineStr">
        <is>
          <t>750x750mm</t>
        </is>
      </c>
      <c r="F883" s="1" t="inlineStr">
        <is>
          <t>m2</t>
        </is>
      </c>
      <c r="G883" s="1" t="inlineStr">
        <is>
          <t>Porcelain</t>
        </is>
      </c>
      <c r="H883" s="1" t="inlineStr">
        <is>
          <t>Matt</t>
        </is>
      </c>
      <c r="I883" t="n">
        <v>26.95</v>
      </c>
    </row>
    <row r="884">
      <c r="A884" s="1">
        <f>Hyperlink("https://www.tilemountain.co.uk/p/ribera-grey-slate-effect-wall-tile.html","Product")</f>
        <v/>
      </c>
      <c r="B884" s="1" t="inlineStr">
        <is>
          <t>439565</t>
        </is>
      </c>
      <c r="C884" s="1" t="inlineStr">
        <is>
          <t>Ribera Grey Slate Effect Wall Tiles</t>
        </is>
      </c>
      <c r="D884" s="1" t="n">
        <v>20.99</v>
      </c>
      <c r="E884" s="1" t="inlineStr">
        <is>
          <t>560x310mm</t>
        </is>
      </c>
      <c r="F884" s="1" t="inlineStr">
        <is>
          <t>m2</t>
        </is>
      </c>
      <c r="G884" s="1" t="inlineStr">
        <is>
          <t>Porcelain</t>
        </is>
      </c>
      <c r="H884" s="1" t="inlineStr">
        <is>
          <t>Matt</t>
        </is>
      </c>
      <c r="I884" t="n">
        <v>20.99</v>
      </c>
    </row>
    <row r="885">
      <c r="A885" s="1">
        <f>Hyperlink("https://www.tilemountain.co.uk/p/riga-concrete-wall-and-floor-tile.html","Product")</f>
        <v/>
      </c>
      <c r="B885" s="1" t="inlineStr">
        <is>
          <t>444325</t>
        </is>
      </c>
      <c r="C885" s="1" t="inlineStr">
        <is>
          <t>Riga Concrete Wall and Floor Tiles</t>
        </is>
      </c>
      <c r="D885" s="1" t="n">
        <v>17.99</v>
      </c>
      <c r="E885" s="1" t="inlineStr">
        <is>
          <t>450x450mm</t>
        </is>
      </c>
      <c r="F885" s="1" t="inlineStr">
        <is>
          <t>m2</t>
        </is>
      </c>
      <c r="G885" s="1" t="inlineStr">
        <is>
          <t>Ceramic</t>
        </is>
      </c>
      <c r="H885" s="1" t="inlineStr">
        <is>
          <t>Matt</t>
        </is>
      </c>
      <c r="I885" t="n">
        <v>17.99</v>
      </c>
    </row>
    <row r="886">
      <c r="A886" s="1">
        <f>Hyperlink("https://www.tilemountain.co.uk/p/riga-patchwork-wall-and-floor-tile.html","Product")</f>
        <v/>
      </c>
      <c r="B886" s="1" t="inlineStr">
        <is>
          <t>444320</t>
        </is>
      </c>
      <c r="C886" s="1" t="inlineStr">
        <is>
          <t>Riga Patchwork Wall and Floor Tiles</t>
        </is>
      </c>
      <c r="D886" s="1" t="n">
        <v>17.99</v>
      </c>
      <c r="E886" s="1" t="inlineStr">
        <is>
          <t>450x450mm</t>
        </is>
      </c>
      <c r="F886" s="1" t="inlineStr">
        <is>
          <t>m2</t>
        </is>
      </c>
      <c r="G886" s="1" t="inlineStr">
        <is>
          <t>-</t>
        </is>
      </c>
      <c r="H886" s="1" t="inlineStr">
        <is>
          <t>-</t>
        </is>
      </c>
      <c r="I886" t="n">
        <v>17.99</v>
      </c>
    </row>
    <row r="887">
      <c r="A887" s="1">
        <f>Hyperlink("https://www.tilemountain.co.uk/p/rocastone-grey-20mm-external-porcelain-floor-tile.html","Product")</f>
        <v/>
      </c>
      <c r="B887" s="1" t="inlineStr">
        <is>
          <t>449940</t>
        </is>
      </c>
      <c r="C887" s="1" t="inlineStr">
        <is>
          <t>Rocastone Grey Outdoor Slab Tile</t>
        </is>
      </c>
      <c r="D887" s="1" t="n">
        <v>26.99</v>
      </c>
      <c r="E887" s="1" t="inlineStr">
        <is>
          <t>600x600mm</t>
        </is>
      </c>
      <c r="F887" s="1" t="inlineStr">
        <is>
          <t>m2</t>
        </is>
      </c>
      <c r="G887" s="1" t="inlineStr">
        <is>
          <t>Porcelain</t>
        </is>
      </c>
      <c r="H887" s="1" t="inlineStr">
        <is>
          <t>Matt</t>
        </is>
      </c>
      <c r="I887" t="n">
        <v>26.99</v>
      </c>
    </row>
    <row r="888">
      <c r="A888" s="1">
        <f>Hyperlink("https://www.tilemountain.co.uk/p/roller-and-tray.html","Product")</f>
        <v/>
      </c>
      <c r="B888" s="1" t="inlineStr">
        <is>
          <t>450735</t>
        </is>
      </c>
      <c r="C888" s="1" t="inlineStr">
        <is>
          <t>Roller And Tray</t>
        </is>
      </c>
      <c r="D888" s="1" t="n">
        <v>2.99</v>
      </c>
      <c r="E888" s="1" t="inlineStr">
        <is>
          <t>-</t>
        </is>
      </c>
      <c r="F888" s="1" t="inlineStr">
        <is>
          <t>Qty</t>
        </is>
      </c>
      <c r="G888" s="1" t="inlineStr">
        <is>
          <t>-</t>
        </is>
      </c>
      <c r="H888" s="1" t="inlineStr">
        <is>
          <t>-</t>
        </is>
      </c>
      <c r="I888" t="n">
        <v>2.99</v>
      </c>
    </row>
    <row r="889">
      <c r="A889" s="1">
        <f>Hyperlink("https://www.tilemountain.co.uk/p/rombos-rustic-patterned-floor-tile.html","Product")</f>
        <v/>
      </c>
      <c r="B889" s="1" t="inlineStr">
        <is>
          <t>443315</t>
        </is>
      </c>
      <c r="C889" s="1" t="inlineStr">
        <is>
          <t>Rombos Rustic Patterned Floor Tiles</t>
        </is>
      </c>
      <c r="D889" s="1" t="n">
        <v>24.99</v>
      </c>
      <c r="E889" s="1" t="inlineStr">
        <is>
          <t>450x450mm</t>
        </is>
      </c>
      <c r="F889" s="1" t="inlineStr">
        <is>
          <t>m2</t>
        </is>
      </c>
      <c r="G889" s="1" t="inlineStr">
        <is>
          <t>Ceramic</t>
        </is>
      </c>
      <c r="H889" s="1" t="inlineStr">
        <is>
          <t>Matt</t>
        </is>
      </c>
      <c r="I889" t="n">
        <v>24.99</v>
      </c>
    </row>
    <row r="890">
      <c r="A890" s="1">
        <f>Hyperlink("https://www.tilemountain.co.uk/p/room-black-polished-60x120.html","Product")</f>
        <v/>
      </c>
      <c r="B890" s="1" t="inlineStr">
        <is>
          <t>447325</t>
        </is>
      </c>
      <c r="C890" s="1" t="inlineStr">
        <is>
          <t>The Room Black Polished Porcelain Wall and Floor Tile</t>
        </is>
      </c>
      <c r="D890" s="1" t="n">
        <v>54.99</v>
      </c>
      <c r="E890" s="1" t="inlineStr">
        <is>
          <t>1200x600mm</t>
        </is>
      </c>
      <c r="F890" s="1" t="inlineStr">
        <is>
          <t>m2</t>
        </is>
      </c>
      <c r="G890" s="1" t="inlineStr">
        <is>
          <t>Porcelain</t>
        </is>
      </c>
      <c r="H890" s="1" t="inlineStr">
        <is>
          <t>Polished</t>
        </is>
      </c>
      <c r="I890" t="n">
        <v>54.99</v>
      </c>
    </row>
    <row r="891">
      <c r="A891" s="1">
        <f>Hyperlink("https://www.tilemountain.co.uk/p/room-black-polished-60x60.html","Product")</f>
        <v/>
      </c>
      <c r="B891" s="1" t="inlineStr">
        <is>
          <t>447285</t>
        </is>
      </c>
      <c r="C891" s="1" t="inlineStr">
        <is>
          <t>The Room Black Polished Porcelain Floor Tile</t>
        </is>
      </c>
      <c r="D891" s="1" t="n">
        <v>52.99</v>
      </c>
      <c r="E891" s="1" t="inlineStr">
        <is>
          <t>600x600mm</t>
        </is>
      </c>
      <c r="F891" s="1" t="inlineStr">
        <is>
          <t>m2</t>
        </is>
      </c>
      <c r="G891" s="1" t="inlineStr">
        <is>
          <t>Porcelain</t>
        </is>
      </c>
      <c r="H891" s="1" t="inlineStr">
        <is>
          <t>Polished</t>
        </is>
      </c>
      <c r="I891" t="n">
        <v>52.99</v>
      </c>
    </row>
    <row r="892">
      <c r="A892" s="1">
        <f>Hyperlink("https://www.tilemountain.co.uk/p/room-white-polished-60x120.html","Product")</f>
        <v/>
      </c>
      <c r="B892" s="1" t="inlineStr">
        <is>
          <t>447310</t>
        </is>
      </c>
      <c r="C892" s="1" t="inlineStr">
        <is>
          <t>The Room White Polished Porcelain Wall and Floor Tile</t>
        </is>
      </c>
      <c r="D892" s="1" t="n">
        <v>54.99</v>
      </c>
      <c r="E892" s="1" t="inlineStr">
        <is>
          <t>1200x600mm</t>
        </is>
      </c>
      <c r="F892" s="1" t="inlineStr">
        <is>
          <t>m2</t>
        </is>
      </c>
      <c r="G892" s="1" t="inlineStr">
        <is>
          <t>Porcelain</t>
        </is>
      </c>
      <c r="H892" s="1" t="inlineStr">
        <is>
          <t>Polished</t>
        </is>
      </c>
      <c r="I892" t="n">
        <v>54.99</v>
      </c>
    </row>
    <row r="893">
      <c r="A893" s="1">
        <f>Hyperlink("https://www.tilemountain.co.uk/p/room-white-polished-60x60.html","Product")</f>
        <v/>
      </c>
      <c r="B893" s="1" t="inlineStr">
        <is>
          <t>447270</t>
        </is>
      </c>
      <c r="C893" s="1" t="inlineStr">
        <is>
          <t>The Room White Polished Porcelain Floor Tile</t>
        </is>
      </c>
      <c r="D893" s="1" t="n">
        <v>52.99</v>
      </c>
      <c r="E893" s="1" t="inlineStr">
        <is>
          <t>600x600mm</t>
        </is>
      </c>
      <c r="F893" s="1" t="inlineStr">
        <is>
          <t>m2</t>
        </is>
      </c>
      <c r="G893" s="1" t="inlineStr">
        <is>
          <t>Porcelain</t>
        </is>
      </c>
      <c r="H893" s="1" t="inlineStr">
        <is>
          <t>Polished</t>
        </is>
      </c>
      <c r="I893" t="n">
        <v>52.99</v>
      </c>
    </row>
    <row r="894">
      <c r="A894" s="1">
        <f>Hyperlink("https://www.tilemountain.co.uk/p/royal-dark-grey-polished-porcelain-3729.html","Product")</f>
        <v/>
      </c>
      <c r="B894" s="1" t="inlineStr">
        <is>
          <t>444905</t>
        </is>
      </c>
      <c r="C894" s="1" t="inlineStr">
        <is>
          <t>Royal Dark Grey Polished Porcelain Floor Tile</t>
        </is>
      </c>
      <c r="D894" s="1" t="n">
        <v>22.99</v>
      </c>
      <c r="E894" s="1" t="inlineStr">
        <is>
          <t>800x800mm</t>
        </is>
      </c>
      <c r="F894" s="1" t="inlineStr">
        <is>
          <t>m2</t>
        </is>
      </c>
      <c r="G894" s="1" t="inlineStr">
        <is>
          <t>Porcelain</t>
        </is>
      </c>
      <c r="H894" s="1" t="inlineStr">
        <is>
          <t>Polished</t>
        </is>
      </c>
      <c r="I894" t="n">
        <v>22.99</v>
      </c>
    </row>
    <row r="895">
      <c r="A895" s="1">
        <f>Hyperlink("https://www.tilemountain.co.uk/p/royal-dark-grey-polished-porcelain.html","Product")</f>
        <v/>
      </c>
      <c r="B895" s="1" t="inlineStr">
        <is>
          <t>444240</t>
        </is>
      </c>
      <c r="C895" s="1" t="inlineStr">
        <is>
          <t>Royal Dark Grey Polished Porcelain Wall and Floor Tile</t>
        </is>
      </c>
      <c r="D895" s="1" t="n">
        <v>20.99</v>
      </c>
      <c r="E895" s="1" t="inlineStr">
        <is>
          <t>300x600mm</t>
        </is>
      </c>
      <c r="F895" s="1" t="inlineStr">
        <is>
          <t>m2</t>
        </is>
      </c>
      <c r="G895" s="1" t="inlineStr">
        <is>
          <t>Porcelain</t>
        </is>
      </c>
      <c r="H895" s="1" t="inlineStr">
        <is>
          <t>Polished</t>
        </is>
      </c>
      <c r="I895" t="n">
        <v>20.99</v>
      </c>
    </row>
    <row r="896">
      <c r="A896" s="1">
        <f>Hyperlink("https://www.tilemountain.co.uk/p/royal-grey-polished-porcelain-2773.html","Product")</f>
        <v/>
      </c>
      <c r="B896" s="1" t="inlineStr">
        <is>
          <t>440330</t>
        </is>
      </c>
      <c r="C896" s="1" t="inlineStr">
        <is>
          <t>Royal Grey Polished Porcelain Wall and Floor Tile</t>
        </is>
      </c>
      <c r="D896" s="1" t="n">
        <v>20.99</v>
      </c>
      <c r="E896" s="1" t="inlineStr">
        <is>
          <t>295x600mm</t>
        </is>
      </c>
      <c r="F896" s="1" t="inlineStr">
        <is>
          <t>m2</t>
        </is>
      </c>
      <c r="G896" s="1" t="inlineStr">
        <is>
          <t>Porcelain</t>
        </is>
      </c>
      <c r="H896" s="1" t="inlineStr">
        <is>
          <t>Polished</t>
        </is>
      </c>
      <c r="I896" t="n">
        <v>20.99</v>
      </c>
    </row>
    <row r="897">
      <c r="A897" s="1">
        <f>Hyperlink("https://www.tilemountain.co.uk/p/royal-grey-polished-porcelain-3728.html","Product")</f>
        <v/>
      </c>
      <c r="B897" s="1" t="inlineStr">
        <is>
          <t>444900</t>
        </is>
      </c>
      <c r="C897" s="1" t="inlineStr">
        <is>
          <t>Royal Grey Polished Porcelain Floor Tile</t>
        </is>
      </c>
      <c r="D897" s="1" t="n">
        <v>22.99</v>
      </c>
      <c r="E897" s="1" t="inlineStr">
        <is>
          <t>800x800mm</t>
        </is>
      </c>
      <c r="F897" s="1" t="inlineStr">
        <is>
          <t>m2</t>
        </is>
      </c>
      <c r="G897" s="1" t="inlineStr">
        <is>
          <t>Porcelain</t>
        </is>
      </c>
      <c r="H897" s="1" t="inlineStr">
        <is>
          <t>Polished</t>
        </is>
      </c>
      <c r="I897" t="n">
        <v>22.99</v>
      </c>
    </row>
    <row r="898">
      <c r="A898" s="1">
        <f>Hyperlink("https://www.tilemountain.co.uk/p/royal-grey-polished-porcelain.html","Product")</f>
        <v/>
      </c>
      <c r="B898" s="1" t="inlineStr">
        <is>
          <t>440325</t>
        </is>
      </c>
      <c r="C898" s="1" t="inlineStr">
        <is>
          <t>Royal Grey Polished Porcelain Floor Tile</t>
        </is>
      </c>
      <c r="D898" s="1" t="n">
        <v>19.99</v>
      </c>
      <c r="E898" s="1" t="inlineStr">
        <is>
          <t>600x600mm</t>
        </is>
      </c>
      <c r="F898" s="1" t="inlineStr">
        <is>
          <t>m2</t>
        </is>
      </c>
      <c r="G898" s="1" t="inlineStr">
        <is>
          <t>Porcelain</t>
        </is>
      </c>
      <c r="H898" s="1" t="inlineStr">
        <is>
          <t>Polished</t>
        </is>
      </c>
      <c r="I898" t="n">
        <v>19.99</v>
      </c>
    </row>
    <row r="899">
      <c r="A899" s="1">
        <f>Hyperlink("https://www.tilemountain.co.uk/p/royal-vanilla-polished-porcelain-3730.html","Product")</f>
        <v/>
      </c>
      <c r="B899" s="1" t="inlineStr">
        <is>
          <t>444910</t>
        </is>
      </c>
      <c r="C899" s="1" t="inlineStr">
        <is>
          <t>Royal Vanilla Polished Porcelain Floor Tile</t>
        </is>
      </c>
      <c r="D899" s="1" t="n">
        <v>22.99</v>
      </c>
      <c r="E899" s="1" t="inlineStr">
        <is>
          <t>800x800mm</t>
        </is>
      </c>
      <c r="F899" s="1" t="inlineStr">
        <is>
          <t>m2</t>
        </is>
      </c>
      <c r="G899" s="1" t="inlineStr">
        <is>
          <t>Porcelain</t>
        </is>
      </c>
      <c r="H899" s="1" t="inlineStr">
        <is>
          <t>Polished</t>
        </is>
      </c>
      <c r="I899" t="n">
        <v>22.99</v>
      </c>
    </row>
    <row r="900">
      <c r="A900" s="1">
        <f>Hyperlink("https://www.tilemountain.co.uk/p/royal-vanilla-polished-porcelain-floor-tile.html","Product")</f>
        <v/>
      </c>
      <c r="B900" s="1" t="inlineStr">
        <is>
          <t>443205</t>
        </is>
      </c>
      <c r="C900" s="1" t="inlineStr">
        <is>
          <t>Royal Vanilla Polished Porcelain Floor Tile</t>
        </is>
      </c>
      <c r="D900" s="1" t="n">
        <v>19.99</v>
      </c>
      <c r="E900" s="1" t="inlineStr">
        <is>
          <t>600x600mm</t>
        </is>
      </c>
      <c r="F900" s="1" t="inlineStr">
        <is>
          <t>m2</t>
        </is>
      </c>
      <c r="G900" s="1" t="inlineStr">
        <is>
          <t>Porcelain</t>
        </is>
      </c>
      <c r="H900" s="1" t="inlineStr">
        <is>
          <t>Polished</t>
        </is>
      </c>
      <c r="I900" t="n">
        <v>19.99</v>
      </c>
    </row>
    <row r="901">
      <c r="A901" s="1">
        <f>Hyperlink("https://www.tilemountain.co.uk/p/royal-vanilla-polished-porcelain.html","Product")</f>
        <v/>
      </c>
      <c r="B901" s="1" t="inlineStr">
        <is>
          <t>444245</t>
        </is>
      </c>
      <c r="C901" s="1" t="inlineStr">
        <is>
          <t>Royal Vanilla Polished Porcelain Wall and Floor Tile</t>
        </is>
      </c>
      <c r="D901" s="1" t="n">
        <v>20.99</v>
      </c>
      <c r="E901" s="1" t="inlineStr">
        <is>
          <t>295x600mm</t>
        </is>
      </c>
      <c r="F901" s="1" t="inlineStr">
        <is>
          <t>m2</t>
        </is>
      </c>
      <c r="G901" s="1" t="inlineStr">
        <is>
          <t>Porcelain</t>
        </is>
      </c>
      <c r="H901" s="1" t="inlineStr">
        <is>
          <t>Polished</t>
        </is>
      </c>
      <c r="I901" t="n">
        <v>20.99</v>
      </c>
    </row>
    <row r="902">
      <c r="A902" s="1">
        <f>Hyperlink("https://www.tilemountain.co.uk/p/rural-rustic-wood-effect-floor-tile.html","Product")</f>
        <v/>
      </c>
      <c r="B902" s="1" t="inlineStr">
        <is>
          <t>440105</t>
        </is>
      </c>
      <c r="C902" s="1" t="inlineStr">
        <is>
          <t>Rural Distressed Wood Effect Floor Tiles</t>
        </is>
      </c>
      <c r="D902" s="1" t="n">
        <v>12.99</v>
      </c>
      <c r="E902" s="1" t="inlineStr">
        <is>
          <t>500x170mm</t>
        </is>
      </c>
      <c r="F902" s="1" t="inlineStr">
        <is>
          <t>m2</t>
        </is>
      </c>
      <c r="G902" s="1" t="inlineStr">
        <is>
          <t>Ceramic</t>
        </is>
      </c>
      <c r="H902" s="1" t="inlineStr">
        <is>
          <t>Matt</t>
        </is>
      </c>
      <c r="I902" t="n">
        <v>12.99</v>
      </c>
    </row>
    <row r="903">
      <c r="A903" s="1">
        <f>Hyperlink("https://www.tilemountain.co.uk/p/sandalo-grey-natural-wood-effect-floor-tile.html","Product")</f>
        <v/>
      </c>
      <c r="B903" s="1" t="inlineStr">
        <is>
          <t>436645</t>
        </is>
      </c>
      <c r="C903" s="1" t="inlineStr">
        <is>
          <t>Sandalo Grey Natural Wood Effect Floor Tiles</t>
        </is>
      </c>
      <c r="D903" s="1" t="n">
        <v>12.99</v>
      </c>
      <c r="E903" s="1" t="inlineStr">
        <is>
          <t>662x235mm</t>
        </is>
      </c>
      <c r="F903" s="1" t="inlineStr">
        <is>
          <t>m2</t>
        </is>
      </c>
      <c r="G903" s="1" t="inlineStr">
        <is>
          <t>Ceramic</t>
        </is>
      </c>
      <c r="H903" s="1" t="inlineStr">
        <is>
          <t>Matt</t>
        </is>
      </c>
      <c r="I903" t="n">
        <v>12.99</v>
      </c>
    </row>
    <row r="904">
      <c r="A904" s="1">
        <f>Hyperlink("https://www.tilemountain.co.uk/p/sandalo-taupe-natural-wood-effect-floor-tile.html","Product")</f>
        <v/>
      </c>
      <c r="B904" s="1" t="inlineStr">
        <is>
          <t>436650</t>
        </is>
      </c>
      <c r="C904" s="1" t="inlineStr">
        <is>
          <t>Sandalo Taupe Natural  Wood Effect Floor Tiles</t>
        </is>
      </c>
      <c r="D904" s="1" t="n">
        <v>12.99</v>
      </c>
      <c r="E904" s="1" t="inlineStr">
        <is>
          <t>662x235mm</t>
        </is>
      </c>
      <c r="F904" s="1" t="inlineStr">
        <is>
          <t>m2</t>
        </is>
      </c>
      <c r="G904" s="1" t="inlineStr">
        <is>
          <t>Ceramic</t>
        </is>
      </c>
      <c r="H904" s="1" t="inlineStr">
        <is>
          <t>Matt</t>
        </is>
      </c>
      <c r="I904" t="n">
        <v>12.99</v>
      </c>
    </row>
    <row r="905">
      <c r="A905" s="1">
        <f>Hyperlink("https://www.tilemountain.co.uk/p/sandune-anthracite-polished-porcelain-4994.html","Product")</f>
        <v/>
      </c>
      <c r="B905" s="1" t="inlineStr">
        <is>
          <t>449125</t>
        </is>
      </c>
      <c r="C905" s="1" t="inlineStr">
        <is>
          <t>Sandune Anthracite Polished Porcelain</t>
        </is>
      </c>
      <c r="D905" s="1" t="n">
        <v>6.48</v>
      </c>
      <c r="E905" s="1" t="inlineStr">
        <is>
          <t>600x600</t>
        </is>
      </c>
      <c r="F905" s="1" t="inlineStr">
        <is>
          <t>Qty</t>
        </is>
      </c>
      <c r="G905" s="1" t="inlineStr">
        <is>
          <t>-</t>
        </is>
      </c>
      <c r="H905" s="1" t="inlineStr">
        <is>
          <t>-</t>
        </is>
      </c>
      <c r="I905" t="n">
        <v>6.48</v>
      </c>
    </row>
    <row r="906">
      <c r="A906" s="1">
        <f>Hyperlink("https://www.tilemountain.co.uk/p/savoy-leaf-gloss-decor.html","Product")</f>
        <v/>
      </c>
      <c r="B906" s="1" t="inlineStr">
        <is>
          <t>438090</t>
        </is>
      </c>
      <c r="C906" s="1" t="inlineStr">
        <is>
          <t>Savoy Leaf Gloss Decor Wall Tile</t>
        </is>
      </c>
      <c r="D906" s="1" t="n">
        <v>42.99</v>
      </c>
      <c r="E906" s="1" t="inlineStr">
        <is>
          <t>100x300mm</t>
        </is>
      </c>
      <c r="F906" s="1" t="inlineStr">
        <is>
          <t>m2</t>
        </is>
      </c>
      <c r="G906" s="1" t="inlineStr">
        <is>
          <t>Ceramic</t>
        </is>
      </c>
      <c r="H906" s="1" t="inlineStr">
        <is>
          <t>Gloss</t>
        </is>
      </c>
      <c r="I906" t="n">
        <v>42.99</v>
      </c>
    </row>
    <row r="907">
      <c r="A907" s="1">
        <f>Hyperlink("https://www.tilemountain.co.uk/p/savoy-leaf-gloss-wall-tile-2349.html","Product")</f>
        <v/>
      </c>
      <c r="B907" s="1" t="inlineStr">
        <is>
          <t>438055</t>
        </is>
      </c>
      <c r="C907" s="1" t="inlineStr">
        <is>
          <t>Savoy Leaf Gloss Wall Tiles</t>
        </is>
      </c>
      <c r="D907" s="1" t="n">
        <v>35.99</v>
      </c>
      <c r="E907" s="1" t="inlineStr">
        <is>
          <t>100x300mm</t>
        </is>
      </c>
      <c r="F907" s="1" t="inlineStr">
        <is>
          <t>m2</t>
        </is>
      </c>
      <c r="G907" s="1" t="inlineStr">
        <is>
          <t>Ceramic</t>
        </is>
      </c>
      <c r="H907" s="1" t="inlineStr">
        <is>
          <t>Gloss</t>
        </is>
      </c>
      <c r="I907" t="n">
        <v>35.99</v>
      </c>
    </row>
    <row r="908">
      <c r="A908" s="1">
        <f>Hyperlink("https://www.tilemountain.co.uk/p/scale-boho-grey-wall-and-floor-tile.html","Product")</f>
        <v/>
      </c>
      <c r="B908" s="1" t="inlineStr">
        <is>
          <t>446655</t>
        </is>
      </c>
      <c r="C908" s="1" t="inlineStr">
        <is>
          <t>Scale Boho Grey Wall and Floor Tiles</t>
        </is>
      </c>
      <c r="D908" s="1" t="n">
        <v>24.99</v>
      </c>
      <c r="E908" s="1" t="inlineStr">
        <is>
          <t>307x307mm</t>
        </is>
      </c>
      <c r="F908" s="1" t="inlineStr">
        <is>
          <t>m2</t>
        </is>
      </c>
      <c r="G908" s="1" t="inlineStr">
        <is>
          <t>Porcelain</t>
        </is>
      </c>
      <c r="H908" s="1" t="inlineStr">
        <is>
          <t>Matt</t>
        </is>
      </c>
      <c r="I908" t="n">
        <v>24.99</v>
      </c>
    </row>
    <row r="909">
      <c r="A909" s="1">
        <f>Hyperlink("https://www.tilemountain.co.uk/p/scale-boho-white-wall-and-floor-tile.html","Product")</f>
        <v/>
      </c>
      <c r="B909" s="1" t="inlineStr">
        <is>
          <t>446650</t>
        </is>
      </c>
      <c r="C909" s="1" t="inlineStr">
        <is>
          <t>Scale Boho White Wall and Floor Tiles</t>
        </is>
      </c>
      <c r="D909" s="1" t="n">
        <v>24.99</v>
      </c>
      <c r="E909" s="1" t="inlineStr">
        <is>
          <t>307x307mm</t>
        </is>
      </c>
      <c r="F909" s="1" t="inlineStr">
        <is>
          <t>m2</t>
        </is>
      </c>
      <c r="G909" s="1" t="inlineStr">
        <is>
          <t>Porcelain</t>
        </is>
      </c>
      <c r="H909" s="1" t="inlineStr">
        <is>
          <t>Matt</t>
        </is>
      </c>
      <c r="I909" t="n">
        <v>24.99</v>
      </c>
    </row>
    <row r="910">
      <c r="A910" s="1">
        <f>Hyperlink("https://www.tilemountain.co.uk/p/scandinavia-polished-floor-tile.html","Product")</f>
        <v/>
      </c>
      <c r="B910" s="1" t="inlineStr">
        <is>
          <t>448360</t>
        </is>
      </c>
      <c r="C910" s="1" t="inlineStr">
        <is>
          <t>Scandinavia Polished Floor Tile</t>
        </is>
      </c>
      <c r="D910" s="1" t="n">
        <v>19.99</v>
      </c>
      <c r="E910" s="1" t="inlineStr">
        <is>
          <t>1200x600mm</t>
        </is>
      </c>
      <c r="F910" s="1" t="inlineStr">
        <is>
          <t>m2</t>
        </is>
      </c>
      <c r="G910" s="1" t="inlineStr">
        <is>
          <t>Porcelain</t>
        </is>
      </c>
      <c r="H910" s="1" t="inlineStr">
        <is>
          <t>Polished</t>
        </is>
      </c>
      <c r="I910" t="n">
        <v>19.99</v>
      </c>
    </row>
    <row r="911">
      <c r="A911" s="1">
        <f>Hyperlink("https://www.tilemountain.co.uk/p/score-and-snap-knife.html","Product")</f>
        <v/>
      </c>
      <c r="B911" s="1" t="inlineStr">
        <is>
          <t>445700</t>
        </is>
      </c>
      <c r="C911" s="1" t="inlineStr">
        <is>
          <t>HardieBacker Score and Snap Knife</t>
        </is>
      </c>
      <c r="D911" s="1" t="n">
        <v>7.49</v>
      </c>
      <c r="E911" s="1" t="inlineStr">
        <is>
          <t>-</t>
        </is>
      </c>
      <c r="F911" s="1" t="inlineStr">
        <is>
          <t>Qty</t>
        </is>
      </c>
      <c r="G911" s="1" t="inlineStr">
        <is>
          <t>-</t>
        </is>
      </c>
      <c r="H911" s="1" t="inlineStr">
        <is>
          <t>-</t>
        </is>
      </c>
      <c r="I911" t="n">
        <v>7.49</v>
      </c>
    </row>
    <row r="912">
      <c r="A912" s="1">
        <f>Hyperlink("https://www.tilemountain.co.uk/p/sealant-applicator-25cm.html","Product")</f>
        <v/>
      </c>
      <c r="B912" s="1" t="inlineStr">
        <is>
          <t>LTPT35</t>
        </is>
      </c>
      <c r="C912" s="1" t="inlineStr">
        <is>
          <t>Sealant Applicator 25cm</t>
        </is>
      </c>
      <c r="D912" s="1" t="n">
        <v>6.49</v>
      </c>
      <c r="E912" s="1" t="inlineStr">
        <is>
          <t>-</t>
        </is>
      </c>
      <c r="F912" s="1" t="inlineStr">
        <is>
          <t>Qty</t>
        </is>
      </c>
      <c r="G912" s="1" t="inlineStr">
        <is>
          <t>-</t>
        </is>
      </c>
      <c r="H912" s="1" t="inlineStr">
        <is>
          <t>-</t>
        </is>
      </c>
      <c r="I912" t="n">
        <v>6.49</v>
      </c>
    </row>
    <row r="913">
      <c r="A913" s="1">
        <f>Hyperlink("https://www.tilemountain.co.uk/p/sensestone-grey-matt-wall-and-floor-tile.html","Product")</f>
        <v/>
      </c>
      <c r="B913" s="1" t="inlineStr">
        <is>
          <t>438380</t>
        </is>
      </c>
      <c r="C913" s="1" t="inlineStr">
        <is>
          <t>Sensestone Grey Matt Wall And Floor Tiles</t>
        </is>
      </c>
      <c r="D913" s="1" t="n">
        <v>13</v>
      </c>
      <c r="E913" s="1" t="inlineStr">
        <is>
          <t>600x300mm</t>
        </is>
      </c>
      <c r="F913" s="1" t="inlineStr">
        <is>
          <t>m2</t>
        </is>
      </c>
      <c r="G913" s="1" t="inlineStr">
        <is>
          <t>Glazed Porcelain</t>
        </is>
      </c>
      <c r="H913" s="1" t="inlineStr">
        <is>
          <t>Matt</t>
        </is>
      </c>
      <c r="I913" t="n">
        <v>13</v>
      </c>
    </row>
    <row r="914">
      <c r="A914" s="1">
        <f>Hyperlink("https://www.tilemountain.co.uk/p/seven-evo-graphite-floor_1.html","Product")</f>
        <v/>
      </c>
      <c r="B914" s="1" t="inlineStr">
        <is>
          <t>450215</t>
        </is>
      </c>
      <c r="C914" s="1" t="inlineStr">
        <is>
          <t>Seven Evo Graphite Floor Tiles</t>
        </is>
      </c>
      <c r="D914" s="1" t="n">
        <v>13.99</v>
      </c>
      <c r="E914" s="1" t="inlineStr">
        <is>
          <t>600x600mm</t>
        </is>
      </c>
      <c r="F914" s="1" t="inlineStr">
        <is>
          <t>m2</t>
        </is>
      </c>
      <c r="G914" s="1" t="inlineStr">
        <is>
          <t>Porcelain</t>
        </is>
      </c>
      <c r="H914" s="1" t="inlineStr">
        <is>
          <t>Matt</t>
        </is>
      </c>
      <c r="I914" t="n">
        <v>13.99</v>
      </c>
    </row>
    <row r="915">
      <c r="A915" s="1">
        <f>Hyperlink("https://www.tilemountain.co.uk/p/seven-evo-graphite_1.html","Product")</f>
        <v/>
      </c>
      <c r="B915" s="1" t="inlineStr">
        <is>
          <t>450200</t>
        </is>
      </c>
      <c r="C915" s="1" t="inlineStr">
        <is>
          <t>Seven Evo Graphite Wall and Floor Tiles</t>
        </is>
      </c>
      <c r="D915" s="1" t="n">
        <v>12.99</v>
      </c>
      <c r="E915" s="1" t="inlineStr">
        <is>
          <t>600x300mm</t>
        </is>
      </c>
      <c r="F915" s="1" t="inlineStr">
        <is>
          <t>m2</t>
        </is>
      </c>
      <c r="G915" s="1" t="inlineStr">
        <is>
          <t>Porcelain</t>
        </is>
      </c>
      <c r="H915" s="1" t="inlineStr">
        <is>
          <t>Matt</t>
        </is>
      </c>
      <c r="I915" t="n">
        <v>12.99</v>
      </c>
    </row>
    <row r="916">
      <c r="A916" s="1">
        <f>Hyperlink("https://www.tilemountain.co.uk/p/seven-evo-smoke-floor_1.html","Product")</f>
        <v/>
      </c>
      <c r="B916" s="1" t="inlineStr">
        <is>
          <t>450220</t>
        </is>
      </c>
      <c r="C916" s="1" t="inlineStr">
        <is>
          <t>Seven Evo Smoke Floor Tiles</t>
        </is>
      </c>
      <c r="D916" s="1" t="n">
        <v>13.99</v>
      </c>
      <c r="E916" s="1" t="inlineStr">
        <is>
          <t>600x600mm</t>
        </is>
      </c>
      <c r="F916" s="1" t="inlineStr">
        <is>
          <t>m2</t>
        </is>
      </c>
      <c r="G916" s="1" t="inlineStr">
        <is>
          <t>Porcelain</t>
        </is>
      </c>
      <c r="H916" s="1" t="inlineStr">
        <is>
          <t>Matt</t>
        </is>
      </c>
      <c r="I916" t="n">
        <v>13.99</v>
      </c>
    </row>
    <row r="917">
      <c r="A917" s="1">
        <f>Hyperlink("https://www.tilemountain.co.uk/p/seven-evo-taupe-wall-and-floor-tile.html","Product")</f>
        <v/>
      </c>
      <c r="B917" s="1" t="inlineStr">
        <is>
          <t>450210</t>
        </is>
      </c>
      <c r="C917" s="1" t="inlineStr">
        <is>
          <t>Seven Evo Taupe Wall and Floor Tiles</t>
        </is>
      </c>
      <c r="D917" s="1" t="n">
        <v>12.99</v>
      </c>
      <c r="E917" s="1" t="inlineStr">
        <is>
          <t>600x300mm</t>
        </is>
      </c>
      <c r="F917" s="1" t="inlineStr">
        <is>
          <t>m2</t>
        </is>
      </c>
      <c r="G917" s="1" t="inlineStr">
        <is>
          <t>Porcelain</t>
        </is>
      </c>
      <c r="H917" s="1" t="inlineStr">
        <is>
          <t>Matt</t>
        </is>
      </c>
      <c r="I917" t="n">
        <v>12.99</v>
      </c>
    </row>
    <row r="918">
      <c r="A918" s="1">
        <f>Hyperlink("https://www.tilemountain.co.uk/p/silicone-gun-5421.html","Product")</f>
        <v/>
      </c>
      <c r="B918" s="1" t="inlineStr">
        <is>
          <t>450695</t>
        </is>
      </c>
      <c r="C918" s="1" t="inlineStr">
        <is>
          <t>Silicone Gun</t>
        </is>
      </c>
      <c r="D918" s="1" t="n">
        <v>3.99</v>
      </c>
      <c r="E918" s="1" t="inlineStr">
        <is>
          <t>-</t>
        </is>
      </c>
      <c r="F918" s="1" t="inlineStr">
        <is>
          <t>Qty</t>
        </is>
      </c>
      <c r="G918" s="1" t="inlineStr">
        <is>
          <t>-</t>
        </is>
      </c>
      <c r="H918" s="1" t="inlineStr">
        <is>
          <t>-</t>
        </is>
      </c>
      <c r="I918" t="n">
        <v>3.99</v>
      </c>
    </row>
    <row r="919">
      <c r="A919" s="1">
        <f>Hyperlink("https://www.tilemountain.co.uk/p/silver-grey-split-face-mosaic.html","Product")</f>
        <v/>
      </c>
      <c r="B919" s="1" t="inlineStr">
        <is>
          <t>445545</t>
        </is>
      </c>
      <c r="C919" s="1" t="inlineStr">
        <is>
          <t>Silver Grey Split Face Mosaic</t>
        </is>
      </c>
      <c r="D919" s="1" t="n">
        <v>40.99</v>
      </c>
      <c r="E919" s="1" t="inlineStr">
        <is>
          <t>300x150mm</t>
        </is>
      </c>
      <c r="F919" s="1" t="inlineStr">
        <is>
          <t>m2</t>
        </is>
      </c>
      <c r="G919" s="1" t="inlineStr">
        <is>
          <t>Slate</t>
        </is>
      </c>
      <c r="H919" s="1" t="inlineStr">
        <is>
          <t>Riven</t>
        </is>
      </c>
      <c r="I919" t="n">
        <v>40.99</v>
      </c>
    </row>
    <row r="920">
      <c r="A920" s="1">
        <f>Hyperlink("https://www.tilemountain.co.uk/p/silverstone-grafite-gloss-wall-tile-3339.html","Product")</f>
        <v/>
      </c>
      <c r="B920" s="1" t="inlineStr">
        <is>
          <t>443135</t>
        </is>
      </c>
      <c r="C920" s="1" t="inlineStr">
        <is>
          <t>Silverstone Grafite Gloss Wall Tiles</t>
        </is>
      </c>
      <c r="D920" s="1" t="n">
        <v>9.99</v>
      </c>
      <c r="E920" s="1" t="inlineStr">
        <is>
          <t>550x330mm</t>
        </is>
      </c>
      <c r="F920" s="1" t="inlineStr">
        <is>
          <t>m2</t>
        </is>
      </c>
      <c r="G920" s="1" t="inlineStr">
        <is>
          <t>Ceramic</t>
        </is>
      </c>
      <c r="H920" s="1" t="inlineStr">
        <is>
          <t>Gloss</t>
        </is>
      </c>
      <c r="I920" t="n">
        <v>9.99</v>
      </c>
    </row>
    <row r="921">
      <c r="A921" s="1">
        <f>Hyperlink("https://www.tilemountain.co.uk/p/silverstone-grey-matt-wall-tile.html","Product")</f>
        <v/>
      </c>
      <c r="B921" s="1" t="inlineStr">
        <is>
          <t>443130</t>
        </is>
      </c>
      <c r="C921" s="1" t="inlineStr">
        <is>
          <t>Silverstone Grey Gloss Wall Tiles</t>
        </is>
      </c>
      <c r="D921" s="1" t="n">
        <v>9.99</v>
      </c>
      <c r="E921" s="1" t="inlineStr">
        <is>
          <t>550x330mm</t>
        </is>
      </c>
      <c r="F921" s="1" t="inlineStr">
        <is>
          <t>m2</t>
        </is>
      </c>
      <c r="G921" s="1" t="inlineStr">
        <is>
          <t>Ceramic</t>
        </is>
      </c>
      <c r="H921" s="1" t="inlineStr">
        <is>
          <t>Gloss</t>
        </is>
      </c>
      <c r="I921" t="n">
        <v>9.99</v>
      </c>
    </row>
    <row r="922">
      <c r="A922" s="1">
        <f>Hyperlink("https://www.tilemountain.co.uk/p/skyros-blanco-wall-and-floor-tile.html","Product")</f>
        <v/>
      </c>
      <c r="B922" s="1" t="inlineStr">
        <is>
          <t>437885</t>
        </is>
      </c>
      <c r="C922" s="1" t="inlineStr">
        <is>
          <t>Skyros Blanco Wall and Floor Tiles</t>
        </is>
      </c>
      <c r="D922" s="1" t="n">
        <v>19.99</v>
      </c>
      <c r="E922" s="1" t="inlineStr">
        <is>
          <t>440x440mm</t>
        </is>
      </c>
      <c r="F922" s="1" t="inlineStr">
        <is>
          <t>m2</t>
        </is>
      </c>
      <c r="G922" s="1" t="inlineStr">
        <is>
          <t>Glazed Porcelain</t>
        </is>
      </c>
      <c r="H922" s="1" t="inlineStr">
        <is>
          <t>Matt</t>
        </is>
      </c>
      <c r="I922" t="n">
        <v>19.99</v>
      </c>
    </row>
    <row r="923">
      <c r="A923" s="1">
        <f>Hyperlink("https://www.tilemountain.co.uk/p/skyros-delft-blue-wall-and-floor-tile.html","Product")</f>
        <v/>
      </c>
      <c r="B923" s="1" t="inlineStr">
        <is>
          <t>437890</t>
        </is>
      </c>
      <c r="C923" s="1" t="inlineStr">
        <is>
          <t>Skyros Delft Blue Wall and Floor Tiles</t>
        </is>
      </c>
      <c r="D923" s="1" t="n">
        <v>20.99</v>
      </c>
      <c r="E923" s="1" t="inlineStr">
        <is>
          <t>440x440mm</t>
        </is>
      </c>
      <c r="F923" s="1" t="inlineStr">
        <is>
          <t>m2</t>
        </is>
      </c>
      <c r="G923" s="1" t="inlineStr">
        <is>
          <t>Glazed Porcelain</t>
        </is>
      </c>
      <c r="H923" s="1" t="inlineStr">
        <is>
          <t>Matt</t>
        </is>
      </c>
      <c r="I923" t="n">
        <v>20.99</v>
      </c>
    </row>
    <row r="924">
      <c r="A924" s="1">
        <f>Hyperlink("https://www.tilemountain.co.uk/p/skyros-delft-grey-wall-and-floor-tile.html","Product")</f>
        <v/>
      </c>
      <c r="B924" s="1" t="inlineStr">
        <is>
          <t>438405</t>
        </is>
      </c>
      <c r="C924" s="1" t="inlineStr">
        <is>
          <t>Skyros Delft Grey Wall and Floor Tiles</t>
        </is>
      </c>
      <c r="D924" s="1" t="n">
        <v>20.99</v>
      </c>
      <c r="E924" s="1" t="inlineStr">
        <is>
          <t>440x440mm</t>
        </is>
      </c>
      <c r="F924" s="1" t="inlineStr">
        <is>
          <t>m2</t>
        </is>
      </c>
      <c r="G924" s="1" t="inlineStr">
        <is>
          <t>Glazed Porcelain</t>
        </is>
      </c>
      <c r="H924" s="1" t="inlineStr">
        <is>
          <t>Matt</t>
        </is>
      </c>
      <c r="I924" t="n">
        <v>20.99</v>
      </c>
    </row>
    <row r="925">
      <c r="A925" s="1">
        <f>Hyperlink("https://www.tilemountain.co.uk/p/skyros-grey-wall-and-floor-tile.html","Product")</f>
        <v/>
      </c>
      <c r="B925" s="1" t="inlineStr">
        <is>
          <t>438400</t>
        </is>
      </c>
      <c r="C925" s="1" t="inlineStr">
        <is>
          <t>Skyros Grey Wall and Floor Tiles</t>
        </is>
      </c>
      <c r="D925" s="1" t="n">
        <v>19.99</v>
      </c>
      <c r="E925" s="1" t="inlineStr">
        <is>
          <t>440x440mm</t>
        </is>
      </c>
      <c r="F925" s="1" t="inlineStr">
        <is>
          <t>m2</t>
        </is>
      </c>
      <c r="G925" s="1" t="inlineStr">
        <is>
          <t>Glazed Porcelain</t>
        </is>
      </c>
      <c r="H925" s="1" t="inlineStr">
        <is>
          <t>Matt</t>
        </is>
      </c>
      <c r="I925" t="n">
        <v>19.99</v>
      </c>
    </row>
    <row r="926">
      <c r="A926" s="1">
        <f>Hyperlink("https://www.tilemountain.co.uk/p/slot-arkesia-sand.html","Product")</f>
        <v/>
      </c>
      <c r="B926" s="1" t="inlineStr">
        <is>
          <t>449825</t>
        </is>
      </c>
      <c r="C926" s="1" t="inlineStr">
        <is>
          <t>Arkesia Cream Split Face Effect Wall Tile</t>
        </is>
      </c>
      <c r="D926" s="1" t="n">
        <v>17.99</v>
      </c>
      <c r="E926" s="1" t="inlineStr">
        <is>
          <t>600x300mm</t>
        </is>
      </c>
      <c r="F926" s="1" t="inlineStr">
        <is>
          <t>m2</t>
        </is>
      </c>
      <c r="G926" s="1" t="inlineStr">
        <is>
          <t>Ceramic</t>
        </is>
      </c>
      <c r="H926" s="1" t="inlineStr">
        <is>
          <t>Matt</t>
        </is>
      </c>
      <c r="I926" t="n">
        <v>17.99</v>
      </c>
    </row>
    <row r="927">
      <c r="A927" s="1">
        <f>Hyperlink("https://www.tilemountain.co.uk/p/small-margin-trowel.html","Product")</f>
        <v/>
      </c>
      <c r="B927" s="1" t="inlineStr">
        <is>
          <t>450645</t>
        </is>
      </c>
      <c r="C927" s="1" t="inlineStr">
        <is>
          <t>Small Margin Trowel</t>
        </is>
      </c>
      <c r="D927" s="1" t="n">
        <v>4.99</v>
      </c>
      <c r="E927" s="1" t="inlineStr">
        <is>
          <t>-</t>
        </is>
      </c>
      <c r="F927" s="1" t="inlineStr">
        <is>
          <t>Qty</t>
        </is>
      </c>
      <c r="G927" s="1" t="inlineStr">
        <is>
          <t>-</t>
        </is>
      </c>
      <c r="H927" s="1" t="inlineStr">
        <is>
          <t>-</t>
        </is>
      </c>
      <c r="I927" t="n">
        <v>4.99</v>
      </c>
    </row>
    <row r="928">
      <c r="A928" s="1">
        <f>Hyperlink("https://www.tilemountain.co.uk/p/softstone-grey-rectified-wall-tile-300x600.html","Product")</f>
        <v/>
      </c>
      <c r="B928" s="1" t="inlineStr">
        <is>
          <t>452365</t>
        </is>
      </c>
      <c r="C928" s="1" t="inlineStr">
        <is>
          <t>Softstone Grey Rectified Wall Tile</t>
        </is>
      </c>
      <c r="D928" s="1" t="n">
        <v>17.99</v>
      </c>
      <c r="E928" s="1" t="inlineStr">
        <is>
          <t>600x300mm</t>
        </is>
      </c>
      <c r="F928" s="1" t="inlineStr">
        <is>
          <t>m2</t>
        </is>
      </c>
      <c r="G928" s="1" t="inlineStr">
        <is>
          <t>Ceramic</t>
        </is>
      </c>
      <c r="H928" s="1" t="inlineStr">
        <is>
          <t>Gloss</t>
        </is>
      </c>
      <c r="I928" t="n">
        <v>17.99</v>
      </c>
    </row>
    <row r="929">
      <c r="A929" s="1">
        <f>Hyperlink("https://www.tilemountain.co.uk/p/softstone-grey-semi-polished-floor-tile-600x600.html","Product")</f>
        <v/>
      </c>
      <c r="B929" s="1" t="inlineStr">
        <is>
          <t>452380</t>
        </is>
      </c>
      <c r="C929" s="1" t="inlineStr">
        <is>
          <t>Stoneage Lux Grey Porcelain Semi Polished Floor Tile</t>
        </is>
      </c>
      <c r="D929" s="1" t="n">
        <v>26.99</v>
      </c>
      <c r="E929" s="1" t="inlineStr">
        <is>
          <t>600x600mm</t>
        </is>
      </c>
      <c r="F929" s="1" t="inlineStr">
        <is>
          <t>m2</t>
        </is>
      </c>
      <c r="G929" s="1" t="inlineStr">
        <is>
          <t>Porcelain</t>
        </is>
      </c>
      <c r="H929" s="1" t="inlineStr">
        <is>
          <t>Semi Polished</t>
        </is>
      </c>
      <c r="I929" t="n">
        <v>26.99</v>
      </c>
    </row>
    <row r="930">
      <c r="A930" s="1">
        <f>Hyperlink("https://www.tilemountain.co.uk/p/softstone-pearl-rectified-wall-tile-300x600.html","Product")</f>
        <v/>
      </c>
      <c r="B930" s="1" t="inlineStr">
        <is>
          <t>452370</t>
        </is>
      </c>
      <c r="C930" s="1" t="inlineStr">
        <is>
          <t>Softstone Pearl Rectified Wall Tile</t>
        </is>
      </c>
      <c r="D930" s="1" t="n">
        <v>17.99</v>
      </c>
      <c r="E930" s="1" t="inlineStr">
        <is>
          <t>600x300mm</t>
        </is>
      </c>
      <c r="F930" s="1" t="inlineStr">
        <is>
          <t>m2</t>
        </is>
      </c>
      <c r="G930" s="1" t="inlineStr">
        <is>
          <t>Ceramic</t>
        </is>
      </c>
      <c r="H930" s="1" t="inlineStr">
        <is>
          <t>Gloss</t>
        </is>
      </c>
      <c r="I930" t="n">
        <v>17.99</v>
      </c>
    </row>
    <row r="931">
      <c r="A931" s="1">
        <f>Hyperlink("https://www.tilemountain.co.uk/p/softstone-sand-rectified-wall-tile-300x600.html","Product")</f>
        <v/>
      </c>
      <c r="B931" s="1" t="inlineStr">
        <is>
          <t>452360</t>
        </is>
      </c>
      <c r="C931" s="1" t="inlineStr">
        <is>
          <t>Softstone Sand Rectified Wall Tile</t>
        </is>
      </c>
      <c r="D931" s="1" t="n">
        <v>17.99</v>
      </c>
      <c r="E931" s="1" t="inlineStr">
        <is>
          <t>600x300mm</t>
        </is>
      </c>
      <c r="F931" s="1" t="inlineStr">
        <is>
          <t>m2</t>
        </is>
      </c>
      <c r="G931" s="1" t="inlineStr">
        <is>
          <t>Ceramic</t>
        </is>
      </c>
      <c r="H931" s="1" t="inlineStr">
        <is>
          <t>Gloss</t>
        </is>
      </c>
      <c r="I931" t="n">
        <v>17.99</v>
      </c>
    </row>
    <row r="932">
      <c r="A932" s="1">
        <f>Hyperlink("https://www.tilemountain.co.uk/p/softstone-sand-semi-polished-floor-tile-600x600.html","Product")</f>
        <v/>
      </c>
      <c r="B932" s="1" t="inlineStr">
        <is>
          <t>452375</t>
        </is>
      </c>
      <c r="C932" s="1" t="inlineStr">
        <is>
          <t>Stoneage Lux  Sand Porcelain Semi Polished Floor Tile</t>
        </is>
      </c>
      <c r="D932" s="1" t="n">
        <v>26.99</v>
      </c>
      <c r="E932" s="1" t="inlineStr">
        <is>
          <t>600x600mm</t>
        </is>
      </c>
      <c r="F932" s="1" t="inlineStr">
        <is>
          <t>m2</t>
        </is>
      </c>
      <c r="G932" s="1" t="inlineStr">
        <is>
          <t>Porcelain</t>
        </is>
      </c>
      <c r="H932" s="1" t="inlineStr">
        <is>
          <t>Semi Polished</t>
        </is>
      </c>
      <c r="I932" t="n">
        <v>26.99</v>
      </c>
    </row>
    <row r="933">
      <c r="A933" s="1">
        <f>Hyperlink("https://www.tilemountain.co.uk/p/souk-gris.html","Product")</f>
        <v/>
      </c>
      <c r="B933" s="1" t="inlineStr">
        <is>
          <t>1009880</t>
        </is>
      </c>
      <c r="C933" s="1" t="inlineStr">
        <is>
          <t>Souk Gris Hexagon Wall Tile</t>
        </is>
      </c>
      <c r="D933" s="1" t="n">
        <v>28.03</v>
      </c>
      <c r="E933" s="1" t="inlineStr">
        <is>
          <t>149x170mm</t>
        </is>
      </c>
      <c r="F933" s="1" t="inlineStr">
        <is>
          <t>m2</t>
        </is>
      </c>
      <c r="G933" s="1" t="inlineStr">
        <is>
          <t>Ceramic</t>
        </is>
      </c>
      <c r="H933" s="1" t="inlineStr">
        <is>
          <t>Matt</t>
        </is>
      </c>
      <c r="I933" t="n">
        <v>28.03</v>
      </c>
    </row>
    <row r="934">
      <c r="A934" s="1">
        <f>Hyperlink("https://www.tilemountain.co.uk/p/southampton-pattern-porcelain-floor-tile.html","Product")</f>
        <v/>
      </c>
      <c r="B934" s="1" t="inlineStr">
        <is>
          <t>445465</t>
        </is>
      </c>
      <c r="C934" s="1" t="inlineStr">
        <is>
          <t>Southampton Pattern Porcelain Floor Tiles</t>
        </is>
      </c>
      <c r="D934" s="1" t="n">
        <v>16.99</v>
      </c>
      <c r="E934" s="1" t="inlineStr">
        <is>
          <t>450x450mm</t>
        </is>
      </c>
      <c r="F934" s="1" t="inlineStr">
        <is>
          <t>m2</t>
        </is>
      </c>
      <c r="G934" s="1" t="inlineStr">
        <is>
          <t>Porcelain</t>
        </is>
      </c>
      <c r="H934" s="1" t="inlineStr">
        <is>
          <t>Matt</t>
        </is>
      </c>
      <c r="I934" t="n">
        <v>16.99</v>
      </c>
    </row>
    <row r="935">
      <c r="A935" s="1">
        <f>Hyperlink("https://www.tilemountain.co.uk/p/sparkle-black-split-face-mosaic.html","Product")</f>
        <v/>
      </c>
      <c r="B935" s="1" t="inlineStr">
        <is>
          <t>445395</t>
        </is>
      </c>
      <c r="C935" s="1" t="inlineStr">
        <is>
          <t>Sparkle Black Split Face Mosaic</t>
        </is>
      </c>
      <c r="D935" s="1" t="n">
        <v>44.99</v>
      </c>
      <c r="E935" s="1" t="inlineStr">
        <is>
          <t>300x150mm</t>
        </is>
      </c>
      <c r="F935" s="1" t="inlineStr">
        <is>
          <t>m2</t>
        </is>
      </c>
      <c r="G935" s="1" t="inlineStr">
        <is>
          <t>Stone</t>
        </is>
      </c>
      <c r="H935" s="1" t="inlineStr">
        <is>
          <t>Matt</t>
        </is>
      </c>
      <c r="I935" t="n">
        <v>44.99</v>
      </c>
    </row>
    <row r="936">
      <c r="A936" s="1">
        <f>Hyperlink("https://www.tilemountain.co.uk/p/sparkle-rustic-split-face-mosaic.html","Product")</f>
        <v/>
      </c>
      <c r="B936" s="1" t="inlineStr">
        <is>
          <t>445390</t>
        </is>
      </c>
      <c r="C936" s="1" t="inlineStr">
        <is>
          <t>Sparkle Rustic Split Face Mosaic</t>
        </is>
      </c>
      <c r="D936" s="1" t="n">
        <v>44.99</v>
      </c>
      <c r="E936" s="1" t="inlineStr">
        <is>
          <t>300x150mm</t>
        </is>
      </c>
      <c r="F936" s="1" t="inlineStr">
        <is>
          <t>m2</t>
        </is>
      </c>
      <c r="G936" s="1" t="inlineStr">
        <is>
          <t>Stone</t>
        </is>
      </c>
      <c r="H936" s="1" t="inlineStr">
        <is>
          <t>Matt</t>
        </is>
      </c>
      <c r="I936" t="n">
        <v>44.99</v>
      </c>
    </row>
    <row r="937">
      <c r="A937" s="1">
        <f>Hyperlink("https://www.tilemountain.co.uk/p/standard-set-porcelain-grey-s1.html","Product")</f>
        <v/>
      </c>
      <c r="B937" s="1" t="inlineStr">
        <is>
          <t>450320</t>
        </is>
      </c>
      <c r="C937" s="1" t="inlineStr">
        <is>
          <t>Standard Set Porcelain Grey S1 Tile Adhesive</t>
        </is>
      </c>
      <c r="D937" s="1" t="n">
        <v>18.95</v>
      </c>
      <c r="E937" s="1" t="inlineStr">
        <is>
          <t>-</t>
        </is>
      </c>
      <c r="F937" s="1" t="inlineStr">
        <is>
          <t>Qty</t>
        </is>
      </c>
      <c r="G937" s="1" t="inlineStr">
        <is>
          <t>-</t>
        </is>
      </c>
      <c r="H937" s="1" t="inlineStr">
        <is>
          <t>-</t>
        </is>
      </c>
      <c r="I937" t="n">
        <v>18.95</v>
      </c>
    </row>
    <row r="938">
      <c r="A938" s="1">
        <f>Hyperlink("https://www.tilemountain.co.uk/p/standard-set-porcelain-white-s1.html","Product")</f>
        <v/>
      </c>
      <c r="B938" s="1" t="inlineStr">
        <is>
          <t>450325</t>
        </is>
      </c>
      <c r="C938" s="1" t="inlineStr">
        <is>
          <t>Standard Set Porcelain White S1 Tile Adhesive</t>
        </is>
      </c>
      <c r="D938" s="1" t="n">
        <v>22.95</v>
      </c>
      <c r="E938" s="1" t="inlineStr">
        <is>
          <t>-</t>
        </is>
      </c>
      <c r="F938" s="1" t="inlineStr">
        <is>
          <t>Qty</t>
        </is>
      </c>
      <c r="G938" s="1" t="inlineStr">
        <is>
          <t>-</t>
        </is>
      </c>
      <c r="H938" s="1" t="inlineStr">
        <is>
          <t>-</t>
        </is>
      </c>
      <c r="I938" t="n">
        <v>22.95</v>
      </c>
    </row>
    <row r="939">
      <c r="A939" s="1">
        <f>Hyperlink("https://www.tilemountain.co.uk/p/stockholm-beige-floor-tile.html","Product")</f>
        <v/>
      </c>
      <c r="B939" s="1" t="inlineStr">
        <is>
          <t>448900</t>
        </is>
      </c>
      <c r="C939" s="1" t="inlineStr">
        <is>
          <t>Stockholm Beige Floor Tile</t>
        </is>
      </c>
      <c r="D939" s="1" t="n">
        <v>10.99</v>
      </c>
      <c r="E939" s="1" t="inlineStr">
        <is>
          <t>450x450mm</t>
        </is>
      </c>
      <c r="F939" s="1" t="inlineStr">
        <is>
          <t>m2</t>
        </is>
      </c>
      <c r="G939" s="1" t="inlineStr">
        <is>
          <t>Ceramic</t>
        </is>
      </c>
      <c r="H939" s="1" t="inlineStr">
        <is>
          <t>Matt</t>
        </is>
      </c>
      <c r="I939" t="n">
        <v>10.99</v>
      </c>
    </row>
    <row r="940">
      <c r="A940" s="1">
        <f>Hyperlink("https://www.tilemountain.co.uk/p/stonebase-black.html","Product")</f>
        <v/>
      </c>
      <c r="B940" s="1" t="inlineStr">
        <is>
          <t>445430</t>
        </is>
      </c>
      <c r="C940" s="1" t="inlineStr">
        <is>
          <t>Stonebase Light Grey Structure Wall and Floor Tiles</t>
        </is>
      </c>
      <c r="D940" s="1" t="n">
        <v>12.5</v>
      </c>
      <c r="E940" s="1" t="inlineStr">
        <is>
          <t>600x300mm</t>
        </is>
      </c>
      <c r="F940" s="1" t="inlineStr">
        <is>
          <t>m2</t>
        </is>
      </c>
      <c r="G940" s="1" t="inlineStr">
        <is>
          <t>-</t>
        </is>
      </c>
      <c r="H940" s="1" t="inlineStr">
        <is>
          <t>-</t>
        </is>
      </c>
      <c r="I940" t="n">
        <v>12.5</v>
      </c>
    </row>
    <row r="941">
      <c r="A941" s="1">
        <f>Hyperlink("https://www.tilemountain.co.uk/p/stonebase-grafite-3840.html","Product")</f>
        <v/>
      </c>
      <c r="B941" s="1" t="inlineStr">
        <is>
          <t>445445</t>
        </is>
      </c>
      <c r="C941" s="1" t="inlineStr">
        <is>
          <t>Stonebase Grafite Wall and Floor Tiles</t>
        </is>
      </c>
      <c r="D941" s="1" t="n">
        <v>22.99</v>
      </c>
      <c r="E941" s="1" t="inlineStr">
        <is>
          <t>600x300mm</t>
        </is>
      </c>
      <c r="F941" s="1" t="inlineStr">
        <is>
          <t>m2</t>
        </is>
      </c>
      <c r="G941" s="1" t="inlineStr">
        <is>
          <t>Vitrified Ceramic</t>
        </is>
      </c>
      <c r="H941" s="1" t="inlineStr">
        <is>
          <t>Matt</t>
        </is>
      </c>
      <c r="I941" t="n">
        <v>22.99</v>
      </c>
    </row>
    <row r="942">
      <c r="A942" s="1">
        <f>Hyperlink("https://www.tilemountain.co.uk/p/stonebase-grafite.html","Product")</f>
        <v/>
      </c>
      <c r="B942" s="1" t="inlineStr">
        <is>
          <t>445425</t>
        </is>
      </c>
      <c r="C942" s="1" t="inlineStr">
        <is>
          <t>Stonebase Grafite Floor Tiles</t>
        </is>
      </c>
      <c r="D942" s="1" t="n">
        <v>24.99</v>
      </c>
      <c r="E942" s="1" t="inlineStr">
        <is>
          <t>600x600mm</t>
        </is>
      </c>
      <c r="F942" s="1" t="inlineStr">
        <is>
          <t>m2</t>
        </is>
      </c>
      <c r="G942" s="1" t="inlineStr">
        <is>
          <t>Vitrified Ceramic</t>
        </is>
      </c>
      <c r="H942" s="1" t="inlineStr">
        <is>
          <t>Matt</t>
        </is>
      </c>
      <c r="I942" t="n">
        <v>24.99</v>
      </c>
    </row>
    <row r="943">
      <c r="A943" s="1">
        <f>Hyperlink("https://www.tilemountain.co.uk/p/stonebase-light-grey.html","Product")</f>
        <v/>
      </c>
      <c r="B943" s="1" t="inlineStr">
        <is>
          <t>445420</t>
        </is>
      </c>
      <c r="C943" s="1" t="inlineStr">
        <is>
          <t>Stonebase Light Grey Floor Tiles</t>
        </is>
      </c>
      <c r="D943" s="1" t="n">
        <v>24.99</v>
      </c>
      <c r="E943" s="1" t="inlineStr">
        <is>
          <t>600x600mm</t>
        </is>
      </c>
      <c r="F943" s="1" t="inlineStr">
        <is>
          <t>m2</t>
        </is>
      </c>
      <c r="G943" s="1" t="inlineStr">
        <is>
          <t>Vitrified Ceramic</t>
        </is>
      </c>
      <c r="H943" s="1" t="inlineStr">
        <is>
          <t>Matt</t>
        </is>
      </c>
      <c r="I943" t="n">
        <v>24.99</v>
      </c>
    </row>
    <row r="944">
      <c r="A944" s="1">
        <f>Hyperlink("https://www.tilemountain.co.uk/p/stonebase-taupe-3838.html","Product")</f>
        <v/>
      </c>
      <c r="B944" s="1" t="inlineStr">
        <is>
          <t>445435</t>
        </is>
      </c>
      <c r="C944" s="1" t="inlineStr">
        <is>
          <t>Stonebase Taupe Wall and Floor Tiles</t>
        </is>
      </c>
      <c r="D944" s="1" t="n">
        <v>22.99</v>
      </c>
      <c r="E944" s="1" t="inlineStr">
        <is>
          <t>600x300mm</t>
        </is>
      </c>
      <c r="F944" s="1" t="inlineStr">
        <is>
          <t>m2</t>
        </is>
      </c>
      <c r="G944" s="1" t="inlineStr">
        <is>
          <t>Vitrified Ceramic</t>
        </is>
      </c>
      <c r="H944" s="1" t="inlineStr">
        <is>
          <t>Matt</t>
        </is>
      </c>
      <c r="I944" t="n">
        <v>22.99</v>
      </c>
    </row>
    <row r="945">
      <c r="A945" s="1">
        <f>Hyperlink("https://www.tilemountain.co.uk/p/stonebase-taupe.html","Product")</f>
        <v/>
      </c>
      <c r="B945" s="1" t="inlineStr">
        <is>
          <t>445415</t>
        </is>
      </c>
      <c r="C945" s="1" t="inlineStr">
        <is>
          <t>Stonebase Taupe Floor Tiles</t>
        </is>
      </c>
      <c r="D945" s="1" t="n">
        <v>24.99</v>
      </c>
      <c r="E945" s="1" t="inlineStr">
        <is>
          <t>600x600mm</t>
        </is>
      </c>
      <c r="F945" s="1" t="inlineStr">
        <is>
          <t>m2</t>
        </is>
      </c>
      <c r="G945" s="1" t="inlineStr">
        <is>
          <t>Vitrified Ceramic</t>
        </is>
      </c>
      <c r="H945" s="1" t="inlineStr">
        <is>
          <t>Matt</t>
        </is>
      </c>
      <c r="I945" t="n">
        <v>24.99</v>
      </c>
    </row>
    <row r="946">
      <c r="A946" s="1">
        <f>Hyperlink("https://www.tilemountain.co.uk/p/stoneline-fume-matte-wall-and-floor-tiles.html","Product")</f>
        <v/>
      </c>
      <c r="B946" s="1" t="inlineStr">
        <is>
          <t>449315</t>
        </is>
      </c>
      <c r="C946" s="1" t="inlineStr">
        <is>
          <t>Stoneline Fume Matte Wall And Floor Tiles</t>
        </is>
      </c>
      <c r="D946" s="1" t="n">
        <v>17.99</v>
      </c>
      <c r="E946" s="1" t="inlineStr">
        <is>
          <t>800x400mm</t>
        </is>
      </c>
      <c r="F946" s="1" t="inlineStr">
        <is>
          <t>m2</t>
        </is>
      </c>
      <c r="G946" s="1" t="inlineStr">
        <is>
          <t>Porcelain</t>
        </is>
      </c>
      <c r="H946" s="1" t="inlineStr">
        <is>
          <t>Matt</t>
        </is>
      </c>
      <c r="I946" t="n">
        <v>17.99</v>
      </c>
    </row>
    <row r="947">
      <c r="A947" s="1">
        <f>Hyperlink("https://www.tilemountain.co.uk/p/stoneline-grey.html","Product")</f>
        <v/>
      </c>
      <c r="B947" s="1" t="inlineStr">
        <is>
          <t>443165</t>
        </is>
      </c>
      <c r="C947" s="1" t="inlineStr">
        <is>
          <t>Stoneline Grey Matt Wall And Floor Tiles</t>
        </is>
      </c>
      <c r="D947" s="1" t="n">
        <v>17.99</v>
      </c>
      <c r="E947" s="1" t="inlineStr">
        <is>
          <t>800x400mm</t>
        </is>
      </c>
      <c r="F947" s="1" t="inlineStr">
        <is>
          <t>m2</t>
        </is>
      </c>
      <c r="G947" s="1" t="inlineStr">
        <is>
          <t>Porcelain</t>
        </is>
      </c>
      <c r="H947" s="1" t="inlineStr">
        <is>
          <t>Matt</t>
        </is>
      </c>
      <c r="I947" t="n">
        <v>17.99</v>
      </c>
    </row>
    <row r="948">
      <c r="A948" s="1">
        <f>Hyperlink("https://www.tilemountain.co.uk/p/stoneline-white.html","Product")</f>
        <v/>
      </c>
      <c r="B948" s="1" t="inlineStr">
        <is>
          <t>443170</t>
        </is>
      </c>
      <c r="C948" s="1" t="inlineStr">
        <is>
          <t>Stoneline White Matt Wall And Floor Tiles</t>
        </is>
      </c>
      <c r="D948" s="1" t="n">
        <v>17.99</v>
      </c>
      <c r="E948" s="1" t="inlineStr">
        <is>
          <t>800x400mm</t>
        </is>
      </c>
      <c r="F948" s="1" t="inlineStr">
        <is>
          <t>m2</t>
        </is>
      </c>
      <c r="G948" s="1" t="inlineStr">
        <is>
          <t>Porcelain</t>
        </is>
      </c>
      <c r="H948" s="1" t="inlineStr">
        <is>
          <t>Matt</t>
        </is>
      </c>
      <c r="I948" t="n">
        <v>17.99</v>
      </c>
    </row>
    <row r="949">
      <c r="A949" s="1">
        <f>Hyperlink("https://www.tilemountain.co.uk/p/strauss-black-porcelain-mosaic.html","Product")</f>
        <v/>
      </c>
      <c r="B949" s="1" t="inlineStr">
        <is>
          <t>441090</t>
        </is>
      </c>
      <c r="C949" s="1" t="inlineStr">
        <is>
          <t>Strauss Black Porcelain Mosaic</t>
        </is>
      </c>
      <c r="D949" s="1" t="n">
        <v>11.97</v>
      </c>
      <c r="E949" s="1" t="inlineStr">
        <is>
          <t>300x300mm</t>
        </is>
      </c>
      <c r="F949" s="1" t="inlineStr">
        <is>
          <t>sheet</t>
        </is>
      </c>
      <c r="G949" s="1" t="inlineStr">
        <is>
          <t>Porcelain</t>
        </is>
      </c>
      <c r="H949" s="1" t="inlineStr">
        <is>
          <t>Semi Polished</t>
        </is>
      </c>
      <c r="I949" t="n">
        <v>11.97</v>
      </c>
    </row>
    <row r="950">
      <c r="A950" s="1">
        <f>Hyperlink("https://www.tilemountain.co.uk/p/strauss-black-porcelain-wall-and-floor-tile-2803.html","Product")</f>
        <v/>
      </c>
      <c r="B950" s="1" t="inlineStr">
        <is>
          <t>440475</t>
        </is>
      </c>
      <c r="C950" s="1" t="inlineStr">
        <is>
          <t>Strauss Black Porcelain Wall And Floor</t>
        </is>
      </c>
      <c r="D950" s="1" t="n">
        <v>23.99</v>
      </c>
      <c r="E950" s="1" t="inlineStr">
        <is>
          <t>600x600mm</t>
        </is>
      </c>
      <c r="F950" s="1" t="inlineStr">
        <is>
          <t>m2</t>
        </is>
      </c>
      <c r="G950" s="1" t="inlineStr">
        <is>
          <t>Porcelain</t>
        </is>
      </c>
      <c r="H950" s="1" t="inlineStr">
        <is>
          <t>Semi Polished</t>
        </is>
      </c>
      <c r="I950" t="n">
        <v>23.99</v>
      </c>
    </row>
    <row r="951">
      <c r="A951" s="1">
        <f>Hyperlink("https://www.tilemountain.co.uk/p/strauss-black-porcelain-wall-and-floor-tile.html","Product")</f>
        <v/>
      </c>
      <c r="B951" s="1" t="inlineStr">
        <is>
          <t>440470</t>
        </is>
      </c>
      <c r="C951" s="1" t="inlineStr">
        <is>
          <t>Strauss Black Porcelain Wall And Floor</t>
        </is>
      </c>
      <c r="D951" s="1" t="n">
        <v>22.99</v>
      </c>
      <c r="E951" s="1" t="inlineStr">
        <is>
          <t>600x300mm</t>
        </is>
      </c>
      <c r="F951" s="1" t="inlineStr">
        <is>
          <t>m2</t>
        </is>
      </c>
      <c r="G951" s="1" t="inlineStr">
        <is>
          <t>Porcelain</t>
        </is>
      </c>
      <c r="H951" s="1" t="inlineStr">
        <is>
          <t>Semi Polished</t>
        </is>
      </c>
      <c r="I951" t="n">
        <v>22.99</v>
      </c>
    </row>
    <row r="952">
      <c r="A952" s="1">
        <f>Hyperlink("https://www.tilemountain.co.uk/p/strauss-white-porcelain-mosaic.html","Product")</f>
        <v/>
      </c>
      <c r="B952" s="1" t="inlineStr">
        <is>
          <t>442705</t>
        </is>
      </c>
      <c r="C952" s="1" t="inlineStr">
        <is>
          <t>Strauss White Porcelain Mosaic</t>
        </is>
      </c>
      <c r="D952" s="1" t="n">
        <v>11.97</v>
      </c>
      <c r="E952" s="1" t="inlineStr">
        <is>
          <t>300x300mm</t>
        </is>
      </c>
      <c r="F952" s="1" t="inlineStr">
        <is>
          <t>sheet</t>
        </is>
      </c>
      <c r="G952" s="1" t="inlineStr">
        <is>
          <t>Porcelain</t>
        </is>
      </c>
      <c r="H952" s="1" t="inlineStr">
        <is>
          <t>Semi Polished</t>
        </is>
      </c>
      <c r="I952" t="n">
        <v>11.97</v>
      </c>
    </row>
    <row r="953">
      <c r="A953" s="1">
        <f>Hyperlink("https://www.tilemountain.co.uk/p/strauss-white-porcelain-wall-and-floor-tile-2805.html","Product")</f>
        <v/>
      </c>
      <c r="B953" s="1" t="inlineStr">
        <is>
          <t>440485</t>
        </is>
      </c>
      <c r="C953" s="1" t="inlineStr">
        <is>
          <t>Strauss White Porcelain Wall And Floor</t>
        </is>
      </c>
      <c r="D953" s="1" t="n">
        <v>23.99</v>
      </c>
      <c r="E953" s="1" t="inlineStr">
        <is>
          <t>600x600mm</t>
        </is>
      </c>
      <c r="F953" s="1" t="inlineStr">
        <is>
          <t>m2</t>
        </is>
      </c>
      <c r="G953" s="1" t="inlineStr">
        <is>
          <t>Porcelain</t>
        </is>
      </c>
      <c r="H953" s="1" t="inlineStr">
        <is>
          <t>Semi Polished</t>
        </is>
      </c>
      <c r="I953" t="n">
        <v>23.99</v>
      </c>
    </row>
    <row r="954">
      <c r="A954" s="1">
        <f>Hyperlink("https://www.tilemountain.co.uk/p/strauss-white-porcelain-wall-and-floor-tile.html","Product")</f>
        <v/>
      </c>
      <c r="B954" s="1" t="inlineStr">
        <is>
          <t>440480</t>
        </is>
      </c>
      <c r="C954" s="1" t="inlineStr">
        <is>
          <t>Strauss White Porcelain Wall And Floor</t>
        </is>
      </c>
      <c r="D954" s="1" t="n">
        <v>22.99</v>
      </c>
      <c r="E954" s="1" t="inlineStr">
        <is>
          <t>600x300mm</t>
        </is>
      </c>
      <c r="F954" s="1" t="inlineStr">
        <is>
          <t>m2</t>
        </is>
      </c>
      <c r="G954" s="1" t="inlineStr">
        <is>
          <t>Porcelain</t>
        </is>
      </c>
      <c r="H954" s="1" t="inlineStr">
        <is>
          <t>Semi Polished</t>
        </is>
      </c>
      <c r="I954" t="n">
        <v>22.99</v>
      </c>
    </row>
    <row r="955">
      <c r="A955" s="1">
        <f>Hyperlink("https://www.tilemountain.co.uk/p/stuck-pierre-grey-split-face-effect-wall-tile.html","Product")</f>
        <v/>
      </c>
      <c r="B955" s="1" t="inlineStr">
        <is>
          <t>448765</t>
        </is>
      </c>
      <c r="C955" s="1" t="inlineStr">
        <is>
          <t>Stuck Pierre Grey Mix Split Face Effect Wall Tile</t>
        </is>
      </c>
      <c r="D955" s="1" t="n">
        <v>17.99</v>
      </c>
      <c r="E955" s="1" t="inlineStr">
        <is>
          <t>600x300mm</t>
        </is>
      </c>
      <c r="F955" s="1" t="inlineStr">
        <is>
          <t>m2</t>
        </is>
      </c>
      <c r="G955" s="1" t="inlineStr">
        <is>
          <t>Porcelain</t>
        </is>
      </c>
      <c r="H955" s="1" t="inlineStr">
        <is>
          <t>Matt</t>
        </is>
      </c>
      <c r="I955" t="n">
        <v>17.99</v>
      </c>
    </row>
    <row r="956">
      <c r="A956" s="1">
        <f>Hyperlink("https://www.tilemountain.co.uk/p/stuck-pierre-taupe-split-face-effect-wall-tile.html","Product")</f>
        <v/>
      </c>
      <c r="B956" s="1" t="inlineStr">
        <is>
          <t>448775</t>
        </is>
      </c>
      <c r="C956" s="1" t="inlineStr">
        <is>
          <t>Stuck Pierre Taupe Split Face Effect Wall Tile</t>
        </is>
      </c>
      <c r="D956" s="1" t="n">
        <v>17.99</v>
      </c>
      <c r="E956" s="1" t="inlineStr">
        <is>
          <t>600x300mm</t>
        </is>
      </c>
      <c r="F956" s="1" t="inlineStr">
        <is>
          <t>m2</t>
        </is>
      </c>
      <c r="G956" s="1" t="inlineStr">
        <is>
          <t>Porcelain</t>
        </is>
      </c>
      <c r="H956" s="1" t="inlineStr">
        <is>
          <t>Matt</t>
        </is>
      </c>
      <c r="I956" t="n">
        <v>17.99</v>
      </c>
    </row>
    <row r="957">
      <c r="A957" s="1">
        <f>Hyperlink("https://www.tilemountain.co.uk/p/super-matte-white-wall-tile.html","Product")</f>
        <v/>
      </c>
      <c r="B957" s="1" t="inlineStr">
        <is>
          <t>434040</t>
        </is>
      </c>
      <c r="C957" s="1" t="inlineStr">
        <is>
          <t>Super Matte White Wall Tiles</t>
        </is>
      </c>
      <c r="D957" s="1" t="n">
        <v>10.99</v>
      </c>
      <c r="E957" s="1" t="inlineStr">
        <is>
          <t>250x400mm</t>
        </is>
      </c>
      <c r="F957" s="1" t="inlineStr">
        <is>
          <t>m2</t>
        </is>
      </c>
      <c r="G957" s="1" t="inlineStr">
        <is>
          <t>Ceramic</t>
        </is>
      </c>
      <c r="H957" s="1" t="inlineStr">
        <is>
          <t>Matt</t>
        </is>
      </c>
      <c r="I957" t="n">
        <v>10.99</v>
      </c>
    </row>
    <row r="958">
      <c r="A958" s="1">
        <f>Hyperlink("https://www.tilemountain.co.uk/p/super-relief-bumpy-white-wall-tile-1317.html","Product")</f>
        <v/>
      </c>
      <c r="B958" s="1" t="inlineStr">
        <is>
          <t>434030</t>
        </is>
      </c>
      <c r="C958" s="1" t="inlineStr">
        <is>
          <t>Super Relief Bumpy White Wall Tiles</t>
        </is>
      </c>
      <c r="D958" s="1" t="n">
        <v>10.99</v>
      </c>
      <c r="E958" s="1" t="inlineStr">
        <is>
          <t>250x330mm</t>
        </is>
      </c>
      <c r="F958" s="1" t="inlineStr">
        <is>
          <t>m2</t>
        </is>
      </c>
      <c r="G958" s="1" t="inlineStr">
        <is>
          <t>Ceramic</t>
        </is>
      </c>
      <c r="H958" s="1" t="inlineStr">
        <is>
          <t>Gloss</t>
        </is>
      </c>
      <c r="I958" t="n">
        <v>10.99</v>
      </c>
    </row>
    <row r="959">
      <c r="A959" s="1">
        <f>Hyperlink("https://www.tilemountain.co.uk/p/super-relief-bumpy-white-wall-tile-1318.html","Product")</f>
        <v/>
      </c>
      <c r="B959" s="1" t="inlineStr">
        <is>
          <t>434035</t>
        </is>
      </c>
      <c r="C959" s="1" t="inlineStr">
        <is>
          <t>Super Relief Bumpy White Wall Tiles</t>
        </is>
      </c>
      <c r="D959" s="1" t="n">
        <v>10.99</v>
      </c>
      <c r="E959" s="1" t="inlineStr">
        <is>
          <t>250x400mm</t>
        </is>
      </c>
      <c r="F959" s="1" t="inlineStr">
        <is>
          <t>m2</t>
        </is>
      </c>
      <c r="G959" s="1" t="inlineStr">
        <is>
          <t>Ceramic</t>
        </is>
      </c>
      <c r="H959" s="1" t="inlineStr">
        <is>
          <t>Gloss</t>
        </is>
      </c>
      <c r="I959" t="n">
        <v>10.99</v>
      </c>
    </row>
    <row r="960">
      <c r="A960" s="1">
        <f>Hyperlink("https://www.tilemountain.co.uk/p/super-relief-bumpy-white-wall-tile-712.html","Product")</f>
        <v/>
      </c>
      <c r="B960" s="1" t="inlineStr">
        <is>
          <t>434020</t>
        </is>
      </c>
      <c r="C960" s="1" t="inlineStr">
        <is>
          <t>Super Relief Bumpy White Wall Tiles</t>
        </is>
      </c>
      <c r="D960" s="1" t="n">
        <v>9.99</v>
      </c>
      <c r="E960" s="1" t="inlineStr">
        <is>
          <t>200x250mm</t>
        </is>
      </c>
      <c r="F960" s="1" t="inlineStr">
        <is>
          <t>m2</t>
        </is>
      </c>
      <c r="G960" s="1" t="inlineStr">
        <is>
          <t>Ceramic</t>
        </is>
      </c>
      <c r="H960" s="1" t="inlineStr">
        <is>
          <t>Gloss</t>
        </is>
      </c>
      <c r="I960" t="n">
        <v>9.99</v>
      </c>
    </row>
    <row r="961">
      <c r="A961" s="1">
        <f>Hyperlink("https://www.tilemountain.co.uk/p/super-white-polished-porcelain-1320.html","Product")</f>
        <v/>
      </c>
      <c r="B961" s="1" t="inlineStr">
        <is>
          <t>431780</t>
        </is>
      </c>
      <c r="C961" s="1" t="inlineStr">
        <is>
          <t>Super White Polished Porcelain Floor Tile</t>
        </is>
      </c>
      <c r="D961" s="1" t="n">
        <v>23.99</v>
      </c>
      <c r="E961" s="1" t="inlineStr">
        <is>
          <t>600x600mm</t>
        </is>
      </c>
      <c r="F961" s="1" t="inlineStr">
        <is>
          <t>m2</t>
        </is>
      </c>
      <c r="G961" s="1" t="inlineStr">
        <is>
          <t>Polished Porcelain</t>
        </is>
      </c>
      <c r="H961" s="1" t="inlineStr">
        <is>
          <t>Polished</t>
        </is>
      </c>
      <c r="I961" t="n">
        <v>23.99</v>
      </c>
    </row>
    <row r="962">
      <c r="A962" s="1">
        <f>Hyperlink("https://www.tilemountain.co.uk/p/super-white-polished-porcelain.html","Product")</f>
        <v/>
      </c>
      <c r="B962" s="1" t="inlineStr">
        <is>
          <t>431740</t>
        </is>
      </c>
      <c r="C962" s="1" t="inlineStr">
        <is>
          <t>Super White Polished Porcelain Floor Tile</t>
        </is>
      </c>
      <c r="D962" s="1" t="n">
        <v>27.99</v>
      </c>
      <c r="E962" s="1" t="inlineStr">
        <is>
          <t>298x600mm</t>
        </is>
      </c>
      <c r="F962" s="1" t="inlineStr">
        <is>
          <t>m2</t>
        </is>
      </c>
      <c r="G962" s="1" t="inlineStr">
        <is>
          <t>Polished Porcelain</t>
        </is>
      </c>
      <c r="H962" s="1" t="inlineStr">
        <is>
          <t>Polished</t>
        </is>
      </c>
      <c r="I962" t="n">
        <v>27.99</v>
      </c>
    </row>
    <row r="963">
      <c r="A963" s="1">
        <f>Hyperlink("https://www.tilemountain.co.uk/p/surface-cool-grey-lapatto-wall-and-floor-tile.html","Product")</f>
        <v/>
      </c>
      <c r="B963" s="1" t="inlineStr">
        <is>
          <t>439865</t>
        </is>
      </c>
      <c r="C963" s="1" t="inlineStr">
        <is>
          <t>Surface Cool Grey Lappato Wall And Floor Tiles</t>
        </is>
      </c>
      <c r="D963" s="1" t="n">
        <v>22</v>
      </c>
      <c r="E963" s="1" t="inlineStr">
        <is>
          <t>600x300mm</t>
        </is>
      </c>
      <c r="F963" s="1" t="inlineStr">
        <is>
          <t>m2</t>
        </is>
      </c>
      <c r="G963" s="1" t="inlineStr">
        <is>
          <t>Porcelain</t>
        </is>
      </c>
      <c r="H963" s="1" t="inlineStr">
        <is>
          <t>Satin</t>
        </is>
      </c>
      <c r="I963" t="n">
        <v>22</v>
      </c>
    </row>
    <row r="964">
      <c r="A964" s="1">
        <f>Hyperlink("https://www.tilemountain.co.uk/p/surface-cool-grey-matt-wall-and-floor-tile.html","Product")</f>
        <v/>
      </c>
      <c r="B964" s="1" t="inlineStr">
        <is>
          <t>439870</t>
        </is>
      </c>
      <c r="C964" s="1" t="inlineStr">
        <is>
          <t>Surface Cool Grey Matt Wall And Floor Tiles</t>
        </is>
      </c>
      <c r="D964" s="1" t="n">
        <v>20</v>
      </c>
      <c r="E964" s="1" t="inlineStr">
        <is>
          <t>600x300mm</t>
        </is>
      </c>
      <c r="F964" s="1" t="inlineStr">
        <is>
          <t>m2</t>
        </is>
      </c>
      <c r="G964" s="1" t="inlineStr">
        <is>
          <t>Porcelain</t>
        </is>
      </c>
      <c r="H964" s="1" t="inlineStr">
        <is>
          <t>Matt</t>
        </is>
      </c>
      <c r="I964" t="n">
        <v>20</v>
      </c>
    </row>
    <row r="965">
      <c r="A965" s="1">
        <f>Hyperlink("https://www.tilemountain.co.uk/p/surface-mid-grey-lapatto-wall-and-floor-tile.html","Product")</f>
        <v/>
      </c>
      <c r="B965" s="1" t="inlineStr">
        <is>
          <t>439875</t>
        </is>
      </c>
      <c r="C965" s="1" t="inlineStr">
        <is>
          <t>Surface Mid Grey Lappato Wall And Floor Tiles</t>
        </is>
      </c>
      <c r="D965" s="1" t="n">
        <v>22</v>
      </c>
      <c r="E965" s="1" t="inlineStr">
        <is>
          <t>600x300mm</t>
        </is>
      </c>
      <c r="F965" s="1" t="inlineStr">
        <is>
          <t>m2</t>
        </is>
      </c>
      <c r="G965" s="1" t="inlineStr">
        <is>
          <t>Porcelain</t>
        </is>
      </c>
      <c r="H965" s="1" t="inlineStr">
        <is>
          <t>Satin</t>
        </is>
      </c>
      <c r="I965" t="n">
        <v>22</v>
      </c>
    </row>
    <row r="966">
      <c r="A966" s="1">
        <f>Hyperlink("https://www.tilemountain.co.uk/p/surface-mid-grey-matt-wall-and-floor-tile.html","Product")</f>
        <v/>
      </c>
      <c r="B966" s="1" t="inlineStr">
        <is>
          <t>439880</t>
        </is>
      </c>
      <c r="C966" s="1" t="inlineStr">
        <is>
          <t>Surface Mid Grey Matt Wall And Floor Tiles</t>
        </is>
      </c>
      <c r="D966" s="1" t="n">
        <v>20</v>
      </c>
      <c r="E966" s="1" t="inlineStr">
        <is>
          <t>600x300mm</t>
        </is>
      </c>
      <c r="F966" s="1" t="inlineStr">
        <is>
          <t>m2</t>
        </is>
      </c>
      <c r="G966" s="1" t="inlineStr">
        <is>
          <t>Porcelain</t>
        </is>
      </c>
      <c r="H966" s="1" t="inlineStr">
        <is>
          <t>Matt</t>
        </is>
      </c>
      <c r="I966" t="n">
        <v>20</v>
      </c>
    </row>
    <row r="967">
      <c r="A967" s="1">
        <f>Hyperlink("https://www.tilemountain.co.uk/p/surface-off-white-lapatto-wall-and-floor-tile.html","Product")</f>
        <v/>
      </c>
      <c r="B967" s="1" t="inlineStr">
        <is>
          <t>439885</t>
        </is>
      </c>
      <c r="C967" s="1" t="inlineStr">
        <is>
          <t>Surface Bone Lappato Wall And Floor Tiles</t>
        </is>
      </c>
      <c r="D967" s="1" t="n">
        <v>24.99</v>
      </c>
      <c r="E967" s="1" t="inlineStr">
        <is>
          <t>600x300mm</t>
        </is>
      </c>
      <c r="F967" s="1" t="inlineStr">
        <is>
          <t>m2</t>
        </is>
      </c>
      <c r="G967" s="1" t="inlineStr">
        <is>
          <t>Porcelain</t>
        </is>
      </c>
      <c r="H967" s="1" t="inlineStr">
        <is>
          <t>Satin</t>
        </is>
      </c>
      <c r="I967" t="n">
        <v>24.99</v>
      </c>
    </row>
    <row r="968">
      <c r="A968" s="1">
        <f>Hyperlink("https://www.tilemountain.co.uk/p/surface-outdoor-mid-grey-porcelain-slab.html","Product")</f>
        <v/>
      </c>
      <c r="B968" s="1" t="inlineStr">
        <is>
          <t>442755</t>
        </is>
      </c>
      <c r="C968" s="1" t="inlineStr">
        <is>
          <t>Surface Outdoor Mid Grey Porcelain Slab</t>
        </is>
      </c>
      <c r="D968" s="1" t="n">
        <v>29.94</v>
      </c>
      <c r="E968" s="1" t="inlineStr">
        <is>
          <t>600x600mm</t>
        </is>
      </c>
      <c r="F968" s="1" t="inlineStr">
        <is>
          <t>m2</t>
        </is>
      </c>
      <c r="G968" s="1" t="inlineStr">
        <is>
          <t>Porcelain</t>
        </is>
      </c>
      <c r="H968" s="1" t="inlineStr">
        <is>
          <t>Matt</t>
        </is>
      </c>
      <c r="I968" t="n">
        <v>29.94</v>
      </c>
    </row>
    <row r="969">
      <c r="A969" s="1">
        <f>Hyperlink("https://www.tilemountain.co.uk/p/surface-outdoor-night-black-porcelain-slab.html","Product")</f>
        <v/>
      </c>
      <c r="B969" s="1" t="inlineStr">
        <is>
          <t>442760</t>
        </is>
      </c>
      <c r="C969" s="1" t="inlineStr">
        <is>
          <t>Surface Outdoor Night Black Porcelain Slab</t>
        </is>
      </c>
      <c r="D969" s="1" t="n">
        <v>34.99</v>
      </c>
      <c r="E969" s="1" t="inlineStr">
        <is>
          <t>600x600mm</t>
        </is>
      </c>
      <c r="F969" s="1" t="inlineStr">
        <is>
          <t>m2</t>
        </is>
      </c>
      <c r="G969" s="1" t="inlineStr">
        <is>
          <t>Porcelain</t>
        </is>
      </c>
      <c r="H969" s="1" t="inlineStr">
        <is>
          <t>Matt</t>
        </is>
      </c>
      <c r="I969" t="n">
        <v>34.99</v>
      </c>
    </row>
    <row r="970">
      <c r="A970" s="1">
        <f>Hyperlink("https://www.tilemountain.co.uk/p/sweet-green-sea-wall-tile.html","Product")</f>
        <v/>
      </c>
      <c r="B970" s="1" t="inlineStr">
        <is>
          <t>452585</t>
        </is>
      </c>
      <c r="C970" s="1" t="inlineStr">
        <is>
          <t>Sweet Sea Green Wall Tile</t>
        </is>
      </c>
      <c r="D970" s="1" t="n">
        <v>12.99</v>
      </c>
      <c r="E970" s="1" t="inlineStr">
        <is>
          <t>600x300mm</t>
        </is>
      </c>
      <c r="F970" s="1" t="inlineStr">
        <is>
          <t>m2</t>
        </is>
      </c>
      <c r="G970" s="1" t="inlineStr">
        <is>
          <t>Ceramic</t>
        </is>
      </c>
      <c r="H970" s="1" t="inlineStr">
        <is>
          <t>Matt</t>
        </is>
      </c>
      <c r="I970" t="n">
        <v>12.99</v>
      </c>
    </row>
    <row r="971">
      <c r="A971" s="1">
        <f>Hyperlink("https://www.tilemountain.co.uk/p/sweet-light-blue-wall-tile.html","Product")</f>
        <v/>
      </c>
      <c r="B971" s="1" t="inlineStr">
        <is>
          <t>452590</t>
        </is>
      </c>
      <c r="C971" s="1" t="inlineStr">
        <is>
          <t>Sweet Light Blue Wall Tile</t>
        </is>
      </c>
      <c r="D971" s="1" t="n">
        <v>12.99</v>
      </c>
      <c r="E971" s="1" t="inlineStr">
        <is>
          <t>600x300mm</t>
        </is>
      </c>
      <c r="F971" s="1" t="inlineStr">
        <is>
          <t>m2</t>
        </is>
      </c>
      <c r="G971" s="1" t="inlineStr">
        <is>
          <t>Ceramic</t>
        </is>
      </c>
      <c r="H971" s="1" t="inlineStr">
        <is>
          <t>Matt</t>
        </is>
      </c>
      <c r="I971" t="n">
        <v>12.99</v>
      </c>
    </row>
    <row r="972">
      <c r="A972" s="1">
        <f>Hyperlink("https://www.tilemountain.co.uk/p/sweet-white-wall-tile.html","Product")</f>
        <v/>
      </c>
      <c r="B972" s="1" t="inlineStr">
        <is>
          <t>452580</t>
        </is>
      </c>
      <c r="C972" s="1" t="inlineStr">
        <is>
          <t>Sweet White Wall Tile</t>
        </is>
      </c>
      <c r="D972" s="1" t="n">
        <v>12.99</v>
      </c>
      <c r="E972" s="1" t="inlineStr">
        <is>
          <t>600x300mm</t>
        </is>
      </c>
      <c r="F972" s="1" t="inlineStr">
        <is>
          <t>m2</t>
        </is>
      </c>
      <c r="G972" s="1" t="inlineStr">
        <is>
          <t>Ceramic</t>
        </is>
      </c>
      <c r="H972" s="1" t="inlineStr">
        <is>
          <t>Matt</t>
        </is>
      </c>
      <c r="I972" t="n">
        <v>12.99</v>
      </c>
    </row>
    <row r="973">
      <c r="A973" s="1">
        <f>Hyperlink("https://www.tilemountain.co.uk/p/sweet-white-waves-wall-tile.html","Product")</f>
        <v/>
      </c>
      <c r="B973" s="1" t="inlineStr">
        <is>
          <t>452595</t>
        </is>
      </c>
      <c r="C973" s="1" t="inlineStr">
        <is>
          <t>Sweet White Waves Wall Tile</t>
        </is>
      </c>
      <c r="D973" s="1" t="n">
        <v>13.99</v>
      </c>
      <c r="E973" s="1" t="inlineStr">
        <is>
          <t>600x300mm</t>
        </is>
      </c>
      <c r="F973" s="1" t="inlineStr">
        <is>
          <t>m2</t>
        </is>
      </c>
      <c r="G973" s="1" t="inlineStr">
        <is>
          <t>Ceramic</t>
        </is>
      </c>
      <c r="H973" s="1" t="inlineStr">
        <is>
          <t>Matt</t>
        </is>
      </c>
      <c r="I973" t="n">
        <v>13.99</v>
      </c>
    </row>
    <row r="974">
      <c r="A974" s="1">
        <f>Hyperlink("https://www.tilemountain.co.uk/p/swing-beige.html","Product")</f>
        <v/>
      </c>
      <c r="B974" s="1" t="inlineStr">
        <is>
          <t>446380</t>
        </is>
      </c>
      <c r="C974" s="1" t="inlineStr">
        <is>
          <t>Swing Beige Wall and Floor Tiles</t>
        </is>
      </c>
      <c r="D974" s="1" t="n">
        <v>24.99</v>
      </c>
      <c r="E974" s="1" t="inlineStr">
        <is>
          <t>203x203mm</t>
        </is>
      </c>
      <c r="F974" s="1" t="inlineStr">
        <is>
          <t>m2</t>
        </is>
      </c>
      <c r="G974" s="1" t="inlineStr">
        <is>
          <t>Porcelain</t>
        </is>
      </c>
      <c r="H974" s="1" t="inlineStr">
        <is>
          <t>Satin</t>
        </is>
      </c>
      <c r="I974" t="n">
        <v>24.99</v>
      </c>
    </row>
    <row r="975">
      <c r="A975" s="1">
        <f>Hyperlink("https://www.tilemountain.co.uk/p/swing-blue-decor-night-day-02.html","Product")</f>
        <v/>
      </c>
      <c r="B975" s="1" t="inlineStr">
        <is>
          <t>446690</t>
        </is>
      </c>
      <c r="C975" s="1" t="inlineStr">
        <is>
          <t>Swing Decor Night and Day Geometric Wall and Floor Tiles</t>
        </is>
      </c>
      <c r="D975" s="1" t="n">
        <v>29.99</v>
      </c>
      <c r="E975" s="1" t="inlineStr">
        <is>
          <t>203x203mm</t>
        </is>
      </c>
      <c r="F975" s="1" t="inlineStr">
        <is>
          <t>m2</t>
        </is>
      </c>
      <c r="G975" s="1" t="inlineStr">
        <is>
          <t>Porcelain</t>
        </is>
      </c>
      <c r="H975" s="1" t="inlineStr">
        <is>
          <t>Satin</t>
        </is>
      </c>
      <c r="I975" t="n">
        <v>29.99</v>
      </c>
    </row>
    <row r="976">
      <c r="A976" s="1">
        <f>Hyperlink("https://www.tilemountain.co.uk/p/swing-blue-decor-night-day-04.html","Product")</f>
        <v/>
      </c>
      <c r="B976" s="1" t="inlineStr">
        <is>
          <t>446410</t>
        </is>
      </c>
      <c r="C976" s="1" t="inlineStr">
        <is>
          <t>Swing Decor Night &amp; Day Stripe Wall and Floor Tiles</t>
        </is>
      </c>
      <c r="D976" s="1" t="n">
        <v>29.99</v>
      </c>
      <c r="E976" s="1" t="inlineStr">
        <is>
          <t>203x203mm</t>
        </is>
      </c>
      <c r="F976" s="1" t="inlineStr">
        <is>
          <t>m2</t>
        </is>
      </c>
      <c r="G976" s="1" t="inlineStr">
        <is>
          <t>Porcelain</t>
        </is>
      </c>
      <c r="H976" s="1" t="inlineStr">
        <is>
          <t>Satin</t>
        </is>
      </c>
      <c r="I976" t="n">
        <v>29.99</v>
      </c>
    </row>
    <row r="977">
      <c r="A977" s="1">
        <f>Hyperlink("https://www.tilemountain.co.uk/p/swing-decor-blue-02.html","Product")</f>
        <v/>
      </c>
      <c r="B977" s="1" t="inlineStr">
        <is>
          <t>446390</t>
        </is>
      </c>
      <c r="C977" s="1" t="inlineStr">
        <is>
          <t>Swing Decor Blue Geometric Wall and Floor Tiles</t>
        </is>
      </c>
      <c r="D977" s="1" t="n">
        <v>29.99</v>
      </c>
      <c r="E977" s="1" t="inlineStr">
        <is>
          <t>203x203mm</t>
        </is>
      </c>
      <c r="F977" s="1" t="inlineStr">
        <is>
          <t>m2</t>
        </is>
      </c>
      <c r="G977" s="1" t="inlineStr">
        <is>
          <t>Porcelain</t>
        </is>
      </c>
      <c r="H977" s="1" t="inlineStr">
        <is>
          <t>Satin</t>
        </is>
      </c>
      <c r="I977" t="n">
        <v>29.99</v>
      </c>
    </row>
    <row r="978">
      <c r="A978" s="1">
        <f>Hyperlink("https://www.tilemountain.co.uk/p/swing-decor-blue-04.html","Product")</f>
        <v/>
      </c>
      <c r="B978" s="1" t="inlineStr">
        <is>
          <t>446395</t>
        </is>
      </c>
      <c r="C978" s="1" t="inlineStr">
        <is>
          <t>Swing Decor Blue Stripe Wall and Floor Tiles</t>
        </is>
      </c>
      <c r="D978" s="1" t="n">
        <v>29.99</v>
      </c>
      <c r="E978" s="1" t="inlineStr">
        <is>
          <t>203x203mm</t>
        </is>
      </c>
      <c r="F978" s="1" t="inlineStr">
        <is>
          <t>m2</t>
        </is>
      </c>
      <c r="G978" s="1" t="inlineStr">
        <is>
          <t>Porcelain</t>
        </is>
      </c>
      <c r="H978" s="1" t="inlineStr">
        <is>
          <t>Satin</t>
        </is>
      </c>
      <c r="I978" t="n">
        <v>29.99</v>
      </c>
    </row>
    <row r="979">
      <c r="A979" s="1">
        <f>Hyperlink("https://www.tilemountain.co.uk/p/swing-decor-multicolor-02.html","Product")</f>
        <v/>
      </c>
      <c r="B979" s="1" t="inlineStr">
        <is>
          <t>446400</t>
        </is>
      </c>
      <c r="C979" s="1" t="inlineStr">
        <is>
          <t>Swing Decor Beige Multicolour Geometric Wall and Floor Tiles</t>
        </is>
      </c>
      <c r="D979" s="1" t="n">
        <v>29.99</v>
      </c>
      <c r="E979" s="1" t="inlineStr">
        <is>
          <t>203x203mm</t>
        </is>
      </c>
      <c r="F979" s="1" t="inlineStr">
        <is>
          <t>m2</t>
        </is>
      </c>
      <c r="G979" s="1" t="inlineStr">
        <is>
          <t>Porcelain</t>
        </is>
      </c>
      <c r="H979" s="1" t="inlineStr">
        <is>
          <t>Satin</t>
        </is>
      </c>
      <c r="I979" t="n">
        <v>29.99</v>
      </c>
    </row>
    <row r="980">
      <c r="A980" s="1">
        <f>Hyperlink("https://www.tilemountain.co.uk/p/swing-decor-multicolor-04.html","Product")</f>
        <v/>
      </c>
      <c r="B980" s="1" t="inlineStr">
        <is>
          <t>446405</t>
        </is>
      </c>
      <c r="C980" s="1" t="inlineStr">
        <is>
          <t>Swing Decor Beige Multicolour Stripe Wall and Floor Tiles</t>
        </is>
      </c>
      <c r="D980" s="1" t="n">
        <v>29.99</v>
      </c>
      <c r="E980" s="1" t="inlineStr">
        <is>
          <t>203x203mm</t>
        </is>
      </c>
      <c r="F980" s="1" t="inlineStr">
        <is>
          <t>m2</t>
        </is>
      </c>
      <c r="G980" s="1" t="inlineStr">
        <is>
          <t>Porcelain</t>
        </is>
      </c>
      <c r="H980" s="1" t="inlineStr">
        <is>
          <t>Satin</t>
        </is>
      </c>
      <c r="I980" t="n">
        <v>29.99</v>
      </c>
    </row>
    <row r="981">
      <c r="A981" s="1">
        <f>Hyperlink("https://www.tilemountain.co.uk/p/swing-decor-night-day-carpet.html","Product")</f>
        <v/>
      </c>
      <c r="B981" s="1" t="inlineStr">
        <is>
          <t>446415</t>
        </is>
      </c>
      <c r="C981" s="1" t="inlineStr">
        <is>
          <t>Swing Decor Night &amp; Day Carpet Mix Wall and Floor Tiles</t>
        </is>
      </c>
      <c r="D981" s="1" t="n">
        <v>29.99</v>
      </c>
      <c r="E981" s="1" t="inlineStr">
        <is>
          <t>203x203mm</t>
        </is>
      </c>
      <c r="F981" s="1" t="inlineStr">
        <is>
          <t>m2</t>
        </is>
      </c>
      <c r="G981" s="1" t="inlineStr">
        <is>
          <t>Porcelain</t>
        </is>
      </c>
      <c r="H981" s="1" t="inlineStr">
        <is>
          <t>Satin</t>
        </is>
      </c>
      <c r="I981" t="n">
        <v>29.99</v>
      </c>
    </row>
    <row r="982">
      <c r="A982" s="1">
        <f>Hyperlink("https://www.tilemountain.co.uk/p/swing-grey.html","Product")</f>
        <v/>
      </c>
      <c r="B982" s="1" t="inlineStr">
        <is>
          <t>446385</t>
        </is>
      </c>
      <c r="C982" s="1" t="inlineStr">
        <is>
          <t>Swing Grey Wall and Floor Tiles</t>
        </is>
      </c>
      <c r="D982" s="1" t="n">
        <v>24.99</v>
      </c>
      <c r="E982" s="1" t="inlineStr">
        <is>
          <t>203x203mm</t>
        </is>
      </c>
      <c r="F982" s="1" t="inlineStr">
        <is>
          <t>m2</t>
        </is>
      </c>
      <c r="G982" s="1" t="inlineStr">
        <is>
          <t>Porcelain</t>
        </is>
      </c>
      <c r="H982" s="1" t="inlineStr">
        <is>
          <t>Satin</t>
        </is>
      </c>
      <c r="I982" t="n">
        <v>24.99</v>
      </c>
    </row>
    <row r="983">
      <c r="A983" s="1">
        <f>Hyperlink("https://www.tilemountain.co.uk/p/swing-ice.html","Product")</f>
        <v/>
      </c>
      <c r="B983" s="1" t="inlineStr">
        <is>
          <t>446375</t>
        </is>
      </c>
      <c r="C983" s="1" t="inlineStr">
        <is>
          <t>Swing Ice Wall and Floor Tiles</t>
        </is>
      </c>
      <c r="D983" s="1" t="n">
        <v>24.99</v>
      </c>
      <c r="E983" s="1" t="inlineStr">
        <is>
          <t>203x203mm</t>
        </is>
      </c>
      <c r="F983" s="1" t="inlineStr">
        <is>
          <t>m2</t>
        </is>
      </c>
      <c r="G983" s="1" t="inlineStr">
        <is>
          <t>Porcelain</t>
        </is>
      </c>
      <c r="H983" s="1" t="inlineStr">
        <is>
          <t>Satin</t>
        </is>
      </c>
      <c r="I983" t="n">
        <v>24.99</v>
      </c>
    </row>
    <row r="984">
      <c r="A984" s="1">
        <f>Hyperlink("https://www.tilemountain.co.uk/p/tacora-beige-wood-effect-porcelain-wall-floor-tile.html","Product")</f>
        <v/>
      </c>
      <c r="B984" s="1" t="inlineStr">
        <is>
          <t>449740</t>
        </is>
      </c>
      <c r="C984" s="1" t="inlineStr">
        <is>
          <t>Tacora Beige Wood Effect Porcelain Wall &amp; Floor Tile</t>
        </is>
      </c>
      <c r="D984" s="1" t="n">
        <v>18.99</v>
      </c>
      <c r="E984" s="1" t="inlineStr">
        <is>
          <t>1200x230mm</t>
        </is>
      </c>
      <c r="F984" s="1" t="inlineStr">
        <is>
          <t>m2</t>
        </is>
      </c>
      <c r="G984" s="1" t="inlineStr">
        <is>
          <t>Porcelain</t>
        </is>
      </c>
      <c r="H984" s="1" t="inlineStr">
        <is>
          <t>Matt</t>
        </is>
      </c>
      <c r="I984" t="n">
        <v>18.99</v>
      </c>
    </row>
    <row r="985">
      <c r="A985" s="1">
        <f>Hyperlink("https://www.tilemountain.co.uk/p/tacora-brown-wood-effect-porcelain-wall-floor-tile.html","Product")</f>
        <v/>
      </c>
      <c r="B985" s="1" t="inlineStr">
        <is>
          <t>449750</t>
        </is>
      </c>
      <c r="C985" s="1" t="inlineStr">
        <is>
          <t>Tacora Brown Wood Effect Porcelain Wall &amp; Floor Tile</t>
        </is>
      </c>
      <c r="D985" s="1" t="n">
        <v>18.99</v>
      </c>
      <c r="E985" s="1" t="inlineStr">
        <is>
          <t>1200x230mm</t>
        </is>
      </c>
      <c r="F985" s="1" t="inlineStr">
        <is>
          <t>m2</t>
        </is>
      </c>
      <c r="G985" s="1" t="inlineStr">
        <is>
          <t>Porcelain</t>
        </is>
      </c>
      <c r="H985" s="1" t="inlineStr">
        <is>
          <t>Matt</t>
        </is>
      </c>
      <c r="I985" t="n">
        <v>18.99</v>
      </c>
    </row>
    <row r="986">
      <c r="A986" s="1">
        <f>Hyperlink("https://www.tilemountain.co.uk/p/tacora-camel-wood-effect-porcelain-wall-floor-tile.html","Product")</f>
        <v/>
      </c>
      <c r="B986" s="1" t="inlineStr">
        <is>
          <t>449745</t>
        </is>
      </c>
      <c r="C986" s="1" t="inlineStr">
        <is>
          <t>Tacora Camel Wood Effect Porcelain Wall &amp; Floor Tile</t>
        </is>
      </c>
      <c r="D986" s="1" t="n">
        <v>18.99</v>
      </c>
      <c r="E986" s="1" t="inlineStr">
        <is>
          <t>1200x230mm</t>
        </is>
      </c>
      <c r="F986" s="1" t="inlineStr">
        <is>
          <t>m2</t>
        </is>
      </c>
      <c r="G986" s="1" t="inlineStr">
        <is>
          <t>Porcelain</t>
        </is>
      </c>
      <c r="H986" s="1" t="inlineStr">
        <is>
          <t>Matt</t>
        </is>
      </c>
      <c r="I986" t="n">
        <v>18.99</v>
      </c>
    </row>
    <row r="987">
      <c r="A987" s="1">
        <f>Hyperlink("https://www.tilemountain.co.uk/p/tacora-grey-wood-effect-porcelain-wall-floor-tile_1.html","Product")</f>
        <v/>
      </c>
      <c r="B987" s="1" t="inlineStr">
        <is>
          <t>449870</t>
        </is>
      </c>
      <c r="C987" s="1" t="inlineStr">
        <is>
          <t>Tacora Grey Wood Effect Porcelain Wall &amp; Floor Tile</t>
        </is>
      </c>
      <c r="D987" s="1" t="n">
        <v>18.99</v>
      </c>
      <c r="E987" s="1" t="inlineStr">
        <is>
          <t>1200x230mm</t>
        </is>
      </c>
      <c r="F987" s="1" t="inlineStr">
        <is>
          <t>m2</t>
        </is>
      </c>
      <c r="G987" s="1" t="inlineStr">
        <is>
          <t>Porcelain</t>
        </is>
      </c>
      <c r="H987" s="1" t="inlineStr">
        <is>
          <t>Matt</t>
        </is>
      </c>
      <c r="I987" t="n">
        <v>18.99</v>
      </c>
    </row>
    <row r="988">
      <c r="A988" s="1">
        <f>Hyperlink("https://www.tilemountain.co.uk/p/tacora-white-wood-effect-porcelain-wall-floor-tile.html","Product")</f>
        <v/>
      </c>
      <c r="B988" s="1" t="inlineStr">
        <is>
          <t>449735</t>
        </is>
      </c>
      <c r="C988" s="1" t="inlineStr">
        <is>
          <t>Tacora White Wood Effect Porcelain Wall &amp; Floor Tile</t>
        </is>
      </c>
      <c r="D988" s="1" t="n">
        <v>18.99</v>
      </c>
      <c r="E988" s="1" t="inlineStr">
        <is>
          <t>1200x230mm</t>
        </is>
      </c>
      <c r="F988" s="1" t="inlineStr">
        <is>
          <t>m2</t>
        </is>
      </c>
      <c r="G988" s="1" t="inlineStr">
        <is>
          <t>Porcelain</t>
        </is>
      </c>
      <c r="H988" s="1" t="inlineStr">
        <is>
          <t>Matt</t>
        </is>
      </c>
      <c r="I988" t="n">
        <v>18.99</v>
      </c>
    </row>
    <row r="989">
      <c r="A989" s="1">
        <f>Hyperlink("https://www.tilemountain.co.uk/p/talent-beige-decor-wall-tile.html","Product")</f>
        <v/>
      </c>
      <c r="B989" s="1" t="inlineStr">
        <is>
          <t>451440</t>
        </is>
      </c>
      <c r="C989" s="1" t="inlineStr">
        <is>
          <t>Talent Beige Decor Wall Tile</t>
        </is>
      </c>
      <c r="D989" s="1" t="n">
        <v>11.99</v>
      </c>
      <c r="E989" s="1" t="inlineStr">
        <is>
          <t>500x250mm</t>
        </is>
      </c>
      <c r="F989" s="1" t="inlineStr">
        <is>
          <t>m2</t>
        </is>
      </c>
      <c r="G989" s="1" t="inlineStr">
        <is>
          <t>Ceramic</t>
        </is>
      </c>
      <c r="H989" s="1" t="inlineStr">
        <is>
          <t>Matt</t>
        </is>
      </c>
      <c r="I989" t="n">
        <v>11.99</v>
      </c>
    </row>
    <row r="990">
      <c r="A990" s="1">
        <f>Hyperlink("https://www.tilemountain.co.uk/p/talent-beige-porcelain-floor-tile.html","Product")</f>
        <v/>
      </c>
      <c r="B990" s="1" t="inlineStr">
        <is>
          <t>451450</t>
        </is>
      </c>
      <c r="C990" s="1" t="inlineStr">
        <is>
          <t>Talent Beige Porcelain Floor Tile</t>
        </is>
      </c>
      <c r="D990" s="1" t="n">
        <v>12.99</v>
      </c>
      <c r="E990" s="1" t="inlineStr">
        <is>
          <t>450x450mm</t>
        </is>
      </c>
      <c r="F990" s="1" t="inlineStr">
        <is>
          <t>m2</t>
        </is>
      </c>
      <c r="G990" s="1" t="inlineStr">
        <is>
          <t>Porcelain</t>
        </is>
      </c>
      <c r="H990" s="1" t="inlineStr">
        <is>
          <t>Matt</t>
        </is>
      </c>
      <c r="I990" t="n">
        <v>12.99</v>
      </c>
    </row>
    <row r="991">
      <c r="A991" s="1">
        <f>Hyperlink("https://www.tilemountain.co.uk/p/talent-beige-wall-tile.html","Product")</f>
        <v/>
      </c>
      <c r="B991" s="1" t="inlineStr">
        <is>
          <t>451425</t>
        </is>
      </c>
      <c r="C991" s="1" t="inlineStr">
        <is>
          <t>Talent Beige Wall Tile</t>
        </is>
      </c>
      <c r="D991" s="1" t="n">
        <v>11.99</v>
      </c>
      <c r="E991" s="1" t="inlineStr">
        <is>
          <t>500x250mm</t>
        </is>
      </c>
      <c r="F991" s="1" t="inlineStr">
        <is>
          <t>m2</t>
        </is>
      </c>
      <c r="G991" s="1" t="inlineStr">
        <is>
          <t>Ceramic</t>
        </is>
      </c>
      <c r="H991" s="1" t="inlineStr">
        <is>
          <t>Matt</t>
        </is>
      </c>
      <c r="I991" t="n">
        <v>11.99</v>
      </c>
    </row>
    <row r="992">
      <c r="A992" s="1">
        <f>Hyperlink("https://www.tilemountain.co.uk/p/talent-grey-porcelain-floor-tile.html","Product")</f>
        <v/>
      </c>
      <c r="B992" s="1" t="inlineStr">
        <is>
          <t>451455</t>
        </is>
      </c>
      <c r="C992" s="1" t="inlineStr">
        <is>
          <t>Talent Grey Porcelain Floor Tile</t>
        </is>
      </c>
      <c r="D992" s="1" t="n">
        <v>12.99</v>
      </c>
      <c r="E992" s="1" t="inlineStr">
        <is>
          <t>450x450mm</t>
        </is>
      </c>
      <c r="F992" s="1" t="inlineStr">
        <is>
          <t>m2</t>
        </is>
      </c>
      <c r="G992" s="1" t="inlineStr">
        <is>
          <t>Porcelain</t>
        </is>
      </c>
      <c r="H992" s="1" t="inlineStr">
        <is>
          <t>Matt</t>
        </is>
      </c>
      <c r="I992" t="n">
        <v>12.99</v>
      </c>
    </row>
    <row r="993">
      <c r="A993" s="1">
        <f>Hyperlink("https://www.tilemountain.co.uk/p/talent-grey-wall-tile.html","Product")</f>
        <v/>
      </c>
      <c r="B993" s="1" t="inlineStr">
        <is>
          <t>451430</t>
        </is>
      </c>
      <c r="C993" s="1" t="inlineStr">
        <is>
          <t>Talent Grey Wall Tile</t>
        </is>
      </c>
      <c r="D993" s="1" t="n">
        <v>11.99</v>
      </c>
      <c r="E993" s="1" t="inlineStr">
        <is>
          <t>500x250mm</t>
        </is>
      </c>
      <c r="F993" s="1" t="inlineStr">
        <is>
          <t>m2</t>
        </is>
      </c>
      <c r="G993" s="1" t="inlineStr">
        <is>
          <t>Ceramic</t>
        </is>
      </c>
      <c r="H993" s="1" t="inlineStr">
        <is>
          <t>Matt</t>
        </is>
      </c>
      <c r="I993" t="n">
        <v>11.99</v>
      </c>
    </row>
    <row r="994">
      <c r="A994" s="1">
        <f>Hyperlink("https://www.tilemountain.co.uk/p/talent-white-decor-wall-tile.html","Product")</f>
        <v/>
      </c>
      <c r="B994" s="1" t="inlineStr">
        <is>
          <t>451445</t>
        </is>
      </c>
      <c r="C994" s="1" t="inlineStr">
        <is>
          <t>Talent White Decor Wall Tile</t>
        </is>
      </c>
      <c r="D994" s="1" t="n">
        <v>11.99</v>
      </c>
      <c r="E994" s="1" t="inlineStr">
        <is>
          <t>500x250mm</t>
        </is>
      </c>
      <c r="F994" s="1" t="inlineStr">
        <is>
          <t>m2</t>
        </is>
      </c>
      <c r="G994" s="1" t="inlineStr">
        <is>
          <t>Ceramic</t>
        </is>
      </c>
      <c r="H994" s="1" t="inlineStr">
        <is>
          <t>Matt</t>
        </is>
      </c>
      <c r="I994" t="n">
        <v>11.99</v>
      </c>
    </row>
    <row r="995">
      <c r="A995" s="1">
        <f>Hyperlink("https://www.tilemountain.co.uk/p/talent-white-porcelain-floor-tile.html","Product")</f>
        <v/>
      </c>
      <c r="B995" s="1" t="inlineStr">
        <is>
          <t>451460</t>
        </is>
      </c>
      <c r="C995" s="1" t="inlineStr">
        <is>
          <t>Talent White Porcelain Floor Tile</t>
        </is>
      </c>
      <c r="D995" s="1" t="n">
        <v>12.99</v>
      </c>
      <c r="E995" s="1" t="inlineStr">
        <is>
          <t>450x450mm</t>
        </is>
      </c>
      <c r="F995" s="1" t="inlineStr">
        <is>
          <t>m2</t>
        </is>
      </c>
      <c r="G995" s="1" t="inlineStr">
        <is>
          <t>Porcelain</t>
        </is>
      </c>
      <c r="H995" s="1" t="inlineStr">
        <is>
          <t>Matt</t>
        </is>
      </c>
      <c r="I995" t="n">
        <v>12.99</v>
      </c>
    </row>
    <row r="996">
      <c r="A996" s="1">
        <f>Hyperlink("https://www.tilemountain.co.uk/p/talent-white-wall-tile.html","Product")</f>
        <v/>
      </c>
      <c r="B996" s="1" t="inlineStr">
        <is>
          <t>451435</t>
        </is>
      </c>
      <c r="C996" s="1" t="inlineStr">
        <is>
          <t>Talent White Wall Tile</t>
        </is>
      </c>
      <c r="D996" s="1" t="n">
        <v>11.99</v>
      </c>
      <c r="E996" s="1" t="inlineStr">
        <is>
          <t>500x250mm</t>
        </is>
      </c>
      <c r="F996" s="1" t="inlineStr">
        <is>
          <t>m2</t>
        </is>
      </c>
      <c r="G996" s="1" t="inlineStr">
        <is>
          <t>Ceramic</t>
        </is>
      </c>
      <c r="H996" s="1" t="inlineStr">
        <is>
          <t>Matt</t>
        </is>
      </c>
      <c r="I996" t="n">
        <v>11.99</v>
      </c>
    </row>
    <row r="997">
      <c r="A997" s="1">
        <f>Hyperlink("https://www.tilemountain.co.uk/p/techstone-grey-stone-effect-porcelain-floor-tile_1.html","Product")</f>
        <v/>
      </c>
      <c r="B997" s="1" t="inlineStr">
        <is>
          <t>449935</t>
        </is>
      </c>
      <c r="C997" s="1" t="inlineStr">
        <is>
          <t>Rocastone Grey Stone Effect Porcelain Floor Tile</t>
        </is>
      </c>
      <c r="D997" s="1" t="n">
        <v>14.99</v>
      </c>
      <c r="E997" s="1" t="inlineStr">
        <is>
          <t>600x600mm</t>
        </is>
      </c>
      <c r="F997" s="1" t="inlineStr">
        <is>
          <t>m2</t>
        </is>
      </c>
      <c r="G997" s="1" t="inlineStr">
        <is>
          <t>Porcelain</t>
        </is>
      </c>
      <c r="H997" s="1" t="inlineStr">
        <is>
          <t>Matt</t>
        </is>
      </c>
      <c r="I997" t="n">
        <v>14.99</v>
      </c>
    </row>
    <row r="998">
      <c r="A998" s="1">
        <f>Hyperlink("https://www.tilemountain.co.uk/p/tejos-ceniza.html","Product")</f>
        <v/>
      </c>
      <c r="B998" s="1" t="inlineStr">
        <is>
          <t>452305</t>
        </is>
      </c>
      <c r="C998" s="1" t="inlineStr">
        <is>
          <t>Tejos Grey Porcelain Wood Effect Floor Tile</t>
        </is>
      </c>
      <c r="D998" s="1" t="n">
        <v>14.99</v>
      </c>
      <c r="E998" s="1" t="inlineStr">
        <is>
          <t>1000x250mm</t>
        </is>
      </c>
      <c r="F998" s="1" t="inlineStr">
        <is>
          <t>m2</t>
        </is>
      </c>
      <c r="G998" s="1" t="inlineStr">
        <is>
          <t>Porcelain</t>
        </is>
      </c>
      <c r="H998" s="1" t="inlineStr">
        <is>
          <t>Matt</t>
        </is>
      </c>
      <c r="I998" t="n">
        <v>14.99</v>
      </c>
    </row>
    <row r="999">
      <c r="A999" s="1">
        <f>Hyperlink("https://www.tilemountain.co.uk/p/tejos-cerezo.html","Product")</f>
        <v/>
      </c>
      <c r="B999" s="1" t="inlineStr">
        <is>
          <t>452310</t>
        </is>
      </c>
      <c r="C999" s="1" t="inlineStr">
        <is>
          <t>Tejos Medium Oak Porcelain Wood Effect Floor Tile</t>
        </is>
      </c>
      <c r="D999" s="1" t="n">
        <v>14.99</v>
      </c>
      <c r="E999" s="1" t="inlineStr">
        <is>
          <t>1000x250mm</t>
        </is>
      </c>
      <c r="F999" s="1" t="inlineStr">
        <is>
          <t>m2</t>
        </is>
      </c>
      <c r="G999" s="1" t="inlineStr">
        <is>
          <t>Porcelain</t>
        </is>
      </c>
      <c r="H999" s="1" t="inlineStr">
        <is>
          <t>Matt</t>
        </is>
      </c>
      <c r="I999" t="n">
        <v>14.99</v>
      </c>
    </row>
    <row r="1000">
      <c r="A1000" s="1">
        <f>Hyperlink("https://www.tilemountain.co.uk/p/tejos-haya.html","Product")</f>
        <v/>
      </c>
      <c r="B1000" s="1" t="inlineStr">
        <is>
          <t>452295</t>
        </is>
      </c>
      <c r="C1000" s="1" t="inlineStr">
        <is>
          <t>Tejos Greige Porcelain Wood Effect Floor Tile</t>
        </is>
      </c>
      <c r="D1000" s="1" t="n">
        <v>14.99</v>
      </c>
      <c r="E1000" s="1" t="inlineStr">
        <is>
          <t>1000x250mm</t>
        </is>
      </c>
      <c r="F1000" s="1" t="inlineStr">
        <is>
          <t>m2</t>
        </is>
      </c>
      <c r="G1000" s="1" t="inlineStr">
        <is>
          <t>Porcelain</t>
        </is>
      </c>
      <c r="H1000" s="1" t="inlineStr">
        <is>
          <t>Matt</t>
        </is>
      </c>
      <c r="I1000" t="n">
        <v>14.99</v>
      </c>
    </row>
    <row r="1001">
      <c r="A1001" s="1">
        <f>Hyperlink("https://www.tilemountain.co.uk/p/tejos-oak-roble.html","Product")</f>
        <v/>
      </c>
      <c r="B1001" s="1" t="inlineStr">
        <is>
          <t>452300</t>
        </is>
      </c>
      <c r="C1001" s="1" t="inlineStr">
        <is>
          <t>Tejos Light Oak Porcelain Wood Effect Floor Tile</t>
        </is>
      </c>
      <c r="D1001" s="1" t="n">
        <v>14.99</v>
      </c>
      <c r="E1001" s="1" t="inlineStr">
        <is>
          <t>1000x250mm</t>
        </is>
      </c>
      <c r="F1001" s="1" t="inlineStr">
        <is>
          <t>m2</t>
        </is>
      </c>
      <c r="G1001" s="1" t="inlineStr">
        <is>
          <t>Porcelain</t>
        </is>
      </c>
      <c r="H1001" s="1" t="inlineStr">
        <is>
          <t>Matt</t>
        </is>
      </c>
      <c r="I1001" t="n">
        <v>14.99</v>
      </c>
    </row>
    <row r="1002">
      <c r="A1002" s="1">
        <f>Hyperlink("https://www.tilemountain.co.uk/p/terrazzo-grigio-3604.html","Product")</f>
        <v/>
      </c>
      <c r="B1002" s="1" t="inlineStr">
        <is>
          <t>444275</t>
        </is>
      </c>
      <c r="C1002" s="1" t="inlineStr">
        <is>
          <t>Terrazzo Grey Outdoor Porcelain Slab Tiles</t>
        </is>
      </c>
      <c r="D1002" s="1" t="n">
        <v>28.99</v>
      </c>
      <c r="E1002" s="1" t="inlineStr">
        <is>
          <t>600x600mm</t>
        </is>
      </c>
      <c r="F1002" s="1" t="inlineStr">
        <is>
          <t>m2</t>
        </is>
      </c>
      <c r="G1002" s="1" t="inlineStr">
        <is>
          <t>Porcelain</t>
        </is>
      </c>
      <c r="H1002" s="1" t="inlineStr">
        <is>
          <t>Matt</t>
        </is>
      </c>
      <c r="I1002" t="n">
        <v>28.99</v>
      </c>
    </row>
    <row r="1003">
      <c r="A1003" s="1">
        <f>Hyperlink("https://www.tilemountain.co.uk/p/terrazzo-mix-anthracite-wall-floor-tiles-75x75cm.html","Product")</f>
        <v/>
      </c>
      <c r="B1003" s="1" t="inlineStr">
        <is>
          <t>449135</t>
        </is>
      </c>
      <c r="C1003" s="1" t="inlineStr">
        <is>
          <t>Terrazzo Mix Anthracite Wall and Floor Tiles</t>
        </is>
      </c>
      <c r="D1003" s="1" t="n">
        <v>34.99</v>
      </c>
      <c r="E1003" s="1" t="inlineStr">
        <is>
          <t>750x750mm</t>
        </is>
      </c>
      <c r="F1003" s="1" t="inlineStr">
        <is>
          <t>m2</t>
        </is>
      </c>
      <c r="G1003" s="1" t="inlineStr">
        <is>
          <t>Porcelain</t>
        </is>
      </c>
      <c r="H1003" s="1" t="inlineStr">
        <is>
          <t>Matt</t>
        </is>
      </c>
      <c r="I1003" t="n">
        <v>34.99</v>
      </c>
    </row>
    <row r="1004">
      <c r="A1004" s="1">
        <f>Hyperlink("https://www.tilemountain.co.uk/p/testarabesco-grey-glass-mosaic.html","Product")</f>
        <v/>
      </c>
      <c r="B1004" s="1" t="inlineStr">
        <is>
          <t>453715</t>
        </is>
      </c>
      <c r="C1004" s="1" t="inlineStr">
        <is>
          <t>Arabesco Grey Glass Mosaic</t>
        </is>
      </c>
      <c r="D1004" s="1" t="n">
        <v>14.99</v>
      </c>
      <c r="E1004" s="1" t="inlineStr">
        <is>
          <t>300x300mm</t>
        </is>
      </c>
      <c r="F1004" s="1" t="inlineStr">
        <is>
          <t>sheet</t>
        </is>
      </c>
      <c r="G1004" s="1" t="inlineStr">
        <is>
          <t>Glass</t>
        </is>
      </c>
      <c r="H1004" s="1" t="inlineStr">
        <is>
          <t>Gloss</t>
        </is>
      </c>
      <c r="I1004" t="n">
        <v>14.99</v>
      </c>
    </row>
    <row r="1005">
      <c r="A1005" s="1">
        <f>Hyperlink("https://www.tilemountain.co.uk/p/tile-levelling-pliers.html","Product")</f>
        <v/>
      </c>
      <c r="B1005" s="1" t="inlineStr">
        <is>
          <t>450870</t>
        </is>
      </c>
      <c r="C1005" s="1" t="inlineStr">
        <is>
          <t>Tile Levelling Pliers</t>
        </is>
      </c>
      <c r="D1005" s="1" t="n">
        <v>12.99</v>
      </c>
      <c r="E1005" s="1" t="inlineStr">
        <is>
          <t>-</t>
        </is>
      </c>
      <c r="F1005" s="1" t="inlineStr">
        <is>
          <t>Qty</t>
        </is>
      </c>
      <c r="G1005" s="1" t="inlineStr">
        <is>
          <t>-</t>
        </is>
      </c>
      <c r="H1005" s="1" t="inlineStr">
        <is>
          <t>-</t>
        </is>
      </c>
      <c r="I1005" t="n">
        <v>12.99</v>
      </c>
    </row>
    <row r="1006">
      <c r="A1006" s="1">
        <f>Hyperlink("https://www.tilemountain.co.uk/p/tile-levelling-wedges-100-per-pack.html","Product")</f>
        <v/>
      </c>
      <c r="B1006" s="1" t="inlineStr">
        <is>
          <t>450855</t>
        </is>
      </c>
      <c r="C1006" s="1" t="inlineStr">
        <is>
          <t>Tile Levelling Wedges - 100 per pack</t>
        </is>
      </c>
      <c r="D1006" s="1" t="n">
        <v>7.99</v>
      </c>
      <c r="E1006" s="1" t="inlineStr">
        <is>
          <t>-</t>
        </is>
      </c>
      <c r="F1006" s="1" t="inlineStr">
        <is>
          <t>Qty</t>
        </is>
      </c>
      <c r="G1006" s="1" t="inlineStr">
        <is>
          <t>-</t>
        </is>
      </c>
      <c r="H1006" s="1" t="inlineStr">
        <is>
          <t>-</t>
        </is>
      </c>
      <c r="I1006" t="n">
        <v>7.99</v>
      </c>
    </row>
    <row r="1007">
      <c r="A1007" s="1">
        <f>Hyperlink("https://www.tilemountain.co.uk/p/tile-wedges.html","Product")</f>
        <v/>
      </c>
      <c r="B1007" s="1" t="inlineStr">
        <is>
          <t>450790</t>
        </is>
      </c>
      <c r="C1007" s="1" t="inlineStr">
        <is>
          <t>Tile Wedges</t>
        </is>
      </c>
      <c r="D1007" s="1" t="n">
        <v>2.99</v>
      </c>
      <c r="E1007" s="1" t="inlineStr">
        <is>
          <t>-</t>
        </is>
      </c>
      <c r="F1007" s="1" t="inlineStr">
        <is>
          <t>Qty</t>
        </is>
      </c>
      <c r="G1007" s="1" t="inlineStr">
        <is>
          <t>-</t>
        </is>
      </c>
      <c r="H1007" s="1" t="inlineStr">
        <is>
          <t>-</t>
        </is>
      </c>
      <c r="I1007" t="n">
        <v>2.99</v>
      </c>
    </row>
    <row r="1008">
      <c r="A1008" s="1">
        <f>Hyperlink("https://www.tilemountain.co.uk/p/titanio-beige-floor-tile.html","Product")</f>
        <v/>
      </c>
      <c r="B1008" s="1" t="inlineStr">
        <is>
          <t>452540</t>
        </is>
      </c>
      <c r="C1008" s="1" t="inlineStr">
        <is>
          <t>Titanio Beige Floor Tile</t>
        </is>
      </c>
      <c r="D1008" s="1" t="n">
        <v>14.99</v>
      </c>
      <c r="E1008" s="1" t="inlineStr">
        <is>
          <t>600x600mm</t>
        </is>
      </c>
      <c r="F1008" s="1" t="inlineStr">
        <is>
          <t>m2</t>
        </is>
      </c>
      <c r="G1008" s="1" t="inlineStr">
        <is>
          <t>Porcelain</t>
        </is>
      </c>
      <c r="H1008" s="1" t="inlineStr">
        <is>
          <t>Matt</t>
        </is>
      </c>
      <c r="I1008" t="n">
        <v>14.99</v>
      </c>
    </row>
    <row r="1009">
      <c r="A1009" s="1">
        <f>Hyperlink("https://www.tilemountain.co.uk/p/titanio-beige-wall-and-floor-tile.html","Product")</f>
        <v/>
      </c>
      <c r="B1009" s="1" t="inlineStr">
        <is>
          <t>452525</t>
        </is>
      </c>
      <c r="C1009" s="1" t="inlineStr">
        <is>
          <t>Titanio Beige Wall and Floor Tile</t>
        </is>
      </c>
      <c r="D1009" s="1" t="n">
        <v>14.99</v>
      </c>
      <c r="E1009" s="1" t="inlineStr">
        <is>
          <t>600x300mm</t>
        </is>
      </c>
      <c r="F1009" s="1" t="inlineStr">
        <is>
          <t>m2</t>
        </is>
      </c>
      <c r="G1009" s="1" t="inlineStr">
        <is>
          <t>Porcelain</t>
        </is>
      </c>
      <c r="H1009" s="1" t="inlineStr">
        <is>
          <t>Matt</t>
        </is>
      </c>
      <c r="I1009" t="n">
        <v>14.99</v>
      </c>
    </row>
    <row r="1010">
      <c r="A1010" s="1">
        <f>Hyperlink("https://www.tilemountain.co.uk/p/titanio-grafito-floor-tile.html","Product")</f>
        <v/>
      </c>
      <c r="B1010" s="1" t="inlineStr">
        <is>
          <t>452550</t>
        </is>
      </c>
      <c r="C1010" s="1" t="inlineStr">
        <is>
          <t>Titanio Grafito Floor Tile</t>
        </is>
      </c>
      <c r="D1010" s="1" t="n">
        <v>14.99</v>
      </c>
      <c r="E1010" s="1" t="inlineStr">
        <is>
          <t>600x600mm</t>
        </is>
      </c>
      <c r="F1010" s="1" t="inlineStr">
        <is>
          <t>m2</t>
        </is>
      </c>
      <c r="G1010" s="1" t="inlineStr">
        <is>
          <t>Porcelain</t>
        </is>
      </c>
      <c r="H1010" s="1" t="inlineStr">
        <is>
          <t>Matt</t>
        </is>
      </c>
      <c r="I1010" t="n">
        <v>14.99</v>
      </c>
    </row>
    <row r="1011">
      <c r="A1011" s="1">
        <f>Hyperlink("https://www.tilemountain.co.uk/p/titanio-grafito-wall-and-floor-tile.html","Product")</f>
        <v/>
      </c>
      <c r="B1011" s="1" t="inlineStr">
        <is>
          <t>452535</t>
        </is>
      </c>
      <c r="C1011" s="1" t="inlineStr">
        <is>
          <t>Titanio Grafito Wall and Floor Tile</t>
        </is>
      </c>
      <c r="D1011" s="1" t="n">
        <v>14.99</v>
      </c>
      <c r="E1011" s="1" t="inlineStr">
        <is>
          <t>600x300mm</t>
        </is>
      </c>
      <c r="F1011" s="1" t="inlineStr">
        <is>
          <t>m2</t>
        </is>
      </c>
      <c r="G1011" s="1" t="inlineStr">
        <is>
          <t>Porcelain</t>
        </is>
      </c>
      <c r="H1011" s="1" t="inlineStr">
        <is>
          <t>Matt</t>
        </is>
      </c>
      <c r="I1011" t="n">
        <v>14.99</v>
      </c>
    </row>
    <row r="1012">
      <c r="A1012" s="1">
        <f>Hyperlink("https://www.tilemountain.co.uk/p/titanio-grey-floor-tile_1.html","Product")</f>
        <v/>
      </c>
      <c r="B1012" s="1" t="inlineStr">
        <is>
          <t>452545</t>
        </is>
      </c>
      <c r="C1012" s="1" t="inlineStr">
        <is>
          <t>Titanio Grey Floor Tile</t>
        </is>
      </c>
      <c r="D1012" s="1" t="n">
        <v>14.99</v>
      </c>
      <c r="E1012" s="1" t="inlineStr">
        <is>
          <t>600x600mm</t>
        </is>
      </c>
      <c r="F1012" s="1" t="inlineStr">
        <is>
          <t>m2</t>
        </is>
      </c>
      <c r="G1012" s="1" t="inlineStr">
        <is>
          <t>Porcelain</t>
        </is>
      </c>
      <c r="H1012" s="1" t="inlineStr">
        <is>
          <t>Matt</t>
        </is>
      </c>
      <c r="I1012" t="n">
        <v>14.99</v>
      </c>
    </row>
    <row r="1013">
      <c r="A1013" s="1">
        <f>Hyperlink("https://www.tilemountain.co.uk/p/titanio-grey-wall-and-floor-tile.html","Product")</f>
        <v/>
      </c>
      <c r="B1013" s="1" t="inlineStr">
        <is>
          <t>452530</t>
        </is>
      </c>
      <c r="C1013" s="1" t="inlineStr">
        <is>
          <t>Titanio Grey Wall and Floor Tile</t>
        </is>
      </c>
      <c r="D1013" s="1" t="n">
        <v>14.99</v>
      </c>
      <c r="E1013" s="1" t="inlineStr">
        <is>
          <t>600x300mm</t>
        </is>
      </c>
      <c r="F1013" s="1" t="inlineStr">
        <is>
          <t>m2</t>
        </is>
      </c>
      <c r="G1013" s="1" t="inlineStr">
        <is>
          <t>Porcelain</t>
        </is>
      </c>
      <c r="H1013" s="1" t="inlineStr">
        <is>
          <t>Matt</t>
        </is>
      </c>
      <c r="I1013" t="n">
        <v>14.99</v>
      </c>
    </row>
    <row r="1014">
      <c r="A1014" s="1">
        <f>Hyperlink("https://www.tilemountain.co.uk/p/tones-charcoal-wall-tile.html","Product")</f>
        <v/>
      </c>
      <c r="B1014" s="1" t="inlineStr">
        <is>
          <t>433685</t>
        </is>
      </c>
      <c r="C1014" s="1" t="inlineStr">
        <is>
          <t>Tones Charcoal Wall Tiles</t>
        </is>
      </c>
      <c r="D1014" s="1" t="n">
        <v>24.99</v>
      </c>
      <c r="E1014" s="1" t="inlineStr">
        <is>
          <t>150x400mm</t>
        </is>
      </c>
      <c r="F1014" s="1" t="inlineStr">
        <is>
          <t>m2</t>
        </is>
      </c>
      <c r="G1014" s="1" t="inlineStr">
        <is>
          <t>Ceramic</t>
        </is>
      </c>
      <c r="H1014" s="1" t="inlineStr">
        <is>
          <t>Matt</t>
        </is>
      </c>
      <c r="I1014" t="n">
        <v>24.99</v>
      </c>
    </row>
    <row r="1015">
      <c r="A1015" s="1">
        <f>Hyperlink("https://www.tilemountain.co.uk/p/tones-cream-wall-tile.html","Product")</f>
        <v/>
      </c>
      <c r="B1015" s="1" t="inlineStr">
        <is>
          <t>433660</t>
        </is>
      </c>
      <c r="C1015" s="1" t="inlineStr">
        <is>
          <t>Tones Cream Wall Tiles</t>
        </is>
      </c>
      <c r="D1015" s="1" t="n">
        <v>24.99</v>
      </c>
      <c r="E1015" s="1" t="inlineStr">
        <is>
          <t>150x400mm</t>
        </is>
      </c>
      <c r="F1015" s="1" t="inlineStr">
        <is>
          <t>m2</t>
        </is>
      </c>
      <c r="G1015" s="1" t="inlineStr">
        <is>
          <t>Ceramic</t>
        </is>
      </c>
      <c r="H1015" s="1" t="inlineStr">
        <is>
          <t>Matt</t>
        </is>
      </c>
      <c r="I1015" t="n">
        <v>24.99</v>
      </c>
    </row>
    <row r="1016">
      <c r="A1016" s="1">
        <f>Hyperlink("https://www.tilemountain.co.uk/p/tones-nano-white-wall-tile.html","Product")</f>
        <v/>
      </c>
      <c r="B1016" s="1" t="inlineStr">
        <is>
          <t>433715</t>
        </is>
      </c>
      <c r="C1016" s="1" t="inlineStr">
        <is>
          <t>Tones Nano White Wall Tiles</t>
        </is>
      </c>
      <c r="D1016" s="1" t="n">
        <v>29.99</v>
      </c>
      <c r="E1016" s="1" t="inlineStr">
        <is>
          <t>150x400mm</t>
        </is>
      </c>
      <c r="F1016" s="1" t="inlineStr">
        <is>
          <t>m2</t>
        </is>
      </c>
      <c r="G1016" s="1" t="inlineStr">
        <is>
          <t>Ceramic</t>
        </is>
      </c>
      <c r="H1016" s="1" t="inlineStr">
        <is>
          <t>Matt</t>
        </is>
      </c>
      <c r="I1016" t="n">
        <v>29.99</v>
      </c>
    </row>
    <row r="1017">
      <c r="A1017" s="1">
        <f>Hyperlink("https://www.tilemountain.co.uk/p/tones-smoke-wall-tile.html","Product")</f>
        <v/>
      </c>
      <c r="B1017" s="1" t="inlineStr">
        <is>
          <t>433680</t>
        </is>
      </c>
      <c r="C1017" s="1" t="inlineStr">
        <is>
          <t>Tones Smoke Wall Tiles</t>
        </is>
      </c>
      <c r="D1017" s="1" t="n">
        <v>29.99</v>
      </c>
      <c r="E1017" s="1" t="inlineStr">
        <is>
          <t>150x400mm</t>
        </is>
      </c>
      <c r="F1017" s="1" t="inlineStr">
        <is>
          <t>m2</t>
        </is>
      </c>
      <c r="G1017" s="1" t="inlineStr">
        <is>
          <t>Ceramic</t>
        </is>
      </c>
      <c r="H1017" s="1" t="inlineStr">
        <is>
          <t>Matt</t>
        </is>
      </c>
      <c r="I1017" t="n">
        <v>29.99</v>
      </c>
    </row>
    <row r="1018">
      <c r="A1018" s="1">
        <f>Hyperlink("https://www.tilemountain.co.uk/p/tones-steam-wall-tile.html","Product")</f>
        <v/>
      </c>
      <c r="B1018" s="1" t="inlineStr">
        <is>
          <t>433675</t>
        </is>
      </c>
      <c r="C1018" s="1" t="inlineStr">
        <is>
          <t>Tones Steam Wall Tiles</t>
        </is>
      </c>
      <c r="D1018" s="1" t="n">
        <v>27.99</v>
      </c>
      <c r="E1018" s="1" t="inlineStr">
        <is>
          <t>150x400mm</t>
        </is>
      </c>
      <c r="F1018" s="1" t="inlineStr">
        <is>
          <t>m2</t>
        </is>
      </c>
      <c r="G1018" s="1" t="inlineStr">
        <is>
          <t>Ceramic</t>
        </is>
      </c>
      <c r="H1018" s="1" t="inlineStr">
        <is>
          <t>Matt</t>
        </is>
      </c>
      <c r="I1018" t="n">
        <v>27.99</v>
      </c>
    </row>
    <row r="1019">
      <c r="A1019" s="1">
        <f>Hyperlink("https://www.tilemountain.co.uk/p/tones-wave-white-wall-tile.html","Product")</f>
        <v/>
      </c>
      <c r="B1019" s="1" t="inlineStr">
        <is>
          <t>433725</t>
        </is>
      </c>
      <c r="C1019" s="1" t="inlineStr">
        <is>
          <t>Tones Wave White Wall Tiles</t>
        </is>
      </c>
      <c r="D1019" s="1" t="n">
        <v>29.99</v>
      </c>
      <c r="E1019" s="1" t="inlineStr">
        <is>
          <t>150x400mm</t>
        </is>
      </c>
      <c r="F1019" s="1" t="inlineStr">
        <is>
          <t>m2</t>
        </is>
      </c>
      <c r="G1019" s="1" t="inlineStr">
        <is>
          <t>Ceramic</t>
        </is>
      </c>
      <c r="H1019" s="1" t="inlineStr">
        <is>
          <t>Matt</t>
        </is>
      </c>
      <c r="I1019" t="n">
        <v>29.99</v>
      </c>
    </row>
    <row r="1020">
      <c r="A1020" s="1">
        <f>Hyperlink("https://www.tilemountain.co.uk/p/tones-white-wall-tile.html","Product")</f>
        <v/>
      </c>
      <c r="B1020" s="1" t="inlineStr">
        <is>
          <t>433655</t>
        </is>
      </c>
      <c r="C1020" s="1" t="inlineStr">
        <is>
          <t>Tones White Wall Tiles</t>
        </is>
      </c>
      <c r="D1020" s="1" t="n">
        <v>24.99</v>
      </c>
      <c r="E1020" s="1" t="inlineStr">
        <is>
          <t>150x400mm</t>
        </is>
      </c>
      <c r="F1020" s="1" t="inlineStr">
        <is>
          <t>m2</t>
        </is>
      </c>
      <c r="G1020" s="1" t="inlineStr">
        <is>
          <t>Ceramic</t>
        </is>
      </c>
      <c r="H1020" s="1" t="inlineStr">
        <is>
          <t>Matt</t>
        </is>
      </c>
      <c r="I1020" t="n">
        <v>24.99</v>
      </c>
    </row>
    <row r="1021">
      <c r="A1021" s="1">
        <f>Hyperlink("https://www.tilemountain.co.uk/p/topcem-20kg-pallet-deal-50-bags.html","Product")</f>
        <v/>
      </c>
      <c r="B1021" s="1" t="inlineStr">
        <is>
          <t>024620-pd</t>
        </is>
      </c>
      <c r="C1021" s="1" t="inlineStr">
        <is>
          <t>TopCem 20kg Pallet Deal- 50 Bags</t>
        </is>
      </c>
      <c r="D1021" s="1" t="n">
        <v>629.99</v>
      </c>
      <c r="E1021" s="1" t="inlineStr">
        <is>
          <t>PALLET</t>
        </is>
      </c>
      <c r="F1021" s="1" t="inlineStr">
        <is>
          <t>Qty</t>
        </is>
      </c>
      <c r="G1021" s="1" t="inlineStr">
        <is>
          <t>-</t>
        </is>
      </c>
      <c r="H1021" s="1" t="inlineStr">
        <is>
          <t>-</t>
        </is>
      </c>
      <c r="I1021" t="n">
        <v>629.99</v>
      </c>
    </row>
    <row r="1022">
      <c r="A1022" s="1">
        <f>Hyperlink("https://www.tilemountain.co.uk/p/topcem.html","Product")</f>
        <v/>
      </c>
      <c r="B1022" s="1" t="inlineStr">
        <is>
          <t>024620</t>
        </is>
      </c>
      <c r="C1022" s="1" t="inlineStr">
        <is>
          <t>TopCem 20KG</t>
        </is>
      </c>
      <c r="D1022" s="1" t="n">
        <v>16.99</v>
      </c>
      <c r="E1022" s="1" t="inlineStr">
        <is>
          <t>-</t>
        </is>
      </c>
      <c r="F1022" s="1" t="inlineStr">
        <is>
          <t>Qty</t>
        </is>
      </c>
      <c r="G1022" s="1" t="inlineStr">
        <is>
          <t>-</t>
        </is>
      </c>
      <c r="H1022" s="1" t="inlineStr">
        <is>
          <t>-</t>
        </is>
      </c>
      <c r="I1022" t="n">
        <v>16.99</v>
      </c>
    </row>
    <row r="1023">
      <c r="A1023" s="1">
        <f>Hyperlink("https://www.tilemountain.co.uk/p/torino-grey-wall-tile.html","Product")</f>
        <v/>
      </c>
      <c r="B1023" s="1" t="inlineStr">
        <is>
          <t>452565</t>
        </is>
      </c>
      <c r="C1023" s="1" t="inlineStr">
        <is>
          <t>Torino Grey Wall Tile</t>
        </is>
      </c>
      <c r="D1023" s="1" t="n">
        <v>12.99</v>
      </c>
      <c r="E1023" s="1" t="inlineStr">
        <is>
          <t>600x300mm</t>
        </is>
      </c>
      <c r="F1023" s="1" t="inlineStr">
        <is>
          <t>m2</t>
        </is>
      </c>
      <c r="G1023" s="1" t="inlineStr">
        <is>
          <t>Ceramic</t>
        </is>
      </c>
      <c r="H1023" s="1" t="inlineStr">
        <is>
          <t>Matt</t>
        </is>
      </c>
      <c r="I1023" t="n">
        <v>12.99</v>
      </c>
    </row>
    <row r="1024">
      <c r="A1024" s="1">
        <f>Hyperlink("https://www.tilemountain.co.uk/p/torino-ivory-breeze-wall-tile.html","Product")</f>
        <v/>
      </c>
      <c r="B1024" s="1" t="inlineStr">
        <is>
          <t>452570</t>
        </is>
      </c>
      <c r="C1024" s="1" t="inlineStr">
        <is>
          <t>Torino Light Grey Breeze Wall Tile</t>
        </is>
      </c>
      <c r="D1024" s="1" t="n">
        <v>13.99</v>
      </c>
      <c r="E1024" s="1" t="inlineStr">
        <is>
          <t>600x300mm</t>
        </is>
      </c>
      <c r="F1024" s="1" t="inlineStr">
        <is>
          <t>m2</t>
        </is>
      </c>
      <c r="G1024" s="1" t="inlineStr">
        <is>
          <t>Ceramic</t>
        </is>
      </c>
      <c r="H1024" s="1" t="inlineStr">
        <is>
          <t>Matt</t>
        </is>
      </c>
      <c r="I1024" t="n">
        <v>13.99</v>
      </c>
    </row>
    <row r="1025">
      <c r="A1025" s="1">
        <f>Hyperlink("https://www.tilemountain.co.uk/p/torino-ivory-floor-tile.html","Product")</f>
        <v/>
      </c>
      <c r="B1025" s="1" t="inlineStr">
        <is>
          <t>452575</t>
        </is>
      </c>
      <c r="C1025" s="1" t="inlineStr">
        <is>
          <t>Torino Light Grey Floor Tile</t>
        </is>
      </c>
      <c r="D1025" s="1" t="n">
        <v>12.99</v>
      </c>
      <c r="E1025" s="1" t="inlineStr">
        <is>
          <t>450x450mm</t>
        </is>
      </c>
      <c r="F1025" s="1" t="inlineStr">
        <is>
          <t>m2</t>
        </is>
      </c>
      <c r="G1025" s="1" t="inlineStr">
        <is>
          <t>Ceramic</t>
        </is>
      </c>
      <c r="H1025" s="1" t="inlineStr">
        <is>
          <t>Matt</t>
        </is>
      </c>
      <c r="I1025" t="n">
        <v>12.99</v>
      </c>
    </row>
    <row r="1026">
      <c r="A1026" s="1">
        <f>Hyperlink("https://www.tilemountain.co.uk/p/torino-ivory-wall-tile.html","Product")</f>
        <v/>
      </c>
      <c r="B1026" s="1" t="inlineStr">
        <is>
          <t>452560</t>
        </is>
      </c>
      <c r="C1026" s="1" t="inlineStr">
        <is>
          <t>Torino Light Grey Wall Tile</t>
        </is>
      </c>
      <c r="D1026" s="1" t="n">
        <v>12.99</v>
      </c>
      <c r="E1026" s="1" t="inlineStr">
        <is>
          <t>600x300mm</t>
        </is>
      </c>
      <c r="F1026" s="1" t="inlineStr">
        <is>
          <t>m2</t>
        </is>
      </c>
      <c r="G1026" s="1" t="inlineStr">
        <is>
          <t>Ceramic</t>
        </is>
      </c>
      <c r="H1026" s="1" t="inlineStr">
        <is>
          <t>Matt</t>
        </is>
      </c>
      <c r="I1026" t="n">
        <v>12.99</v>
      </c>
    </row>
    <row r="1027">
      <c r="A1027" s="1">
        <f>Hyperlink("https://www.tilemountain.co.uk/p/toscana-mixed-mosaic.html","Product")</f>
        <v/>
      </c>
      <c r="B1027" s="1" t="inlineStr">
        <is>
          <t>439815</t>
        </is>
      </c>
      <c r="C1027" s="1" t="inlineStr">
        <is>
          <t>Toscana Mixed Mosaic</t>
        </is>
      </c>
      <c r="D1027" s="1" t="n">
        <v>6.99</v>
      </c>
      <c r="E1027" s="1" t="inlineStr">
        <is>
          <t>300x300mm</t>
        </is>
      </c>
      <c r="F1027" s="1" t="inlineStr">
        <is>
          <t>sheet</t>
        </is>
      </c>
      <c r="G1027" s="1" t="inlineStr">
        <is>
          <t>Porcelain</t>
        </is>
      </c>
      <c r="H1027" s="1" t="inlineStr">
        <is>
          <t>Matt</t>
        </is>
      </c>
      <c r="I1027" t="n">
        <v>6.99</v>
      </c>
    </row>
    <row r="1028">
      <c r="A1028" s="1">
        <f>Hyperlink("https://www.tilemountain.co.uk/p/toscana-silver-wall-and-floor-tile.html","Product")</f>
        <v/>
      </c>
      <c r="B1028" s="1" t="inlineStr">
        <is>
          <t>439690</t>
        </is>
      </c>
      <c r="C1028" s="1" t="inlineStr">
        <is>
          <t>Toscana Silver Rectified Wall And Floor Tiles</t>
        </is>
      </c>
      <c r="D1028" s="1" t="n">
        <v>17.99</v>
      </c>
      <c r="E1028" s="1" t="inlineStr">
        <is>
          <t>585x292mm</t>
        </is>
      </c>
      <c r="F1028" s="1" t="inlineStr">
        <is>
          <t>m2</t>
        </is>
      </c>
      <c r="G1028" s="1" t="inlineStr">
        <is>
          <t>Porcelain</t>
        </is>
      </c>
      <c r="H1028" s="1" t="inlineStr">
        <is>
          <t>Matt</t>
        </is>
      </c>
      <c r="I1028" t="n">
        <v>17.99</v>
      </c>
    </row>
    <row r="1029">
      <c r="A1029" s="1">
        <f>Hyperlink("https://www.tilemountain.co.uk/p/traditional-red-brick-quarry-tile.html","Product")</f>
        <v/>
      </c>
      <c r="B1029" s="1" t="inlineStr">
        <is>
          <t>439590</t>
        </is>
      </c>
      <c r="C1029" s="1" t="inlineStr">
        <is>
          <t>Moorland Red Brick Quarry Tiles</t>
        </is>
      </c>
      <c r="D1029" s="1" t="n">
        <v>14.99</v>
      </c>
      <c r="E1029" s="1" t="inlineStr">
        <is>
          <t>240x55mm</t>
        </is>
      </c>
      <c r="F1029" s="1" t="inlineStr">
        <is>
          <t>m2</t>
        </is>
      </c>
      <c r="G1029" s="1" t="inlineStr">
        <is>
          <t>Natural Clay</t>
        </is>
      </c>
      <c r="H1029" s="1" t="inlineStr">
        <is>
          <t>Matt</t>
        </is>
      </c>
      <c r="I1029" t="n">
        <v>14.99</v>
      </c>
    </row>
    <row r="1030">
      <c r="A1030" s="1">
        <f>Hyperlink("https://www.tilemountain.co.uk/p/trend-grafito-decor.html","Product")</f>
        <v/>
      </c>
      <c r="B1030" s="1" t="inlineStr">
        <is>
          <t>454825</t>
        </is>
      </c>
      <c r="C1030" s="1" t="inlineStr">
        <is>
          <t>Trend Black Terrazo Multicolour Wall and Floor Tile</t>
        </is>
      </c>
      <c r="D1030" s="1" t="n">
        <v>19.99</v>
      </c>
      <c r="E1030" s="1" t="inlineStr">
        <is>
          <t>600x600mm</t>
        </is>
      </c>
      <c r="F1030" s="1" t="inlineStr">
        <is>
          <t>m2</t>
        </is>
      </c>
      <c r="G1030" s="1" t="inlineStr">
        <is>
          <t>Porcelain</t>
        </is>
      </c>
      <c r="H1030" s="1" t="inlineStr">
        <is>
          <t>Matt</t>
        </is>
      </c>
      <c r="I1030" t="n">
        <v>19.99</v>
      </c>
    </row>
    <row r="1031">
      <c r="A1031" s="1">
        <f>Hyperlink("https://www.tilemountain.co.uk/p/trend-grafito.html","Product")</f>
        <v/>
      </c>
      <c r="B1031" s="1" t="inlineStr">
        <is>
          <t>454820</t>
        </is>
      </c>
      <c r="C1031" s="1" t="inlineStr">
        <is>
          <t>Trend Black Terrazo Wall and Floor Tile</t>
        </is>
      </c>
      <c r="D1031" s="1" t="n">
        <v>19.99</v>
      </c>
      <c r="E1031" s="1" t="inlineStr">
        <is>
          <t>600x600mm</t>
        </is>
      </c>
      <c r="F1031" s="1" t="inlineStr">
        <is>
          <t>m2</t>
        </is>
      </c>
      <c r="G1031" s="1" t="inlineStr">
        <is>
          <t>Porcelain</t>
        </is>
      </c>
      <c r="H1031" s="1" t="inlineStr">
        <is>
          <t>Matt</t>
        </is>
      </c>
      <c r="I1031" t="n">
        <v>19.99</v>
      </c>
    </row>
    <row r="1032">
      <c r="A1032" s="1">
        <f>Hyperlink("https://www.tilemountain.co.uk/p/trend-nacar-decor.html","Product")</f>
        <v/>
      </c>
      <c r="B1032" s="1" t="inlineStr">
        <is>
          <t>454835</t>
        </is>
      </c>
      <c r="C1032" s="1" t="inlineStr">
        <is>
          <t>Trend White Terrazo Multicolour Wall and Floor Tile</t>
        </is>
      </c>
      <c r="D1032" s="1" t="n">
        <v>19.99</v>
      </c>
      <c r="E1032" s="1" t="inlineStr">
        <is>
          <t>600x600mm</t>
        </is>
      </c>
      <c r="F1032" s="1" t="inlineStr">
        <is>
          <t>m2</t>
        </is>
      </c>
      <c r="G1032" s="1" t="inlineStr">
        <is>
          <t>Porcelain</t>
        </is>
      </c>
      <c r="H1032" s="1" t="inlineStr">
        <is>
          <t>Matt</t>
        </is>
      </c>
      <c r="I1032" t="n">
        <v>19.99</v>
      </c>
    </row>
    <row r="1033">
      <c r="A1033" s="1">
        <f>Hyperlink("https://www.tilemountain.co.uk/p/trend-nacar.html","Product")</f>
        <v/>
      </c>
      <c r="B1033" s="1" t="inlineStr">
        <is>
          <t>454830</t>
        </is>
      </c>
      <c r="C1033" s="1" t="inlineStr">
        <is>
          <t>Trend White Terrazo Wall and Floor Tile</t>
        </is>
      </c>
      <c r="D1033" s="1" t="n">
        <v>19.99</v>
      </c>
      <c r="E1033" s="1" t="inlineStr">
        <is>
          <t>600x600mm</t>
        </is>
      </c>
      <c r="F1033" s="1" t="inlineStr">
        <is>
          <t>m2</t>
        </is>
      </c>
      <c r="G1033" s="1" t="inlineStr">
        <is>
          <t>Porcelain</t>
        </is>
      </c>
      <c r="H1033" s="1" t="inlineStr">
        <is>
          <t>Matt</t>
        </is>
      </c>
      <c r="I1033" t="n">
        <v>19.99</v>
      </c>
    </row>
    <row r="1034">
      <c r="A1034" s="1">
        <f>Hyperlink("https://www.tilemountain.co.uk/p/trinity-lux-black-porcelain-wall-and-floor-tile.html","Product")</f>
        <v/>
      </c>
      <c r="B1034" s="1" t="inlineStr">
        <is>
          <t>442935</t>
        </is>
      </c>
      <c r="C1034" s="1" t="inlineStr">
        <is>
          <t>Trinity Lux Black Porcelain Wall And Floor Tiles</t>
        </is>
      </c>
      <c r="D1034" s="1" t="n">
        <v>27</v>
      </c>
      <c r="E1034" s="1" t="inlineStr">
        <is>
          <t>300x600mm</t>
        </is>
      </c>
      <c r="F1034" s="1" t="inlineStr">
        <is>
          <t>m2</t>
        </is>
      </c>
      <c r="G1034" s="1" t="inlineStr">
        <is>
          <t>Porcelain</t>
        </is>
      </c>
      <c r="H1034" s="1" t="inlineStr">
        <is>
          <t>Semi Polished</t>
        </is>
      </c>
      <c r="I1034" t="n">
        <v>27</v>
      </c>
    </row>
    <row r="1035">
      <c r="A1035" s="1">
        <f>Hyperlink("https://www.tilemountain.co.uk/p/trinity-lux-grey-porcelain-wall-and-floor-tile-3455.html","Product")</f>
        <v/>
      </c>
      <c r="B1035" s="1" t="inlineStr">
        <is>
          <t>443570</t>
        </is>
      </c>
      <c r="C1035" s="1" t="inlineStr">
        <is>
          <t>Trinity Lux Grey Porcelain Wall And Floor Tiles</t>
        </is>
      </c>
      <c r="D1035" s="1" t="n">
        <v>26.99</v>
      </c>
      <c r="E1035" s="1" t="inlineStr">
        <is>
          <t>600x600mm</t>
        </is>
      </c>
      <c r="F1035" s="1" t="inlineStr">
        <is>
          <t>m2</t>
        </is>
      </c>
      <c r="G1035" s="1" t="inlineStr">
        <is>
          <t>Porcelain</t>
        </is>
      </c>
      <c r="H1035" s="1" t="inlineStr">
        <is>
          <t>Semi Polished</t>
        </is>
      </c>
      <c r="I1035" t="n">
        <v>26.99</v>
      </c>
    </row>
    <row r="1036">
      <c r="A1036" s="1">
        <f>Hyperlink("https://www.tilemountain.co.uk/p/trinity-lux-white-porcelain-wall-and-floor-tile-3300.html","Product")</f>
        <v/>
      </c>
      <c r="B1036" s="1" t="inlineStr">
        <is>
          <t>442940</t>
        </is>
      </c>
      <c r="C1036" s="1" t="inlineStr">
        <is>
          <t>Trinity Lux White Porcelain Wall And Floor Tiles</t>
        </is>
      </c>
      <c r="D1036" s="1" t="n">
        <v>27</v>
      </c>
      <c r="E1036" s="1" t="inlineStr">
        <is>
          <t>600x600mm</t>
        </is>
      </c>
      <c r="F1036" s="1" t="inlineStr">
        <is>
          <t>m2</t>
        </is>
      </c>
      <c r="G1036" s="1" t="inlineStr">
        <is>
          <t>Porcelain</t>
        </is>
      </c>
      <c r="H1036" s="1" t="inlineStr">
        <is>
          <t>Semi Polished</t>
        </is>
      </c>
      <c r="I1036" t="n">
        <v>27</v>
      </c>
    </row>
    <row r="1037">
      <c r="A1037" s="1">
        <f>Hyperlink("https://www.tilemountain.co.uk/p/trinity-lux-white-porcelain-wall-and-floor-tile.html","Product")</f>
        <v/>
      </c>
      <c r="B1037" s="1" t="inlineStr">
        <is>
          <t>442930</t>
        </is>
      </c>
      <c r="C1037" s="1" t="inlineStr">
        <is>
          <t>Trinity Lux White Porcelain Wall And Floor Tiles</t>
        </is>
      </c>
      <c r="D1037" s="1" t="n">
        <v>27</v>
      </c>
      <c r="E1037" s="1" t="inlineStr">
        <is>
          <t>300x600mm</t>
        </is>
      </c>
      <c r="F1037" s="1" t="inlineStr">
        <is>
          <t>m2</t>
        </is>
      </c>
      <c r="G1037" s="1" t="inlineStr">
        <is>
          <t>Porcelain</t>
        </is>
      </c>
      <c r="H1037" s="1" t="inlineStr">
        <is>
          <t>Semi Polished</t>
        </is>
      </c>
      <c r="I1037" t="n">
        <v>27</v>
      </c>
    </row>
    <row r="1038">
      <c r="A1038" s="1">
        <f>Hyperlink("https://www.tilemountain.co.uk/p/ultim8-wall-tile-adhesive-5539.html","Product")</f>
        <v/>
      </c>
      <c r="B1038" s="1" t="inlineStr">
        <is>
          <t>451270</t>
        </is>
      </c>
      <c r="C1038" s="1" t="inlineStr">
        <is>
          <t>Norcros Ultim8+ Wall Tile Adhesive</t>
        </is>
      </c>
      <c r="D1038" s="1" t="n">
        <v>17.99</v>
      </c>
      <c r="E1038" s="1" t="inlineStr">
        <is>
          <t>-</t>
        </is>
      </c>
      <c r="F1038" s="1" t="inlineStr">
        <is>
          <t>Qty</t>
        </is>
      </c>
      <c r="G1038" s="1" t="inlineStr">
        <is>
          <t>-</t>
        </is>
      </c>
      <c r="H1038" s="1" t="inlineStr">
        <is>
          <t>-</t>
        </is>
      </c>
      <c r="I1038" t="n">
        <v>17.99</v>
      </c>
    </row>
    <row r="1039">
      <c r="A1039" s="1">
        <f>Hyperlink("https://www.tilemountain.co.uk/p/ultim8-wall-tile-adhesive.html","Product")</f>
        <v/>
      </c>
      <c r="B1039" s="1" t="inlineStr">
        <is>
          <t>451265</t>
        </is>
      </c>
      <c r="C1039" s="1" t="inlineStr">
        <is>
          <t>Norcros Ultim8 Wall Tile Adhesive</t>
        </is>
      </c>
      <c r="D1039" s="1" t="n">
        <v>12.99</v>
      </c>
      <c r="E1039" s="1" t="inlineStr">
        <is>
          <t>-</t>
        </is>
      </c>
      <c r="F1039" s="1" t="inlineStr">
        <is>
          <t>Qty</t>
        </is>
      </c>
      <c r="G1039" s="1" t="inlineStr">
        <is>
          <t>-</t>
        </is>
      </c>
      <c r="H1039" s="1" t="inlineStr">
        <is>
          <t>-</t>
        </is>
      </c>
      <c r="I1039" t="n">
        <v>12.99</v>
      </c>
    </row>
    <row r="1040">
      <c r="A1040" s="1">
        <f>Hyperlink("https://www.tilemountain.co.uk/p/ultracolor-anthracite-charcoal-114-flexible-grout-5kg.html","Product")</f>
        <v/>
      </c>
      <c r="B1040" s="1" t="inlineStr">
        <is>
          <t>6011405A</t>
        </is>
      </c>
      <c r="C1040" s="1" t="inlineStr">
        <is>
          <t>Ultracolor Anthracite (Charcoal) 114 Flexible Grout 5kg</t>
        </is>
      </c>
      <c r="D1040" s="1" t="n">
        <v>15.49</v>
      </c>
      <c r="E1040" s="1" t="inlineStr">
        <is>
          <t>-</t>
        </is>
      </c>
      <c r="F1040" s="1" t="inlineStr">
        <is>
          <t>Qty</t>
        </is>
      </c>
      <c r="G1040" s="1" t="inlineStr">
        <is>
          <t>-</t>
        </is>
      </c>
      <c r="H1040" s="1" t="inlineStr">
        <is>
          <t>-</t>
        </is>
      </c>
      <c r="I1040" t="n">
        <v>15.49</v>
      </c>
    </row>
    <row r="1041">
      <c r="A1041" s="1">
        <f>Hyperlink("https://www.tilemountain.co.uk/p/ultracolor-beige-132-flexible-grout-5kg.html","Product")</f>
        <v/>
      </c>
      <c r="B1041" s="1" t="inlineStr">
        <is>
          <t>6013205A</t>
        </is>
      </c>
      <c r="C1041" s="1" t="inlineStr">
        <is>
          <t>Ultracolor Beige 132 Flexible Grout 5kg</t>
        </is>
      </c>
      <c r="D1041" s="1" t="n">
        <v>15.49</v>
      </c>
      <c r="E1041" s="1" t="inlineStr">
        <is>
          <t>-</t>
        </is>
      </c>
      <c r="F1041" s="1" t="inlineStr">
        <is>
          <t>Qty</t>
        </is>
      </c>
      <c r="G1041" s="1" t="inlineStr">
        <is>
          <t>-</t>
        </is>
      </c>
      <c r="H1041" s="1" t="inlineStr">
        <is>
          <t>-</t>
        </is>
      </c>
      <c r="I1041" t="n">
        <v>15.49</v>
      </c>
    </row>
    <row r="1042">
      <c r="A1042" s="1">
        <f>Hyperlink("https://www.tilemountain.co.uk/p/ultracolor-beige-132-grout-2kg.html","Product")</f>
        <v/>
      </c>
      <c r="B1042" s="1" t="inlineStr">
        <is>
          <t>6013202A</t>
        </is>
      </c>
      <c r="C1042" s="1" t="inlineStr">
        <is>
          <t>Ultracolor Beige 132 Grout 2kg</t>
        </is>
      </c>
      <c r="D1042" s="1" t="n">
        <v>8.99</v>
      </c>
      <c r="E1042" s="1" t="inlineStr">
        <is>
          <t>-</t>
        </is>
      </c>
      <c r="F1042" s="1" t="inlineStr">
        <is>
          <t>Qty</t>
        </is>
      </c>
      <c r="G1042" s="1" t="inlineStr">
        <is>
          <t>-</t>
        </is>
      </c>
      <c r="H1042" s="1" t="inlineStr">
        <is>
          <t>-</t>
        </is>
      </c>
      <c r="I1042" t="n">
        <v>8.99</v>
      </c>
    </row>
    <row r="1043">
      <c r="A1043" s="1">
        <f>Hyperlink("https://www.tilemountain.co.uk/p/ultracolor-black-120-grout-2kg.html","Product")</f>
        <v/>
      </c>
      <c r="B1043" s="1" t="inlineStr">
        <is>
          <t>6012002A</t>
        </is>
      </c>
      <c r="C1043" s="1" t="inlineStr">
        <is>
          <t>Ultracolor Black 120 Grout 2kg</t>
        </is>
      </c>
      <c r="D1043" s="1" t="n">
        <v>8.99</v>
      </c>
      <c r="E1043" s="1" t="inlineStr">
        <is>
          <t>-</t>
        </is>
      </c>
      <c r="F1043" s="1" t="inlineStr">
        <is>
          <t>Qty</t>
        </is>
      </c>
      <c r="G1043" s="1" t="inlineStr">
        <is>
          <t>-</t>
        </is>
      </c>
      <c r="H1043" s="1" t="inlineStr">
        <is>
          <t>-</t>
        </is>
      </c>
      <c r="I1043" t="n">
        <v>8.99</v>
      </c>
    </row>
    <row r="1044">
      <c r="A1044" s="1">
        <f>Hyperlink("https://www.tilemountain.co.uk/p/ultracolor-brown-142-flexible-grout-2kg.html","Product")</f>
        <v/>
      </c>
      <c r="B1044" s="1" t="inlineStr">
        <is>
          <t>6014202A</t>
        </is>
      </c>
      <c r="C1044" s="1" t="inlineStr">
        <is>
          <t>Ultracolor Brown 142 Flexible Grout 2kg</t>
        </is>
      </c>
      <c r="D1044" s="1" t="n">
        <v>8.99</v>
      </c>
      <c r="E1044" s="1" t="inlineStr">
        <is>
          <t>-</t>
        </is>
      </c>
      <c r="F1044" s="1" t="inlineStr">
        <is>
          <t>Qty</t>
        </is>
      </c>
      <c r="G1044" s="1" t="inlineStr">
        <is>
          <t>-</t>
        </is>
      </c>
      <c r="H1044" s="1" t="inlineStr">
        <is>
          <t>-</t>
        </is>
      </c>
      <c r="I1044" t="n">
        <v>8.99</v>
      </c>
    </row>
    <row r="1045">
      <c r="A1045" s="1">
        <f>Hyperlink("https://www.tilemountain.co.uk/p/ultracolor-brown-142-flexible-grout-5kg.html","Product")</f>
        <v/>
      </c>
      <c r="B1045" s="1" t="inlineStr">
        <is>
          <t>435120</t>
        </is>
      </c>
      <c r="C1045" s="1" t="inlineStr">
        <is>
          <t>Ultracolor Brown 142 Flexible Grout 5kg</t>
        </is>
      </c>
      <c r="D1045" s="1" t="n">
        <v>15.49</v>
      </c>
      <c r="E1045" s="1" t="inlineStr">
        <is>
          <t>-</t>
        </is>
      </c>
      <c r="F1045" s="1" t="inlineStr">
        <is>
          <t>Qty</t>
        </is>
      </c>
      <c r="G1045" s="1" t="inlineStr">
        <is>
          <t>-</t>
        </is>
      </c>
      <c r="H1045" s="1" t="inlineStr">
        <is>
          <t>-</t>
        </is>
      </c>
      <c r="I1045" t="n">
        <v>15.49</v>
      </c>
    </row>
    <row r="1046">
      <c r="A1046" s="1">
        <f>Hyperlink("https://www.tilemountain.co.uk/p/ultracolor-cement-grey-113-flexible-grout-5kg.html","Product")</f>
        <v/>
      </c>
      <c r="B1046" s="1" t="inlineStr">
        <is>
          <t>6011305A</t>
        </is>
      </c>
      <c r="C1046" s="1" t="inlineStr">
        <is>
          <t>Ultracolor Cement Grey 113 Flexible Grout 5kg</t>
        </is>
      </c>
      <c r="D1046" s="1" t="n">
        <v>15.49</v>
      </c>
      <c r="E1046" s="1" t="inlineStr">
        <is>
          <t>-</t>
        </is>
      </c>
      <c r="F1046" s="1" t="inlineStr">
        <is>
          <t>Qty</t>
        </is>
      </c>
      <c r="G1046" s="1" t="inlineStr">
        <is>
          <t>-</t>
        </is>
      </c>
      <c r="H1046" s="1" t="inlineStr">
        <is>
          <t>-</t>
        </is>
      </c>
      <c r="I1046" t="n">
        <v>15.49</v>
      </c>
    </row>
    <row r="1047">
      <c r="A1047" s="1">
        <f>Hyperlink("https://www.tilemountain.co.uk/p/ultracolor-cement-grey-113-grout-2kg.html","Product")</f>
        <v/>
      </c>
      <c r="B1047" s="1" t="inlineStr">
        <is>
          <t>6011302A</t>
        </is>
      </c>
      <c r="C1047" s="1" t="inlineStr">
        <is>
          <t>Ultracolor Cement Grey 113 Grout 2kg</t>
        </is>
      </c>
      <c r="D1047" s="1" t="n">
        <v>8.99</v>
      </c>
      <c r="E1047" s="1" t="inlineStr">
        <is>
          <t>-</t>
        </is>
      </c>
      <c r="F1047" s="1" t="inlineStr">
        <is>
          <t>Qty</t>
        </is>
      </c>
      <c r="G1047" s="1" t="inlineStr">
        <is>
          <t>-</t>
        </is>
      </c>
      <c r="H1047" s="1" t="inlineStr">
        <is>
          <t>-</t>
        </is>
      </c>
      <c r="I1047" t="n">
        <v>8.99</v>
      </c>
    </row>
    <row r="1048">
      <c r="A1048" s="1">
        <f>Hyperlink("https://www.tilemountain.co.uk/p/ultracolor-chocolate-144-flexible-grout-5kg.html","Product")</f>
        <v/>
      </c>
      <c r="B1048" s="1" t="inlineStr">
        <is>
          <t>6014405A</t>
        </is>
      </c>
      <c r="C1048" s="1" t="inlineStr">
        <is>
          <t>Ultracolor Chocolate 144 Flexible Grout 5kg</t>
        </is>
      </c>
      <c r="D1048" s="1" t="n">
        <v>15.49</v>
      </c>
      <c r="E1048" s="1" t="inlineStr">
        <is>
          <t>-</t>
        </is>
      </c>
      <c r="F1048" s="1" t="inlineStr">
        <is>
          <t>Qty</t>
        </is>
      </c>
      <c r="G1048" s="1" t="inlineStr">
        <is>
          <t>-</t>
        </is>
      </c>
      <c r="H1048" s="1" t="inlineStr">
        <is>
          <t>-</t>
        </is>
      </c>
      <c r="I1048" t="n">
        <v>15.49</v>
      </c>
    </row>
    <row r="1049">
      <c r="A1049" s="1">
        <f>Hyperlink("https://www.tilemountain.co.uk/p/ultracolor-golden-dust-135-flexible-grout-5kg.html","Product")</f>
        <v/>
      </c>
      <c r="B1049" s="1" t="inlineStr">
        <is>
          <t>6013505A</t>
        </is>
      </c>
      <c r="C1049" s="1" t="inlineStr">
        <is>
          <t>Ultracolor Golden Dust 135 Flexible Grout 5kg</t>
        </is>
      </c>
      <c r="D1049" s="1" t="n">
        <v>15.49</v>
      </c>
      <c r="E1049" s="1" t="inlineStr">
        <is>
          <t>-</t>
        </is>
      </c>
      <c r="F1049" s="1" t="inlineStr">
        <is>
          <t>Qty</t>
        </is>
      </c>
      <c r="G1049" s="1" t="inlineStr">
        <is>
          <t>-</t>
        </is>
      </c>
      <c r="H1049" s="1" t="inlineStr">
        <is>
          <t>-</t>
        </is>
      </c>
      <c r="I1049" t="n">
        <v>15.49</v>
      </c>
    </row>
    <row r="1050">
      <c r="A1050" s="1">
        <f>Hyperlink("https://www.tilemountain.co.uk/p/ultracolor-jasmine-130-grout-2kg.html","Product")</f>
        <v/>
      </c>
      <c r="B1050" s="1" t="inlineStr">
        <is>
          <t>6013002A</t>
        </is>
      </c>
      <c r="C1050" s="1" t="inlineStr">
        <is>
          <t>Ultracolor Jasmine 130 Grout 2kg</t>
        </is>
      </c>
      <c r="D1050" s="1" t="n">
        <v>8.99</v>
      </c>
      <c r="E1050" s="1" t="inlineStr">
        <is>
          <t>-</t>
        </is>
      </c>
      <c r="F1050" s="1" t="inlineStr">
        <is>
          <t>Qty</t>
        </is>
      </c>
      <c r="G1050" s="1" t="inlineStr">
        <is>
          <t>-</t>
        </is>
      </c>
      <c r="H1050" s="1" t="inlineStr">
        <is>
          <t>-</t>
        </is>
      </c>
      <c r="I1050" t="n">
        <v>8.99</v>
      </c>
    </row>
    <row r="1051">
      <c r="A1051" s="1">
        <f>Hyperlink("https://www.tilemountain.co.uk/p/ultracolor-jasmine-cream-130-flexible-grout-5kg.html","Product")</f>
        <v/>
      </c>
      <c r="B1051" s="1" t="inlineStr">
        <is>
          <t>6013005A</t>
        </is>
      </c>
      <c r="C1051" s="1" t="inlineStr">
        <is>
          <t>Ultracolor Jasmine (Cream) 130 Flexible Grout 5kg</t>
        </is>
      </c>
      <c r="D1051" s="1" t="n">
        <v>15.49</v>
      </c>
      <c r="E1051" s="1" t="inlineStr">
        <is>
          <t>-</t>
        </is>
      </c>
      <c r="F1051" s="1" t="inlineStr">
        <is>
          <t>Qty</t>
        </is>
      </c>
      <c r="G1051" s="1" t="inlineStr">
        <is>
          <t>-</t>
        </is>
      </c>
      <c r="H1051" s="1" t="inlineStr">
        <is>
          <t>-</t>
        </is>
      </c>
      <c r="I1051" t="n">
        <v>15.49</v>
      </c>
    </row>
    <row r="1052">
      <c r="A1052" s="1">
        <f>Hyperlink("https://www.tilemountain.co.uk/p/ultracolor-limestone-299-flexible-grout-5kg.html","Product")</f>
        <v/>
      </c>
      <c r="B1052" s="1" t="inlineStr">
        <is>
          <t>6029905A</t>
        </is>
      </c>
      <c r="C1052" s="1" t="inlineStr">
        <is>
          <t>Ultracolor Limestone 299 Flexible Grout 5kg</t>
        </is>
      </c>
      <c r="D1052" s="1" t="n">
        <v>15.49</v>
      </c>
      <c r="E1052" s="1" t="inlineStr">
        <is>
          <t>-</t>
        </is>
      </c>
      <c r="F1052" s="1" t="inlineStr">
        <is>
          <t>Qty</t>
        </is>
      </c>
      <c r="G1052" s="1" t="inlineStr">
        <is>
          <t>-</t>
        </is>
      </c>
      <c r="H1052" s="1" t="inlineStr">
        <is>
          <t>-</t>
        </is>
      </c>
      <c r="I1052" t="n">
        <v>15.49</v>
      </c>
    </row>
    <row r="1053">
      <c r="A1053" s="1">
        <f>Hyperlink("https://www.tilemountain.co.uk/p/ultracolor-london-grey-119-5kg.html","Product")</f>
        <v/>
      </c>
      <c r="B1053" s="1" t="inlineStr">
        <is>
          <t>6011905A</t>
        </is>
      </c>
      <c r="C1053" s="1" t="inlineStr">
        <is>
          <t>Ultracolor London Grey 119   5kg</t>
        </is>
      </c>
      <c r="D1053" s="1" t="n">
        <v>15.49</v>
      </c>
      <c r="E1053" s="1" t="inlineStr">
        <is>
          <t>-</t>
        </is>
      </c>
      <c r="F1053" s="1" t="inlineStr">
        <is>
          <t>Qty</t>
        </is>
      </c>
      <c r="G1053" s="1" t="inlineStr">
        <is>
          <t>-</t>
        </is>
      </c>
      <c r="H1053" s="1" t="inlineStr">
        <is>
          <t>-</t>
        </is>
      </c>
      <c r="I1053" t="n">
        <v>15.49</v>
      </c>
    </row>
    <row r="1054">
      <c r="A1054" s="1">
        <f>Hyperlink("https://www.tilemountain.co.uk/p/ultracolor-manhattan-110-grout-2kg.html","Product")</f>
        <v/>
      </c>
      <c r="B1054" s="1" t="inlineStr">
        <is>
          <t>6011002A</t>
        </is>
      </c>
      <c r="C1054" s="1" t="inlineStr">
        <is>
          <t>Ultracolor Manhattan 110 Grout 2kg</t>
        </is>
      </c>
      <c r="D1054" s="1" t="n">
        <v>8.99</v>
      </c>
      <c r="E1054" s="1" t="inlineStr">
        <is>
          <t>-</t>
        </is>
      </c>
      <c r="F1054" s="1" t="inlineStr">
        <is>
          <t>Qty</t>
        </is>
      </c>
      <c r="G1054" s="1" t="inlineStr">
        <is>
          <t>-</t>
        </is>
      </c>
      <c r="H1054" s="1" t="inlineStr">
        <is>
          <t>-</t>
        </is>
      </c>
      <c r="I1054" t="n">
        <v>8.99</v>
      </c>
    </row>
    <row r="1055">
      <c r="A1055" s="1">
        <f>Hyperlink("https://www.tilemountain.co.uk/p/ultracolor-manhattan-light-grey-110-flexible-grout-5kg.html","Product")</f>
        <v/>
      </c>
      <c r="B1055" s="1" t="inlineStr">
        <is>
          <t>6011005A</t>
        </is>
      </c>
      <c r="C1055" s="1" t="inlineStr">
        <is>
          <t>Ultracolor Manhattan (Light Grey) 110 Flexible Grout 5kg</t>
        </is>
      </c>
      <c r="D1055" s="1" t="n">
        <v>15.49</v>
      </c>
      <c r="E1055" s="1" t="inlineStr">
        <is>
          <t>-</t>
        </is>
      </c>
      <c r="F1055" s="1" t="inlineStr">
        <is>
          <t>Qty</t>
        </is>
      </c>
      <c r="G1055" s="1" t="inlineStr">
        <is>
          <t>-</t>
        </is>
      </c>
      <c r="H1055" s="1" t="inlineStr">
        <is>
          <t>-</t>
        </is>
      </c>
      <c r="I1055" t="n">
        <v>15.49</v>
      </c>
    </row>
    <row r="1056">
      <c r="A1056" s="1">
        <f>Hyperlink("https://www.tilemountain.co.uk/p/ultracolor-medium-grey-112-flexible-grout-5kg.html","Product")</f>
        <v/>
      </c>
      <c r="B1056" s="1" t="inlineStr">
        <is>
          <t>6011205A</t>
        </is>
      </c>
      <c r="C1056" s="1" t="inlineStr">
        <is>
          <t>Ultracolor Medium Grey 112 Flexible Grout 5kg</t>
        </is>
      </c>
      <c r="D1056" s="1" t="n">
        <v>15.49</v>
      </c>
      <c r="E1056" s="1" t="inlineStr">
        <is>
          <t>-</t>
        </is>
      </c>
      <c r="F1056" s="1" t="inlineStr">
        <is>
          <t>Qty</t>
        </is>
      </c>
      <c r="G1056" s="1" t="inlineStr">
        <is>
          <t>-</t>
        </is>
      </c>
      <c r="H1056" s="1" t="inlineStr">
        <is>
          <t>-</t>
        </is>
      </c>
      <c r="I1056" t="n">
        <v>15.49</v>
      </c>
    </row>
    <row r="1057">
      <c r="A1057" s="1">
        <f>Hyperlink("https://www.tilemountain.co.uk/p/ultracolor-moon-white-103-flexible-grout-5kg.html","Product")</f>
        <v/>
      </c>
      <c r="B1057" s="1" t="inlineStr">
        <is>
          <t>6010305A</t>
        </is>
      </c>
      <c r="C1057" s="1" t="inlineStr">
        <is>
          <t>Ultracolor Moon White 103 Flexible Grout 5kg</t>
        </is>
      </c>
      <c r="D1057" s="1" t="n">
        <v>14.99</v>
      </c>
      <c r="E1057" s="1" t="inlineStr">
        <is>
          <t>-</t>
        </is>
      </c>
      <c r="F1057" s="1" t="inlineStr">
        <is>
          <t>Qty</t>
        </is>
      </c>
      <c r="G1057" s="1" t="inlineStr">
        <is>
          <t>-</t>
        </is>
      </c>
      <c r="H1057" s="1" t="inlineStr">
        <is>
          <t>-</t>
        </is>
      </c>
      <c r="I1057" t="n">
        <v>14.99</v>
      </c>
    </row>
    <row r="1058">
      <c r="A1058" s="1">
        <f>Hyperlink("https://www.tilemountain.co.uk/p/ultracolor-sand-133-flexible-grout-5kg.html","Product")</f>
        <v/>
      </c>
      <c r="B1058" s="1" t="inlineStr">
        <is>
          <t>6013305A</t>
        </is>
      </c>
      <c r="C1058" s="1" t="inlineStr">
        <is>
          <t>Ultracolor Sand 133 Flexible Grout 5kg</t>
        </is>
      </c>
      <c r="D1058" s="1" t="n">
        <v>15.49</v>
      </c>
      <c r="E1058" s="1" t="inlineStr">
        <is>
          <t>-</t>
        </is>
      </c>
      <c r="F1058" s="1" t="inlineStr">
        <is>
          <t>Qty</t>
        </is>
      </c>
      <c r="G1058" s="1" t="inlineStr">
        <is>
          <t>-</t>
        </is>
      </c>
      <c r="H1058" s="1" t="inlineStr">
        <is>
          <t>-</t>
        </is>
      </c>
      <c r="I1058" t="n">
        <v>15.49</v>
      </c>
    </row>
    <row r="1059">
      <c r="A1059" s="1">
        <f>Hyperlink("https://www.tilemountain.co.uk/p/ultracolor-silk-134-flexible-grout-5kg.html","Product")</f>
        <v/>
      </c>
      <c r="B1059" s="1" t="inlineStr">
        <is>
          <t>6013405A</t>
        </is>
      </c>
      <c r="C1059" s="1" t="inlineStr">
        <is>
          <t>Ultracolor Silk 134 Flexible Grout 5kg</t>
        </is>
      </c>
      <c r="D1059" s="1" t="n">
        <v>15.49</v>
      </c>
      <c r="E1059" s="1" t="inlineStr">
        <is>
          <t>-</t>
        </is>
      </c>
      <c r="F1059" s="1" t="inlineStr">
        <is>
          <t>Qty</t>
        </is>
      </c>
      <c r="G1059" s="1" t="inlineStr">
        <is>
          <t>-</t>
        </is>
      </c>
      <c r="H1059" s="1" t="inlineStr">
        <is>
          <t>-</t>
        </is>
      </c>
      <c r="I1059" t="n">
        <v>15.49</v>
      </c>
    </row>
    <row r="1060">
      <c r="A1060" s="1">
        <f>Hyperlink("https://www.tilemountain.co.uk/p/ultracolor-silver-grey-111-flexible-5kg.html","Product")</f>
        <v/>
      </c>
      <c r="B1060" s="1" t="inlineStr">
        <is>
          <t>6011105A</t>
        </is>
      </c>
      <c r="C1060" s="1" t="inlineStr">
        <is>
          <t>Ultracolor Silver Grey 111 Flexible 5kg</t>
        </is>
      </c>
      <c r="D1060" s="1" t="n">
        <v>15.49</v>
      </c>
      <c r="E1060" s="1" t="inlineStr">
        <is>
          <t>-</t>
        </is>
      </c>
      <c r="F1060" s="1" t="inlineStr">
        <is>
          <t>Qty</t>
        </is>
      </c>
      <c r="G1060" s="1" t="inlineStr">
        <is>
          <t>-</t>
        </is>
      </c>
      <c r="H1060" s="1" t="inlineStr">
        <is>
          <t>-</t>
        </is>
      </c>
      <c r="I1060" t="n">
        <v>15.49</v>
      </c>
    </row>
    <row r="1061">
      <c r="A1061" s="1">
        <f>Hyperlink("https://www.tilemountain.co.uk/p/ultracolor-silver-grey-111-flexible-grout-2kg.html","Product")</f>
        <v/>
      </c>
      <c r="B1061" s="1" t="inlineStr">
        <is>
          <t>6011102A</t>
        </is>
      </c>
      <c r="C1061" s="1" t="inlineStr">
        <is>
          <t>Ultracolor Silver Grey 111 Flexible Grout 2kg</t>
        </is>
      </c>
      <c r="D1061" s="1" t="n">
        <v>8.99</v>
      </c>
      <c r="E1061" s="1" t="inlineStr">
        <is>
          <t>-</t>
        </is>
      </c>
      <c r="F1061" s="1" t="inlineStr">
        <is>
          <t>Qty</t>
        </is>
      </c>
      <c r="G1061" s="1" t="inlineStr">
        <is>
          <t>-</t>
        </is>
      </c>
      <c r="H1061" s="1" t="inlineStr">
        <is>
          <t>-</t>
        </is>
      </c>
      <c r="I1061" t="n">
        <v>8.99</v>
      </c>
    </row>
    <row r="1062">
      <c r="A1062" s="1">
        <f>Hyperlink("https://www.tilemountain.co.uk/p/ultracolor-tornado-174-flexible-grout-5kg.html","Product")</f>
        <v/>
      </c>
      <c r="B1062" s="1" t="inlineStr">
        <is>
          <t>6017405A</t>
        </is>
      </c>
      <c r="C1062" s="1" t="inlineStr">
        <is>
          <t>Ultracolor Tornado 174 Flexible Grout 5kg</t>
        </is>
      </c>
      <c r="D1062" s="1" t="n">
        <v>15.49</v>
      </c>
      <c r="E1062" s="1" t="inlineStr">
        <is>
          <t>-</t>
        </is>
      </c>
      <c r="F1062" s="1" t="inlineStr">
        <is>
          <t>Qty</t>
        </is>
      </c>
      <c r="G1062" s="1" t="inlineStr">
        <is>
          <t>-</t>
        </is>
      </c>
      <c r="H1062" s="1" t="inlineStr">
        <is>
          <t>-</t>
        </is>
      </c>
      <c r="I1062" t="n">
        <v>15.49</v>
      </c>
    </row>
    <row r="1063">
      <c r="A1063" s="1">
        <f>Hyperlink("https://www.tilemountain.co.uk/p/ultracolor-violet-162-flexible-grout-5kg.html","Product")</f>
        <v/>
      </c>
      <c r="B1063" s="1" t="inlineStr">
        <is>
          <t>6016205A</t>
        </is>
      </c>
      <c r="C1063" s="1" t="inlineStr">
        <is>
          <t>Ultracolor Violet 162 Flexible Grout 5kg</t>
        </is>
      </c>
      <c r="D1063" s="1" t="n">
        <v>15.49</v>
      </c>
      <c r="E1063" s="1" t="inlineStr">
        <is>
          <t>-</t>
        </is>
      </c>
      <c r="F1063" s="1" t="inlineStr">
        <is>
          <t>Qty</t>
        </is>
      </c>
      <c r="G1063" s="1" t="inlineStr">
        <is>
          <t>-</t>
        </is>
      </c>
      <c r="H1063" s="1" t="inlineStr">
        <is>
          <t>-</t>
        </is>
      </c>
      <c r="I1063" t="n">
        <v>15.49</v>
      </c>
    </row>
    <row r="1064">
      <c r="A1064" s="1">
        <f>Hyperlink("https://www.tilemountain.co.uk/p/ultracolor-volcano-sand-149-flexible-grout-5kg.html","Product")</f>
        <v/>
      </c>
      <c r="B1064" s="1" t="inlineStr">
        <is>
          <t>6014905A</t>
        </is>
      </c>
      <c r="C1064" s="1" t="inlineStr">
        <is>
          <t>Ultracolor Volcano Sand 149 Flexible Grout 5kg</t>
        </is>
      </c>
      <c r="D1064" s="1" t="n">
        <v>15.49</v>
      </c>
      <c r="E1064" s="1" t="inlineStr">
        <is>
          <t>-</t>
        </is>
      </c>
      <c r="F1064" s="1" t="inlineStr">
        <is>
          <t>Qty</t>
        </is>
      </c>
      <c r="G1064" s="1" t="inlineStr">
        <is>
          <t>-</t>
        </is>
      </c>
      <c r="H1064" s="1" t="inlineStr">
        <is>
          <t>-</t>
        </is>
      </c>
      <c r="I1064" t="n">
        <v>15.49</v>
      </c>
    </row>
    <row r="1065">
      <c r="A1065" s="1">
        <f>Hyperlink("https://www.tilemountain.co.uk/p/ultracolor-white-100-flexible-grout-5kg.html","Product")</f>
        <v/>
      </c>
      <c r="B1065" s="1" t="inlineStr">
        <is>
          <t>6010005A</t>
        </is>
      </c>
      <c r="C1065" s="1" t="inlineStr">
        <is>
          <t>Ultracolor White 100 Flexible Grout 5kg</t>
        </is>
      </c>
      <c r="D1065" s="1" t="n">
        <v>15.49</v>
      </c>
      <c r="E1065" s="1" t="inlineStr">
        <is>
          <t>5kg</t>
        </is>
      </c>
      <c r="F1065" s="1" t="inlineStr">
        <is>
          <t>Qty</t>
        </is>
      </c>
      <c r="G1065" s="1" t="inlineStr">
        <is>
          <t>-</t>
        </is>
      </c>
      <c r="H1065" s="1" t="inlineStr">
        <is>
          <t>-</t>
        </is>
      </c>
      <c r="I1065" t="n">
        <v>15.49</v>
      </c>
    </row>
    <row r="1066">
      <c r="A1066" s="1">
        <f>Hyperlink("https://www.tilemountain.co.uk/p/ultracolor-white-100-grout-2kg.html","Product")</f>
        <v/>
      </c>
      <c r="B1066" s="1" t="inlineStr">
        <is>
          <t>6010002A</t>
        </is>
      </c>
      <c r="C1066" s="1" t="inlineStr">
        <is>
          <t>Ultracolor White 100 Grout 2kg</t>
        </is>
      </c>
      <c r="D1066" s="1" t="n">
        <v>8.99</v>
      </c>
      <c r="E1066" s="1" t="inlineStr">
        <is>
          <t>-</t>
        </is>
      </c>
      <c r="F1066" s="1" t="inlineStr">
        <is>
          <t>Qty</t>
        </is>
      </c>
      <c r="G1066" s="1" t="inlineStr">
        <is>
          <t>-</t>
        </is>
      </c>
      <c r="H1066" s="1" t="inlineStr">
        <is>
          <t>-</t>
        </is>
      </c>
      <c r="I1066" t="n">
        <v>8.99</v>
      </c>
    </row>
    <row r="1067">
      <c r="A1067" s="1">
        <f>Hyperlink("https://www.tilemountain.co.uk/p/ultraplan-renovation-levelling-compound-25kg-pallet-deal-40-bags.html","Product")</f>
        <v/>
      </c>
      <c r="B1067" s="1" t="inlineStr">
        <is>
          <t>0124325-pd</t>
        </is>
      </c>
      <c r="C1067" s="1" t="inlineStr">
        <is>
          <t>Ultraplan Renovation Levelling Compound 25kg Pallet Deal- 40 Bags</t>
        </is>
      </c>
      <c r="D1067" s="1" t="n">
        <v>599.99</v>
      </c>
      <c r="E1067" s="1" t="inlineStr">
        <is>
          <t>PALLET</t>
        </is>
      </c>
      <c r="F1067" s="1" t="inlineStr">
        <is>
          <t>Qty</t>
        </is>
      </c>
      <c r="G1067" s="1" t="inlineStr">
        <is>
          <t>-</t>
        </is>
      </c>
      <c r="H1067" s="1" t="inlineStr">
        <is>
          <t>-</t>
        </is>
      </c>
      <c r="I1067" t="n">
        <v>599.99</v>
      </c>
    </row>
    <row r="1068">
      <c r="A1068" s="1">
        <f>Hyperlink("https://www.tilemountain.co.uk/p/ultraplan-renovation-levelling-compound-25kg.html","Product")</f>
        <v/>
      </c>
      <c r="B1068" s="1" t="inlineStr">
        <is>
          <t>0124325</t>
        </is>
      </c>
      <c r="C1068" s="1" t="inlineStr">
        <is>
          <t>Ultraplan Renovation Levelling Compound 25kg</t>
        </is>
      </c>
      <c r="D1068" s="1" t="n">
        <v>19.49</v>
      </c>
      <c r="E1068" s="1" t="inlineStr">
        <is>
          <t>-</t>
        </is>
      </c>
      <c r="F1068" s="1" t="inlineStr">
        <is>
          <t>Qty</t>
        </is>
      </c>
      <c r="G1068" s="1" t="inlineStr">
        <is>
          <t>-</t>
        </is>
      </c>
      <c r="H1068" s="1" t="inlineStr">
        <is>
          <t>-</t>
        </is>
      </c>
      <c r="I1068" t="n">
        <v>19.49</v>
      </c>
    </row>
    <row r="1069">
      <c r="A1069" s="1">
        <f>Hyperlink("https://www.tilemountain.co.uk/p/uncoupling-membrane.html","Product")</f>
        <v/>
      </c>
      <c r="B1069" s="1" t="inlineStr">
        <is>
          <t>450910</t>
        </is>
      </c>
      <c r="C1069" s="1" t="inlineStr">
        <is>
          <t>Uncoupling Membrane</t>
        </is>
      </c>
      <c r="D1069" s="1" t="n">
        <v>199.99</v>
      </c>
      <c r="E1069" s="1" t="inlineStr">
        <is>
          <t>-</t>
        </is>
      </c>
      <c r="F1069" s="1" t="inlineStr">
        <is>
          <t>Qty</t>
        </is>
      </c>
      <c r="G1069" s="1" t="inlineStr">
        <is>
          <t>-</t>
        </is>
      </c>
      <c r="H1069" s="1" t="inlineStr">
        <is>
          <t>-</t>
        </is>
      </c>
      <c r="I1069" t="n">
        <v>199.99</v>
      </c>
    </row>
    <row r="1070">
      <c r="A1070" s="1">
        <f>Hyperlink("https://www.tilemountain.co.uk/p/underground-black.html","Product")</f>
        <v/>
      </c>
      <c r="B1070" s="1" t="inlineStr">
        <is>
          <t>435625</t>
        </is>
      </c>
      <c r="C1070" s="1" t="inlineStr">
        <is>
          <t>Underground Black</t>
        </is>
      </c>
      <c r="D1070" s="1" t="n">
        <v>15.99</v>
      </c>
      <c r="E1070" s="1" t="inlineStr">
        <is>
          <t>200x100mm</t>
        </is>
      </c>
      <c r="F1070" s="1" t="inlineStr">
        <is>
          <t>m2</t>
        </is>
      </c>
      <c r="G1070" s="1" t="inlineStr">
        <is>
          <t>Ceramic</t>
        </is>
      </c>
      <c r="H1070" s="1" t="inlineStr">
        <is>
          <t>Gloss</t>
        </is>
      </c>
      <c r="I1070" t="n">
        <v>15.99</v>
      </c>
    </row>
    <row r="1071">
      <c r="A1071" s="1">
        <f>Hyperlink("https://www.tilemountain.co.uk/p/underground-grey-brick-10x20.html","Product")</f>
        <v/>
      </c>
      <c r="B1071" s="1" t="inlineStr">
        <is>
          <t>403075</t>
        </is>
      </c>
      <c r="C1071" s="1" t="inlineStr">
        <is>
          <t>Underground Grey</t>
        </is>
      </c>
      <c r="D1071" s="1" t="n">
        <v>15.99</v>
      </c>
      <c r="E1071" s="1" t="inlineStr">
        <is>
          <t>200x100mm</t>
        </is>
      </c>
      <c r="F1071" s="1" t="inlineStr">
        <is>
          <t>m2</t>
        </is>
      </c>
      <c r="G1071" s="1" t="inlineStr">
        <is>
          <t>Ceramic</t>
        </is>
      </c>
      <c r="H1071" s="1" t="inlineStr">
        <is>
          <t>Gloss</t>
        </is>
      </c>
      <c r="I1071" t="n">
        <v>15.99</v>
      </c>
    </row>
    <row r="1072">
      <c r="A1072" s="1">
        <f>Hyperlink("https://www.tilemountain.co.uk/p/underground-red.html","Product")</f>
        <v/>
      </c>
      <c r="B1072" s="1" t="inlineStr">
        <is>
          <t>435630</t>
        </is>
      </c>
      <c r="C1072" s="1" t="inlineStr">
        <is>
          <t>Underground Red</t>
        </is>
      </c>
      <c r="D1072" s="1" t="n">
        <v>19.99</v>
      </c>
      <c r="E1072" s="1" t="inlineStr">
        <is>
          <t>200x100mm</t>
        </is>
      </c>
      <c r="F1072" s="1" t="inlineStr">
        <is>
          <t>m2</t>
        </is>
      </c>
      <c r="G1072" s="1" t="inlineStr">
        <is>
          <t>Ceramic</t>
        </is>
      </c>
      <c r="H1072" s="1" t="inlineStr">
        <is>
          <t>Gloss</t>
        </is>
      </c>
      <c r="I1072" t="n">
        <v>19.99</v>
      </c>
    </row>
    <row r="1073">
      <c r="A1073" s="1">
        <f>Hyperlink("https://www.tilemountain.co.uk/p/underground-white.html","Product")</f>
        <v/>
      </c>
      <c r="B1073" s="1" t="inlineStr">
        <is>
          <t>435620</t>
        </is>
      </c>
      <c r="C1073" s="1" t="inlineStr">
        <is>
          <t>Underground White</t>
        </is>
      </c>
      <c r="D1073" s="1" t="n">
        <v>11.99</v>
      </c>
      <c r="E1073" s="1" t="inlineStr">
        <is>
          <t>200x100mm</t>
        </is>
      </c>
      <c r="F1073" s="1" t="inlineStr">
        <is>
          <t>m2</t>
        </is>
      </c>
      <c r="G1073" s="1" t="inlineStr">
        <is>
          <t>Ceramic</t>
        </is>
      </c>
      <c r="H1073" s="1" t="inlineStr">
        <is>
          <t>Gloss</t>
        </is>
      </c>
      <c r="I1073" t="n">
        <v>11.99</v>
      </c>
    </row>
    <row r="1074">
      <c r="A1074" s="1">
        <f>Hyperlink("https://www.tilemountain.co.uk/p/unfilled-tumbled-travertine-floor-tile-406x610-37-6-sqm.html","Product")</f>
        <v/>
      </c>
      <c r="B1074" s="1" t="inlineStr">
        <is>
          <t>435975</t>
        </is>
      </c>
      <c r="C1074" s="1" t="inlineStr">
        <is>
          <t>Unfilled Tumbled Travertine Floor Tile</t>
        </is>
      </c>
      <c r="D1074" s="1" t="n">
        <v>22.98</v>
      </c>
      <c r="E1074" s="1" t="inlineStr">
        <is>
          <t>406x610mm</t>
        </is>
      </c>
      <c r="F1074" s="1" t="inlineStr">
        <is>
          <t>m2</t>
        </is>
      </c>
      <c r="G1074" s="1" t="inlineStr">
        <is>
          <t>Travertine</t>
        </is>
      </c>
      <c r="H1074" s="1" t="inlineStr">
        <is>
          <t>Matt</t>
        </is>
      </c>
      <c r="I1074" t="n">
        <v>22.98</v>
      </c>
    </row>
    <row r="1075">
      <c r="A1075" s="1">
        <f>Hyperlink("https://www.tilemountain.co.uk/p/urban-grey-matt-porcelain-floor-tile-5323.html","Product")</f>
        <v/>
      </c>
      <c r="B1075" s="1" t="inlineStr">
        <is>
          <t>450265</t>
        </is>
      </c>
      <c r="C1075" s="1" t="inlineStr">
        <is>
          <t>Urban Grey Matt Porcelain Floor Tile</t>
        </is>
      </c>
      <c r="D1075" s="1" t="n">
        <v>19.23</v>
      </c>
      <c r="E1075" s="1" t="inlineStr">
        <is>
          <t>795x795mm</t>
        </is>
      </c>
      <c r="F1075" s="1" t="inlineStr">
        <is>
          <t>m2</t>
        </is>
      </c>
      <c r="G1075" s="1" t="inlineStr">
        <is>
          <t>Porcelain</t>
        </is>
      </c>
      <c r="H1075" s="1" t="inlineStr">
        <is>
          <t>Matt</t>
        </is>
      </c>
      <c r="I1075" t="n">
        <v>19.23</v>
      </c>
    </row>
    <row r="1076">
      <c r="A1076" s="1">
        <f>Hyperlink("https://www.tilemountain.co.uk/p/urban-grey-matt-porcelain-floor-tile.html","Product")</f>
        <v/>
      </c>
      <c r="B1076" s="1" t="inlineStr">
        <is>
          <t>444405</t>
        </is>
      </c>
      <c r="C1076" s="1" t="inlineStr">
        <is>
          <t>Urban Grey Matt Porcelain Floor Tiles</t>
        </is>
      </c>
      <c r="D1076" s="1" t="n">
        <v>12.99</v>
      </c>
      <c r="E1076" s="1" t="inlineStr">
        <is>
          <t>600x600mm</t>
        </is>
      </c>
      <c r="F1076" s="1" t="inlineStr">
        <is>
          <t>m2</t>
        </is>
      </c>
      <c r="G1076" s="1" t="inlineStr">
        <is>
          <t>Porcelain</t>
        </is>
      </c>
      <c r="H1076" s="1" t="inlineStr">
        <is>
          <t>Matt</t>
        </is>
      </c>
      <c r="I1076" t="n">
        <v>12.99</v>
      </c>
    </row>
    <row r="1077">
      <c r="A1077" s="1">
        <f>Hyperlink("https://www.tilemountain.co.uk/p/urban-taupe-matt-porcelain-floor-tile-5324.html","Product")</f>
        <v/>
      </c>
      <c r="B1077" s="1" t="inlineStr">
        <is>
          <t>450270</t>
        </is>
      </c>
      <c r="C1077" s="1" t="inlineStr">
        <is>
          <t>Urban Taupe Matt Porcelain Floor Tile</t>
        </is>
      </c>
      <c r="D1077" s="1" t="n">
        <v>19.23</v>
      </c>
      <c r="E1077" s="1" t="inlineStr">
        <is>
          <t>795x795mm</t>
        </is>
      </c>
      <c r="F1077" s="1" t="inlineStr">
        <is>
          <t>m2</t>
        </is>
      </c>
      <c r="G1077" s="1" t="inlineStr">
        <is>
          <t>Porcelain</t>
        </is>
      </c>
      <c r="H1077" s="1" t="inlineStr">
        <is>
          <t>Matt</t>
        </is>
      </c>
      <c r="I1077" t="n">
        <v>19.23</v>
      </c>
    </row>
    <row r="1078">
      <c r="A1078" s="1">
        <f>Hyperlink("https://www.tilemountain.co.uk/p/urban-taupe-matt-porcelain-floor-tile.html","Product")</f>
        <v/>
      </c>
      <c r="B1078" s="1" t="inlineStr">
        <is>
          <t>444410</t>
        </is>
      </c>
      <c r="C1078" s="1" t="inlineStr">
        <is>
          <t>Urban Taupe Matt Porcelain Floor Tiles</t>
        </is>
      </c>
      <c r="D1078" s="1" t="n">
        <v>12.99</v>
      </c>
      <c r="E1078" s="1" t="inlineStr">
        <is>
          <t>600x600mm</t>
        </is>
      </c>
      <c r="F1078" s="1" t="inlineStr">
        <is>
          <t>m2</t>
        </is>
      </c>
      <c r="G1078" s="1" t="inlineStr">
        <is>
          <t>Porcelain</t>
        </is>
      </c>
      <c r="H1078" s="1" t="inlineStr">
        <is>
          <t>Matt</t>
        </is>
      </c>
      <c r="I1078" t="n">
        <v>12.99</v>
      </c>
    </row>
    <row r="1079">
      <c r="A1079" s="1">
        <f>Hyperlink("https://www.tilemountain.co.uk/p/valar-white.html","Product")</f>
        <v/>
      </c>
      <c r="B1079" s="1" t="inlineStr">
        <is>
          <t>454550</t>
        </is>
      </c>
      <c r="C1079" s="1" t="inlineStr">
        <is>
          <t>Valar Grey Outdoor Slab</t>
        </is>
      </c>
      <c r="D1079" s="1" t="n">
        <v>26.99</v>
      </c>
      <c r="E1079" s="1" t="inlineStr">
        <is>
          <t>595x595mm</t>
        </is>
      </c>
      <c r="F1079" s="1" t="inlineStr">
        <is>
          <t>m2</t>
        </is>
      </c>
      <c r="G1079" s="1" t="inlineStr">
        <is>
          <t>Porcelain</t>
        </is>
      </c>
      <c r="H1079" s="1" t="inlineStr">
        <is>
          <t>Matt</t>
        </is>
      </c>
      <c r="I1079" t="n">
        <v>26.99</v>
      </c>
    </row>
    <row r="1080">
      <c r="A1080" s="1">
        <f>Hyperlink("https://www.tilemountain.co.uk/p/velvet-brown-wall-tile.html","Product")</f>
        <v/>
      </c>
      <c r="B1080" s="1" t="inlineStr">
        <is>
          <t>436100</t>
        </is>
      </c>
      <c r="C1080" s="1" t="inlineStr">
        <is>
          <t>Velvet Brown Wall Tiles</t>
        </is>
      </c>
      <c r="D1080" s="1" t="n">
        <v>18</v>
      </c>
      <c r="E1080" s="1" t="inlineStr">
        <is>
          <t>300x900mm</t>
        </is>
      </c>
      <c r="F1080" s="1" t="inlineStr">
        <is>
          <t>m2</t>
        </is>
      </c>
      <c r="G1080" s="1" t="inlineStr">
        <is>
          <t>Ceramic</t>
        </is>
      </c>
      <c r="H1080" s="1" t="inlineStr">
        <is>
          <t>Gloss</t>
        </is>
      </c>
      <c r="I1080" t="n">
        <v>18</v>
      </c>
    </row>
    <row r="1081">
      <c r="A1081" s="1">
        <f>Hyperlink("https://www.tilemountain.co.uk/p/venato-grey-wall-tile.html","Product")</f>
        <v/>
      </c>
      <c r="B1081" s="1" t="inlineStr">
        <is>
          <t>440320</t>
        </is>
      </c>
      <c r="C1081" s="1" t="inlineStr">
        <is>
          <t>Venato Grey Wall Tiles</t>
        </is>
      </c>
      <c r="D1081" s="1" t="n">
        <v>18.99</v>
      </c>
      <c r="E1081" s="1" t="inlineStr">
        <is>
          <t>100x300mm</t>
        </is>
      </c>
      <c r="F1081" s="1" t="inlineStr">
        <is>
          <t>m2</t>
        </is>
      </c>
      <c r="G1081" s="1" t="inlineStr">
        <is>
          <t>Ceramic</t>
        </is>
      </c>
      <c r="H1081" s="1" t="inlineStr">
        <is>
          <t>Matt</t>
        </is>
      </c>
      <c r="I1081" t="n">
        <v>18.99</v>
      </c>
    </row>
    <row r="1082">
      <c r="A1082" s="1">
        <f>Hyperlink("https://www.tilemountain.co.uk/p/veneto-bone-glossy-wall-tiles.html","Product")</f>
        <v/>
      </c>
      <c r="B1082" s="1" t="inlineStr">
        <is>
          <t>452890</t>
        </is>
      </c>
      <c r="C1082" s="1" t="inlineStr">
        <is>
          <t>Veneto Bone Glossy Wall Tiles</t>
        </is>
      </c>
      <c r="D1082" s="1" t="n">
        <v>11.99</v>
      </c>
      <c r="E1082" s="1" t="inlineStr">
        <is>
          <t>300x600mm</t>
        </is>
      </c>
      <c r="F1082" s="1" t="inlineStr">
        <is>
          <t>m2</t>
        </is>
      </c>
      <c r="G1082" s="1" t="inlineStr">
        <is>
          <t>Ceramic</t>
        </is>
      </c>
      <c r="H1082" s="1" t="inlineStr">
        <is>
          <t>Gloss</t>
        </is>
      </c>
      <c r="I1082" t="n">
        <v>11.99</v>
      </c>
    </row>
    <row r="1083">
      <c r="A1083" s="1">
        <f>Hyperlink("https://www.tilemountain.co.uk/p/veneto-grey-glossy-wall-tiles.html","Product")</f>
        <v/>
      </c>
      <c r="B1083" s="1" t="inlineStr">
        <is>
          <t>452885</t>
        </is>
      </c>
      <c r="C1083" s="1" t="inlineStr">
        <is>
          <t>Veneto Grey Glossy Wall Tiles</t>
        </is>
      </c>
      <c r="D1083" s="1" t="n">
        <v>11.99</v>
      </c>
      <c r="E1083" s="1" t="inlineStr">
        <is>
          <t>300x600mm</t>
        </is>
      </c>
      <c r="F1083" s="1" t="inlineStr">
        <is>
          <t>m2</t>
        </is>
      </c>
      <c r="G1083" s="1" t="inlineStr">
        <is>
          <t>Ceramic</t>
        </is>
      </c>
      <c r="H1083" s="1" t="inlineStr">
        <is>
          <t>Gloss</t>
        </is>
      </c>
      <c r="I1083" t="n">
        <v>11.99</v>
      </c>
    </row>
    <row r="1084">
      <c r="A1084" s="1">
        <f>Hyperlink("https://www.tilemountain.co.uk/p/vertige-wood-effect-beige-outdoor-slab-tiles.html","Product")</f>
        <v/>
      </c>
      <c r="B1084" s="1" t="inlineStr">
        <is>
          <t>451470</t>
        </is>
      </c>
      <c r="C1084" s="1" t="inlineStr">
        <is>
          <t>Vertige Wood Effect Beige Outdoor Slab Tiles</t>
        </is>
      </c>
      <c r="D1084" s="1" t="n">
        <v>39.99</v>
      </c>
      <c r="E1084" s="1" t="inlineStr">
        <is>
          <t>1200x400mm</t>
        </is>
      </c>
      <c r="F1084" s="1" t="inlineStr">
        <is>
          <t>m2</t>
        </is>
      </c>
      <c r="G1084" s="1" t="inlineStr">
        <is>
          <t>Porcelain</t>
        </is>
      </c>
      <c r="H1084" s="1" t="inlineStr">
        <is>
          <t>Matt</t>
        </is>
      </c>
      <c r="I1084" t="n">
        <v>39.99</v>
      </c>
    </row>
    <row r="1085">
      <c r="A1085" s="1">
        <f>Hyperlink("https://www.tilemountain.co.uk/p/vertige-wood-effect-grey-outdoor-slab-tiles.html","Product")</f>
        <v/>
      </c>
      <c r="B1085" s="1" t="inlineStr">
        <is>
          <t>451465</t>
        </is>
      </c>
      <c r="C1085" s="1" t="inlineStr">
        <is>
          <t>Vertige Wood Effect Grey Outdoor Slab Tiles</t>
        </is>
      </c>
      <c r="D1085" s="1" t="n">
        <v>39.99</v>
      </c>
      <c r="E1085" s="1" t="inlineStr">
        <is>
          <t>1200x400mm</t>
        </is>
      </c>
      <c r="F1085" s="1" t="inlineStr">
        <is>
          <t>m2</t>
        </is>
      </c>
      <c r="G1085" s="1" t="inlineStr">
        <is>
          <t>Porcelain</t>
        </is>
      </c>
      <c r="H1085" s="1" t="inlineStr">
        <is>
          <t>Matt</t>
        </is>
      </c>
      <c r="I1085" t="n">
        <v>39.99</v>
      </c>
    </row>
    <row r="1086">
      <c r="A1086" s="1">
        <f>Hyperlink("https://www.tilemountain.co.uk/p/victoria-black-mosaic.html","Product")</f>
        <v/>
      </c>
      <c r="B1086" s="1" t="inlineStr">
        <is>
          <t>450455</t>
        </is>
      </c>
      <c r="C1086" s="1" t="inlineStr">
        <is>
          <t>Victoria Black Mosaic</t>
        </is>
      </c>
      <c r="D1086" s="1" t="n">
        <v>5.95</v>
      </c>
      <c r="E1086" s="1" t="inlineStr">
        <is>
          <t>291x291mm</t>
        </is>
      </c>
      <c r="F1086" s="1" t="inlineStr">
        <is>
          <t>sheet</t>
        </is>
      </c>
      <c r="G1086" s="1" t="inlineStr">
        <is>
          <t>Porcelain</t>
        </is>
      </c>
      <c r="H1086" s="1" t="inlineStr">
        <is>
          <t>Matt</t>
        </is>
      </c>
      <c r="I1086" t="n">
        <v>5.95</v>
      </c>
    </row>
    <row r="1087">
      <c r="A1087" s="1">
        <f>Hyperlink("https://www.tilemountain.co.uk/p/victoria-rectified-gloss-brilliant-white-wall-tile.html","Product")</f>
        <v/>
      </c>
      <c r="B1087" s="1" t="inlineStr">
        <is>
          <t>434120</t>
        </is>
      </c>
      <c r="C1087" s="1" t="inlineStr">
        <is>
          <t>Victoria Rectified Gloss Brilliant White Wall Tiles</t>
        </is>
      </c>
      <c r="D1087" s="1" t="n">
        <v>15.99</v>
      </c>
      <c r="E1087" s="1" t="inlineStr">
        <is>
          <t>297x597mm</t>
        </is>
      </c>
      <c r="F1087" s="1" t="inlineStr">
        <is>
          <t>m2</t>
        </is>
      </c>
      <c r="G1087" s="1" t="inlineStr">
        <is>
          <t>Ceramic</t>
        </is>
      </c>
      <c r="H1087" s="1" t="inlineStr">
        <is>
          <t>Gloss</t>
        </is>
      </c>
      <c r="I1087" t="n">
        <v>15.99</v>
      </c>
    </row>
    <row r="1088">
      <c r="A1088" s="1">
        <f>Hyperlink("https://www.tilemountain.co.uk/p/victoria-red-black-border.html","Product")</f>
        <v/>
      </c>
      <c r="B1088" s="1" t="inlineStr">
        <is>
          <t>450470</t>
        </is>
      </c>
      <c r="C1088" s="1" t="inlineStr">
        <is>
          <t>Victoria Red &amp; Black Border</t>
        </is>
      </c>
      <c r="D1088" s="1" t="n">
        <v>9.949999999999999</v>
      </c>
      <c r="E1088" s="1" t="inlineStr">
        <is>
          <t>118x360mm</t>
        </is>
      </c>
      <c r="F1088" s="1" t="inlineStr">
        <is>
          <t>sheet</t>
        </is>
      </c>
      <c r="G1088" s="1" t="inlineStr">
        <is>
          <t>Porcelain</t>
        </is>
      </c>
      <c r="H1088" s="1" t="inlineStr">
        <is>
          <t>Matt</t>
        </is>
      </c>
      <c r="I1088" t="n">
        <v>9.949999999999999</v>
      </c>
    </row>
    <row r="1089">
      <c r="A1089" s="1">
        <f>Hyperlink("https://www.tilemountain.co.uk/p/victoria-red-black-chequer-mosaic.html","Product")</f>
        <v/>
      </c>
      <c r="B1089" s="1" t="inlineStr">
        <is>
          <t>450460</t>
        </is>
      </c>
      <c r="C1089" s="1" t="inlineStr">
        <is>
          <t>Victoria Red &amp; Black Chequer Mosaic</t>
        </is>
      </c>
      <c r="D1089" s="1" t="n">
        <v>5.95</v>
      </c>
      <c r="E1089" s="1" t="inlineStr">
        <is>
          <t>291x291mm</t>
        </is>
      </c>
      <c r="F1089" s="1" t="inlineStr">
        <is>
          <t>sheet</t>
        </is>
      </c>
      <c r="G1089" s="1" t="inlineStr">
        <is>
          <t>Porcelain</t>
        </is>
      </c>
      <c r="H1089" s="1" t="inlineStr">
        <is>
          <t>Matt</t>
        </is>
      </c>
      <c r="I1089" t="n">
        <v>5.95</v>
      </c>
    </row>
    <row r="1090">
      <c r="A1090" s="1">
        <f>Hyperlink("https://www.tilemountain.co.uk/p/victoria-red-black-corner.html","Product")</f>
        <v/>
      </c>
      <c r="B1090" s="1" t="inlineStr">
        <is>
          <t>450480</t>
        </is>
      </c>
      <c r="C1090" s="1" t="inlineStr">
        <is>
          <t>Victoria Red &amp; Black Corner</t>
        </is>
      </c>
      <c r="D1090" s="1" t="n">
        <v>11.95</v>
      </c>
      <c r="E1090" s="1" t="inlineStr">
        <is>
          <t>238x290mm</t>
        </is>
      </c>
      <c r="F1090" s="1" t="inlineStr">
        <is>
          <t>sheet</t>
        </is>
      </c>
      <c r="G1090" s="1" t="inlineStr">
        <is>
          <t>Porcelain</t>
        </is>
      </c>
      <c r="H1090" s="1" t="inlineStr">
        <is>
          <t>Matt</t>
        </is>
      </c>
      <c r="I1090" t="n">
        <v>11.95</v>
      </c>
    </row>
    <row r="1091">
      <c r="A1091" s="1">
        <f>Hyperlink("https://www.tilemountain.co.uk/p/victoria-red-mosaic.html","Product")</f>
        <v/>
      </c>
      <c r="B1091" s="1" t="inlineStr">
        <is>
          <t>450450</t>
        </is>
      </c>
      <c r="C1091" s="1" t="inlineStr">
        <is>
          <t>Victoria Red Mosaic</t>
        </is>
      </c>
      <c r="D1091" s="1" t="n">
        <v>5.95</v>
      </c>
      <c r="E1091" s="1" t="inlineStr">
        <is>
          <t>291x291mm</t>
        </is>
      </c>
      <c r="F1091" s="1" t="inlineStr">
        <is>
          <t>sheet</t>
        </is>
      </c>
      <c r="G1091" s="1" t="inlineStr">
        <is>
          <t>Porcelain</t>
        </is>
      </c>
      <c r="H1091" s="1" t="inlineStr">
        <is>
          <t>Matt</t>
        </is>
      </c>
      <c r="I1091" t="n">
        <v>5.95</v>
      </c>
    </row>
    <row r="1092">
      <c r="A1092" s="1">
        <f>Hyperlink("https://www.tilemountain.co.uk/p/victoria-white-black-border.html","Product")</f>
        <v/>
      </c>
      <c r="B1092" s="1" t="inlineStr">
        <is>
          <t>450475</t>
        </is>
      </c>
      <c r="C1092" s="1" t="inlineStr">
        <is>
          <t>Victoria White &amp; Black Border</t>
        </is>
      </c>
      <c r="D1092" s="1" t="n">
        <v>9.949999999999999</v>
      </c>
      <c r="E1092" s="1" t="inlineStr">
        <is>
          <t>118x360mm</t>
        </is>
      </c>
      <c r="F1092" s="1" t="inlineStr">
        <is>
          <t>sheet</t>
        </is>
      </c>
      <c r="G1092" s="1" t="inlineStr">
        <is>
          <t>Porcelain</t>
        </is>
      </c>
      <c r="H1092" s="1" t="inlineStr">
        <is>
          <t>Matt</t>
        </is>
      </c>
      <c r="I1092" t="n">
        <v>9.949999999999999</v>
      </c>
    </row>
    <row r="1093">
      <c r="A1093" s="1">
        <f>Hyperlink("https://www.tilemountain.co.uk/p/victoria-white-black-chequer-mosaic.html","Product")</f>
        <v/>
      </c>
      <c r="B1093" s="1" t="inlineStr">
        <is>
          <t>450465</t>
        </is>
      </c>
      <c r="C1093" s="1" t="inlineStr">
        <is>
          <t>Victoria White &amp; Black Chequer Mosaic</t>
        </is>
      </c>
      <c r="D1093" s="1" t="n">
        <v>5.95</v>
      </c>
      <c r="E1093" s="1" t="inlineStr">
        <is>
          <t>291x291mm</t>
        </is>
      </c>
      <c r="F1093" s="1" t="inlineStr">
        <is>
          <t>sheet</t>
        </is>
      </c>
      <c r="G1093" s="1" t="inlineStr">
        <is>
          <t>Porcelain</t>
        </is>
      </c>
      <c r="H1093" s="1" t="inlineStr">
        <is>
          <t>Matt</t>
        </is>
      </c>
      <c r="I1093" t="n">
        <v>5.95</v>
      </c>
    </row>
    <row r="1094">
      <c r="A1094" s="1">
        <f>Hyperlink("https://www.tilemountain.co.uk/p/victorian-centro-budapest-decor-tile.html","Product")</f>
        <v/>
      </c>
      <c r="B1094" s="1" t="inlineStr">
        <is>
          <t>443540</t>
        </is>
      </c>
      <c r="C1094" s="1" t="inlineStr">
        <is>
          <t>Victorian Centro Budapest Decor Tiles</t>
        </is>
      </c>
      <c r="D1094" s="1" t="n">
        <v>24.99</v>
      </c>
      <c r="E1094" s="1" t="inlineStr">
        <is>
          <t>200x200mm</t>
        </is>
      </c>
      <c r="F1094" s="1" t="inlineStr">
        <is>
          <t>m2</t>
        </is>
      </c>
      <c r="G1094" s="1" t="inlineStr">
        <is>
          <t>Ceramic</t>
        </is>
      </c>
      <c r="H1094" s="1" t="inlineStr">
        <is>
          <t>Matt</t>
        </is>
      </c>
      <c r="I1094" t="n">
        <v>24.99</v>
      </c>
    </row>
    <row r="1095">
      <c r="A1095" s="1">
        <f>Hyperlink("https://www.tilemountain.co.uk/p/victorian-centro-viena-decor-tile.html","Product")</f>
        <v/>
      </c>
      <c r="B1095" s="1" t="inlineStr">
        <is>
          <t>443545</t>
        </is>
      </c>
      <c r="C1095" s="1" t="inlineStr">
        <is>
          <t>Victorian Centro Viena Decor Tiles</t>
        </is>
      </c>
      <c r="D1095" s="1" t="n">
        <v>24.99</v>
      </c>
      <c r="E1095" s="1" t="inlineStr">
        <is>
          <t>200x200mm</t>
        </is>
      </c>
      <c r="F1095" s="1" t="inlineStr">
        <is>
          <t>m2</t>
        </is>
      </c>
      <c r="G1095" s="1" t="inlineStr">
        <is>
          <t>Ceramic</t>
        </is>
      </c>
      <c r="H1095" s="1" t="inlineStr">
        <is>
          <t>Matt</t>
        </is>
      </c>
      <c r="I1095" t="n">
        <v>24.99</v>
      </c>
    </row>
    <row r="1096">
      <c r="A1096" s="1">
        <f>Hyperlink("https://www.tilemountain.co.uk/p/victorian-grey-wall-and-floor-tile.html","Product")</f>
        <v/>
      </c>
      <c r="B1096" s="1" t="inlineStr">
        <is>
          <t>443555</t>
        </is>
      </c>
      <c r="C1096" s="1" t="inlineStr">
        <is>
          <t>Victorian Grey Floor Tiles</t>
        </is>
      </c>
      <c r="D1096" s="1" t="n">
        <v>21.99</v>
      </c>
      <c r="E1096" s="1" t="inlineStr">
        <is>
          <t>200x200mm</t>
        </is>
      </c>
      <c r="F1096" s="1" t="inlineStr">
        <is>
          <t>m2</t>
        </is>
      </c>
      <c r="G1096" s="1" t="inlineStr">
        <is>
          <t>Ceramic</t>
        </is>
      </c>
      <c r="H1096" s="1" t="inlineStr">
        <is>
          <t>Matt</t>
        </is>
      </c>
      <c r="I1096" t="n">
        <v>21.99</v>
      </c>
    </row>
    <row r="1097">
      <c r="A1097" s="1">
        <f>Hyperlink("https://www.tilemountain.co.uk/p/victorian-white-wall-and-floor-tile.html","Product")</f>
        <v/>
      </c>
      <c r="B1097" s="1" t="inlineStr">
        <is>
          <t>443550</t>
        </is>
      </c>
      <c r="C1097" s="1" t="inlineStr">
        <is>
          <t>Victorian White Floor Tiles</t>
        </is>
      </c>
      <c r="D1097" s="1" t="n">
        <v>21.99</v>
      </c>
      <c r="E1097" s="1" t="inlineStr">
        <is>
          <t>200x200mm</t>
        </is>
      </c>
      <c r="F1097" s="1" t="inlineStr">
        <is>
          <t>m2</t>
        </is>
      </c>
      <c r="G1097" s="1" t="inlineStr">
        <is>
          <t>Ceramic</t>
        </is>
      </c>
      <c r="H1097" s="1" t="inlineStr">
        <is>
          <t>Matt</t>
        </is>
      </c>
      <c r="I1097" t="n">
        <v>21.99</v>
      </c>
    </row>
    <row r="1098">
      <c r="A1098" s="1">
        <f>Hyperlink("https://www.tilemountain.co.uk/p/village-azure-blue-wall-tile.html","Product")</f>
        <v/>
      </c>
      <c r="B1098" s="1" t="inlineStr">
        <is>
          <t>447070</t>
        </is>
      </c>
      <c r="C1098" s="1" t="inlineStr">
        <is>
          <t>Village Azure Blue Wall Tiles</t>
        </is>
      </c>
      <c r="D1098" s="1" t="n">
        <v>29.99</v>
      </c>
      <c r="E1098" s="1" t="inlineStr">
        <is>
          <t>200x65mm</t>
        </is>
      </c>
      <c r="F1098" s="1" t="inlineStr">
        <is>
          <t>m2</t>
        </is>
      </c>
      <c r="G1098" s="1" t="inlineStr">
        <is>
          <t>Ceramic</t>
        </is>
      </c>
      <c r="H1098" s="1" t="inlineStr">
        <is>
          <t>Gloss</t>
        </is>
      </c>
      <c r="I1098" t="n">
        <v>29.99</v>
      </c>
    </row>
    <row r="1099">
      <c r="A1099" s="1">
        <f>Hyperlink("https://www.tilemountain.co.uk/p/village-emerald-green-wall-tile.html","Product")</f>
        <v/>
      </c>
      <c r="B1099" s="1" t="inlineStr">
        <is>
          <t>447085</t>
        </is>
      </c>
      <c r="C1099" s="1" t="inlineStr">
        <is>
          <t>Village Emerald Green Wall Tiles</t>
        </is>
      </c>
      <c r="D1099" s="1" t="n">
        <v>29.99</v>
      </c>
      <c r="E1099" s="1" t="inlineStr">
        <is>
          <t>200x65mm</t>
        </is>
      </c>
      <c r="F1099" s="1" t="inlineStr">
        <is>
          <t>m2</t>
        </is>
      </c>
      <c r="G1099" s="1" t="inlineStr">
        <is>
          <t>Ceramic</t>
        </is>
      </c>
      <c r="H1099" s="1" t="inlineStr">
        <is>
          <t>Gloss</t>
        </is>
      </c>
      <c r="I1099" t="n">
        <v>29.99</v>
      </c>
    </row>
    <row r="1100">
      <c r="A1100" s="1">
        <f>Hyperlink("https://www.tilemountain.co.uk/p/village-mint-wall-tile-4549.html","Product")</f>
        <v/>
      </c>
      <c r="B1100" s="1" t="inlineStr">
        <is>
          <t>447120</t>
        </is>
      </c>
      <c r="C1100" s="1" t="inlineStr">
        <is>
          <t>Village Mint Wall Tiles</t>
        </is>
      </c>
      <c r="D1100" s="1" t="n">
        <v>29.99</v>
      </c>
      <c r="E1100" s="1" t="inlineStr">
        <is>
          <t>132x132mm</t>
        </is>
      </c>
      <c r="F1100" s="1" t="inlineStr">
        <is>
          <t>m2</t>
        </is>
      </c>
      <c r="G1100" s="1" t="inlineStr">
        <is>
          <t>Ceramic</t>
        </is>
      </c>
      <c r="H1100" s="1" t="inlineStr">
        <is>
          <t>Gloss</t>
        </is>
      </c>
      <c r="I1100" t="n">
        <v>29.99</v>
      </c>
    </row>
    <row r="1101">
      <c r="A1101" s="1">
        <f>Hyperlink("https://www.tilemountain.co.uk/p/village-mushroom-wall-tile.html","Product")</f>
        <v/>
      </c>
      <c r="B1101" s="1" t="inlineStr">
        <is>
          <t>447050</t>
        </is>
      </c>
      <c r="C1101" s="1" t="inlineStr">
        <is>
          <t>Village Mushroom Wall Tiles</t>
        </is>
      </c>
      <c r="D1101" s="1" t="n">
        <v>29.99</v>
      </c>
      <c r="E1101" s="1" t="inlineStr">
        <is>
          <t>200x65mm</t>
        </is>
      </c>
      <c r="F1101" s="1" t="inlineStr">
        <is>
          <t>m2</t>
        </is>
      </c>
      <c r="G1101" s="1" t="inlineStr">
        <is>
          <t>Ceramic</t>
        </is>
      </c>
      <c r="H1101" s="1" t="inlineStr">
        <is>
          <t>Gloss</t>
        </is>
      </c>
      <c r="I1101" t="n">
        <v>29.99</v>
      </c>
    </row>
    <row r="1102">
      <c r="A1102" s="1">
        <f>Hyperlink("https://www.tilemountain.co.uk/p/village-rose-gold-wall-tile-4546.html","Product")</f>
        <v/>
      </c>
      <c r="B1102" s="1" t="inlineStr">
        <is>
          <t>447105</t>
        </is>
      </c>
      <c r="C1102" s="1" t="inlineStr">
        <is>
          <t>Village Rose Gold Wall Tiles</t>
        </is>
      </c>
      <c r="D1102" s="1" t="n">
        <v>29.99</v>
      </c>
      <c r="E1102" s="1" t="inlineStr">
        <is>
          <t>132x132mm</t>
        </is>
      </c>
      <c r="F1102" s="1" t="inlineStr">
        <is>
          <t>m2</t>
        </is>
      </c>
      <c r="G1102" s="1" t="inlineStr">
        <is>
          <t>Ceramic</t>
        </is>
      </c>
      <c r="H1102" s="1" t="inlineStr">
        <is>
          <t>Gloss</t>
        </is>
      </c>
      <c r="I1102" t="n">
        <v>29.99</v>
      </c>
    </row>
    <row r="1103">
      <c r="A1103" s="1">
        <f>Hyperlink("https://www.tilemountain.co.uk/p/village-rose-gold-wall-tile.html","Product")</f>
        <v/>
      </c>
      <c r="B1103" s="1" t="inlineStr">
        <is>
          <t>447045</t>
        </is>
      </c>
      <c r="C1103" s="1" t="inlineStr">
        <is>
          <t>Village Rose Gold Wall Tiles</t>
        </is>
      </c>
      <c r="D1103" s="1" t="n">
        <v>29.99</v>
      </c>
      <c r="E1103" s="1" t="inlineStr">
        <is>
          <t>200x65mm</t>
        </is>
      </c>
      <c r="F1103" s="1" t="inlineStr">
        <is>
          <t>m2</t>
        </is>
      </c>
      <c r="G1103" s="1" t="inlineStr">
        <is>
          <t>Ceramic</t>
        </is>
      </c>
      <c r="H1103" s="1" t="inlineStr">
        <is>
          <t>Gloss</t>
        </is>
      </c>
      <c r="I1103" t="n">
        <v>29.99</v>
      </c>
    </row>
    <row r="1104">
      <c r="A1104" s="1">
        <f>Hyperlink("https://www.tilemountain.co.uk/p/village-royal-blue-wall-tile-4552.html","Product")</f>
        <v/>
      </c>
      <c r="B1104" s="1" t="inlineStr">
        <is>
          <t>447135</t>
        </is>
      </c>
      <c r="C1104" s="1" t="inlineStr">
        <is>
          <t>Village Royal Blue Wall Tiles</t>
        </is>
      </c>
      <c r="D1104" s="1" t="n">
        <v>29.99</v>
      </c>
      <c r="E1104" s="1" t="inlineStr">
        <is>
          <t>132x132mm</t>
        </is>
      </c>
      <c r="F1104" s="1" t="inlineStr">
        <is>
          <t>m2</t>
        </is>
      </c>
      <c r="G1104" s="1" t="inlineStr">
        <is>
          <t>Ceramic</t>
        </is>
      </c>
      <c r="H1104" s="1" t="inlineStr">
        <is>
          <t>Gloss</t>
        </is>
      </c>
      <c r="I1104" t="n">
        <v>29.99</v>
      </c>
    </row>
    <row r="1105">
      <c r="A1105" s="1">
        <f>Hyperlink("https://www.tilemountain.co.uk/p/village-royal-blue-wall-tile.html","Product")</f>
        <v/>
      </c>
      <c r="B1105" s="1" t="inlineStr">
        <is>
          <t>447075</t>
        </is>
      </c>
      <c r="C1105" s="1" t="inlineStr">
        <is>
          <t>Village Royal Blue Wall Tiles</t>
        </is>
      </c>
      <c r="D1105" s="1" t="n">
        <v>29.99</v>
      </c>
      <c r="E1105" s="1" t="inlineStr">
        <is>
          <t>200x65mm</t>
        </is>
      </c>
      <c r="F1105" s="1" t="inlineStr">
        <is>
          <t>m2</t>
        </is>
      </c>
      <c r="G1105" s="1" t="inlineStr">
        <is>
          <t>Ceramic</t>
        </is>
      </c>
      <c r="H1105" s="1" t="inlineStr">
        <is>
          <t>Gloss</t>
        </is>
      </c>
      <c r="I1105" t="n">
        <v>29.99</v>
      </c>
    </row>
    <row r="1106">
      <c r="A1106" s="1">
        <f>Hyperlink("https://www.tilemountain.co.uk/p/village-silver-mist-wall-tile-4548.html","Product")</f>
        <v/>
      </c>
      <c r="B1106" s="1" t="inlineStr">
        <is>
          <t>447115</t>
        </is>
      </c>
      <c r="C1106" s="1" t="inlineStr">
        <is>
          <t>Village Silver Mist Wall Tiles</t>
        </is>
      </c>
      <c r="D1106" s="1" t="n">
        <v>29.99</v>
      </c>
      <c r="E1106" s="1" t="inlineStr">
        <is>
          <t>132x132mm</t>
        </is>
      </c>
      <c r="F1106" s="1" t="inlineStr">
        <is>
          <t>m2</t>
        </is>
      </c>
      <c r="G1106" s="1" t="inlineStr">
        <is>
          <t>Ceramic</t>
        </is>
      </c>
      <c r="H1106" s="1" t="inlineStr">
        <is>
          <t>Gloss</t>
        </is>
      </c>
      <c r="I1106" t="n">
        <v>29.99</v>
      </c>
    </row>
    <row r="1107">
      <c r="A1107" s="1">
        <f>Hyperlink("https://www.tilemountain.co.uk/p/village-silver-mist-wall-tile.html","Product")</f>
        <v/>
      </c>
      <c r="B1107" s="1" t="inlineStr">
        <is>
          <t>447055</t>
        </is>
      </c>
      <c r="C1107" s="1" t="inlineStr">
        <is>
          <t>Village Silver Mist Wall Tiles</t>
        </is>
      </c>
      <c r="D1107" s="1" t="n">
        <v>29.99</v>
      </c>
      <c r="E1107" s="1" t="inlineStr">
        <is>
          <t>200x65mm</t>
        </is>
      </c>
      <c r="F1107" s="1" t="inlineStr">
        <is>
          <t>m2</t>
        </is>
      </c>
      <c r="G1107" s="1" t="inlineStr">
        <is>
          <t>Ceramic</t>
        </is>
      </c>
      <c r="H1107" s="1" t="inlineStr">
        <is>
          <t>Gloss</t>
        </is>
      </c>
      <c r="I1107" t="n">
        <v>29.99</v>
      </c>
    </row>
    <row r="1108">
      <c r="A1108" s="1">
        <f>Hyperlink("https://www.tilemountain.co.uk/p/village-teal-wall-tile-4553.html","Product")</f>
        <v/>
      </c>
      <c r="B1108" s="1" t="inlineStr">
        <is>
          <t>447140</t>
        </is>
      </c>
      <c r="C1108" s="1" t="inlineStr">
        <is>
          <t>Village Teal Wall Tiles</t>
        </is>
      </c>
      <c r="D1108" s="1" t="n">
        <v>29.99</v>
      </c>
      <c r="E1108" s="1" t="inlineStr">
        <is>
          <t>132x132mm</t>
        </is>
      </c>
      <c r="F1108" s="1" t="inlineStr">
        <is>
          <t>m2</t>
        </is>
      </c>
      <c r="G1108" s="1" t="inlineStr">
        <is>
          <t>Ceramic</t>
        </is>
      </c>
      <c r="H1108" s="1" t="inlineStr">
        <is>
          <t>Gloss</t>
        </is>
      </c>
      <c r="I1108" t="n">
        <v>29.99</v>
      </c>
    </row>
    <row r="1109">
      <c r="A1109" s="1">
        <f>Hyperlink("https://www.tilemountain.co.uk/p/village-teal-wall-tile.html","Product")</f>
        <v/>
      </c>
      <c r="B1109" s="1" t="inlineStr">
        <is>
          <t>447080</t>
        </is>
      </c>
      <c r="C1109" s="1" t="inlineStr">
        <is>
          <t>Village Teal Wall Tiles</t>
        </is>
      </c>
      <c r="D1109" s="1" t="n">
        <v>29.99</v>
      </c>
      <c r="E1109" s="1" t="inlineStr">
        <is>
          <t>200x65mm</t>
        </is>
      </c>
      <c r="F1109" s="1" t="inlineStr">
        <is>
          <t>m2</t>
        </is>
      </c>
      <c r="G1109" s="1" t="inlineStr">
        <is>
          <t>Ceramic</t>
        </is>
      </c>
      <c r="H1109" s="1" t="inlineStr">
        <is>
          <t>Gloss</t>
        </is>
      </c>
      <c r="I1109" t="n">
        <v>29.99</v>
      </c>
    </row>
    <row r="1110">
      <c r="A1110" s="1">
        <f>Hyperlink("https://www.tilemountain.co.uk/p/village-volcanic-red-wall-tile.html","Product")</f>
        <v/>
      </c>
      <c r="B1110" s="1" t="inlineStr">
        <is>
          <t>447090</t>
        </is>
      </c>
      <c r="C1110" s="1" t="inlineStr">
        <is>
          <t>Village Volcanic Red Wall Tiles</t>
        </is>
      </c>
      <c r="D1110" s="1" t="n">
        <v>29.99</v>
      </c>
      <c r="E1110" s="1" t="inlineStr">
        <is>
          <t>200x65mm</t>
        </is>
      </c>
      <c r="F1110" s="1" t="inlineStr">
        <is>
          <t>m2</t>
        </is>
      </c>
      <c r="G1110" s="1" t="inlineStr">
        <is>
          <t>Ceramic</t>
        </is>
      </c>
      <c r="H1110" s="1" t="inlineStr">
        <is>
          <t>Gloss</t>
        </is>
      </c>
      <c r="I1110" t="n">
        <v>29.99</v>
      </c>
    </row>
    <row r="1111">
      <c r="A1111" s="1">
        <f>Hyperlink("https://www.tilemountain.co.uk/p/village-white-wall-tile-4545.html","Product")</f>
        <v/>
      </c>
      <c r="B1111" s="1" t="inlineStr">
        <is>
          <t>447100</t>
        </is>
      </c>
      <c r="C1111" s="1" t="inlineStr">
        <is>
          <t>Village White Wall Tiles</t>
        </is>
      </c>
      <c r="D1111" s="1" t="n">
        <v>29.99</v>
      </c>
      <c r="E1111" s="1" t="inlineStr">
        <is>
          <t>132x132mm</t>
        </is>
      </c>
      <c r="F1111" s="1" t="inlineStr">
        <is>
          <t>m2</t>
        </is>
      </c>
      <c r="G1111" s="1" t="inlineStr">
        <is>
          <t>Ceramic</t>
        </is>
      </c>
      <c r="H1111" s="1" t="inlineStr">
        <is>
          <t>Gloss</t>
        </is>
      </c>
      <c r="I1111" t="n">
        <v>29.99</v>
      </c>
    </row>
    <row r="1112">
      <c r="A1112" s="1">
        <f>Hyperlink("https://www.tilemountain.co.uk/p/village-white-wall-tile.html","Product")</f>
        <v/>
      </c>
      <c r="B1112" s="1" t="inlineStr">
        <is>
          <t>447040</t>
        </is>
      </c>
      <c r="C1112" s="1" t="inlineStr">
        <is>
          <t>Village White Wall Tiles</t>
        </is>
      </c>
      <c r="D1112" s="1" t="n">
        <v>29.99</v>
      </c>
      <c r="E1112" s="1" t="inlineStr">
        <is>
          <t>200x65mm</t>
        </is>
      </c>
      <c r="F1112" s="1" t="inlineStr">
        <is>
          <t>m2</t>
        </is>
      </c>
      <c r="G1112" s="1" t="inlineStr">
        <is>
          <t>-</t>
        </is>
      </c>
      <c r="H1112" s="1" t="inlineStr">
        <is>
          <t>-</t>
        </is>
      </c>
      <c r="I1112" t="n">
        <v>29.99</v>
      </c>
    </row>
    <row r="1113">
      <c r="A1113" s="1">
        <f>Hyperlink("https://www.tilemountain.co.uk/p/vintage-floor-tile.html","Product")</f>
        <v/>
      </c>
      <c r="B1113" s="1" t="inlineStr">
        <is>
          <t>433900</t>
        </is>
      </c>
      <c r="C1113" s="1" t="inlineStr">
        <is>
          <t>Vintage Wood Effect Wall and Floor Tiles</t>
        </is>
      </c>
      <c r="D1113" s="1" t="n">
        <v>18.99</v>
      </c>
      <c r="E1113" s="1" t="inlineStr">
        <is>
          <t>150x600mm</t>
        </is>
      </c>
      <c r="F1113" s="1" t="inlineStr">
        <is>
          <t>m2</t>
        </is>
      </c>
      <c r="G1113" s="1" t="inlineStr">
        <is>
          <t>Porcelain</t>
        </is>
      </c>
      <c r="H1113" s="1" t="inlineStr">
        <is>
          <t>Matt</t>
        </is>
      </c>
      <c r="I1113" t="n">
        <v>18.99</v>
      </c>
    </row>
    <row r="1114">
      <c r="A1114" s="1">
        <f>Hyperlink("https://www.tilemountain.co.uk/p/vintage-patchwork-mix-tiles-25x25cm.html","Product")</f>
        <v/>
      </c>
      <c r="B1114" s="1" t="inlineStr">
        <is>
          <t>1006725</t>
        </is>
      </c>
      <c r="C1114" s="1" t="inlineStr">
        <is>
          <t>Vintage Patchwork Mix Wall and Floor Tiles</t>
        </is>
      </c>
      <c r="D1114" s="1" t="n">
        <v>21.92</v>
      </c>
      <c r="E1114" s="1" t="inlineStr">
        <is>
          <t>250x250mm</t>
        </is>
      </c>
      <c r="F1114" s="1" t="inlineStr">
        <is>
          <t>m2</t>
        </is>
      </c>
      <c r="G1114" s="1" t="inlineStr">
        <is>
          <t>Porcelain</t>
        </is>
      </c>
      <c r="H1114" s="1" t="inlineStr">
        <is>
          <t>Matt</t>
        </is>
      </c>
      <c r="I1114" t="n">
        <v>21.92</v>
      </c>
    </row>
    <row r="1115">
      <c r="A1115" s="1">
        <f>Hyperlink("https://www.tilemountain.co.uk/p/vivid-black-gloss-wall-tile.html","Product")</f>
        <v/>
      </c>
      <c r="B1115" s="1" t="inlineStr">
        <is>
          <t>433965</t>
        </is>
      </c>
      <c r="C1115" s="1" t="inlineStr">
        <is>
          <t>Vivid Black Gloss Wall Tiles</t>
        </is>
      </c>
      <c r="D1115" s="1" t="n">
        <v>34.99</v>
      </c>
      <c r="E1115" s="1" t="inlineStr">
        <is>
          <t>150x400mm</t>
        </is>
      </c>
      <c r="F1115" s="1" t="inlineStr">
        <is>
          <t>m2</t>
        </is>
      </c>
      <c r="G1115" s="1" t="inlineStr">
        <is>
          <t>Ceramic</t>
        </is>
      </c>
      <c r="H1115" s="1" t="inlineStr">
        <is>
          <t>Gloss</t>
        </is>
      </c>
      <c r="I1115" t="n">
        <v>34.99</v>
      </c>
    </row>
    <row r="1116">
      <c r="A1116" s="1">
        <f>Hyperlink("https://www.tilemountain.co.uk/p/vivid-blue-gloss-wall-tile.html","Product")</f>
        <v/>
      </c>
      <c r="B1116" s="1" t="inlineStr">
        <is>
          <t>433995</t>
        </is>
      </c>
      <c r="C1116" s="1" t="inlineStr">
        <is>
          <t>Vivid Blue Gloss Wall Tiles</t>
        </is>
      </c>
      <c r="D1116" s="1" t="n">
        <v>34.99</v>
      </c>
      <c r="E1116" s="1" t="inlineStr">
        <is>
          <t>150x400mm</t>
        </is>
      </c>
      <c r="F1116" s="1" t="inlineStr">
        <is>
          <t>m2</t>
        </is>
      </c>
      <c r="G1116" s="1" t="inlineStr">
        <is>
          <t>Ceramic</t>
        </is>
      </c>
      <c r="H1116" s="1" t="inlineStr">
        <is>
          <t>Gloss</t>
        </is>
      </c>
      <c r="I1116" t="n">
        <v>34.99</v>
      </c>
    </row>
    <row r="1117">
      <c r="A1117" s="1">
        <f>Hyperlink("https://www.tilemountain.co.uk/p/vivid-lime-gloss-wall-tile.html","Product")</f>
        <v/>
      </c>
      <c r="B1117" s="1" t="inlineStr">
        <is>
          <t>434000</t>
        </is>
      </c>
      <c r="C1117" s="1" t="inlineStr">
        <is>
          <t>Vivid Lime Gloss Wall Tiles</t>
        </is>
      </c>
      <c r="D1117" s="1" t="n">
        <v>34.99</v>
      </c>
      <c r="E1117" s="1" t="inlineStr">
        <is>
          <t>150x400mm</t>
        </is>
      </c>
      <c r="F1117" s="1" t="inlineStr">
        <is>
          <t>m2</t>
        </is>
      </c>
      <c r="G1117" s="1" t="inlineStr">
        <is>
          <t>Ceramic</t>
        </is>
      </c>
      <c r="H1117" s="1" t="inlineStr">
        <is>
          <t>Gloss</t>
        </is>
      </c>
      <c r="I1117" t="n">
        <v>34.99</v>
      </c>
    </row>
    <row r="1118">
      <c r="A1118" s="1">
        <f>Hyperlink("https://www.tilemountain.co.uk/p/vivid-teal-gloss-wall-tile.html","Product")</f>
        <v/>
      </c>
      <c r="B1118" s="1" t="inlineStr">
        <is>
          <t>434005</t>
        </is>
      </c>
      <c r="C1118" s="1" t="inlineStr">
        <is>
          <t>Vivid Teal Gloss Wall Tiles</t>
        </is>
      </c>
      <c r="D1118" s="1" t="n">
        <v>34.99</v>
      </c>
      <c r="E1118" s="1" t="inlineStr">
        <is>
          <t>150x400mm</t>
        </is>
      </c>
      <c r="F1118" s="1" t="inlineStr">
        <is>
          <t>m2</t>
        </is>
      </c>
      <c r="G1118" s="1" t="inlineStr">
        <is>
          <t>Ceramic</t>
        </is>
      </c>
      <c r="H1118" s="1" t="inlineStr">
        <is>
          <t>Gloss</t>
        </is>
      </c>
      <c r="I1118" t="n">
        <v>34.99</v>
      </c>
    </row>
    <row r="1119">
      <c r="A1119" s="1">
        <f>Hyperlink("https://www.tilemountain.co.uk/p/vivid-white-gloss-wall-tile.html","Product")</f>
        <v/>
      </c>
      <c r="B1119" s="1" t="inlineStr">
        <is>
          <t>433970</t>
        </is>
      </c>
      <c r="C1119" s="1" t="inlineStr">
        <is>
          <t>Vivid White Gloss Wall Tiles</t>
        </is>
      </c>
      <c r="D1119" s="1" t="n">
        <v>24.99</v>
      </c>
      <c r="E1119" s="1" t="inlineStr">
        <is>
          <t>150x400mm</t>
        </is>
      </c>
      <c r="F1119" s="1" t="inlineStr">
        <is>
          <t>m2</t>
        </is>
      </c>
      <c r="G1119" s="1" t="inlineStr">
        <is>
          <t>Ceramic</t>
        </is>
      </c>
      <c r="H1119" s="1" t="inlineStr">
        <is>
          <t>Gloss</t>
        </is>
      </c>
      <c r="I1119" t="n">
        <v>24.99</v>
      </c>
    </row>
    <row r="1120">
      <c r="A1120" s="1">
        <f>Hyperlink("https://www.tilemountain.co.uk/p/vivo-click-starter-kit.html","Product")</f>
        <v/>
      </c>
      <c r="B1120" s="1" t="inlineStr">
        <is>
          <t>445290</t>
        </is>
      </c>
      <c r="C1120" s="1" t="inlineStr">
        <is>
          <t>Xtrafloor Vinyl Starter Kit</t>
        </is>
      </c>
      <c r="D1120" s="1" t="n">
        <v>34.99</v>
      </c>
      <c r="E1120" s="1" t="inlineStr">
        <is>
          <t>-</t>
        </is>
      </c>
      <c r="F1120" s="1" t="inlineStr">
        <is>
          <t>Qty</t>
        </is>
      </c>
      <c r="G1120" s="1" t="inlineStr">
        <is>
          <t>-</t>
        </is>
      </c>
      <c r="H1120" s="1" t="inlineStr">
        <is>
          <t>-</t>
        </is>
      </c>
      <c r="I1120" t="n">
        <v>34.99</v>
      </c>
    </row>
    <row r="1121">
      <c r="A1121" s="1">
        <f>Hyperlink("https://www.tilemountain.co.uk/p/waterfront-60g.html","Product")</f>
        <v/>
      </c>
      <c r="B1121" s="1" t="inlineStr">
        <is>
          <t>443240</t>
        </is>
      </c>
      <c r="C1121" s="1" t="inlineStr">
        <is>
          <t>Waterfront Grey Matt Floor Tiles</t>
        </is>
      </c>
      <c r="D1121" s="1" t="n">
        <v>34.99</v>
      </c>
      <c r="E1121" s="1" t="inlineStr">
        <is>
          <t>600x600mm</t>
        </is>
      </c>
      <c r="F1121" s="1" t="inlineStr">
        <is>
          <t>m2</t>
        </is>
      </c>
      <c r="G1121" s="1" t="inlineStr">
        <is>
          <t>Porcelain</t>
        </is>
      </c>
      <c r="H1121" s="1" t="inlineStr">
        <is>
          <t>Matt</t>
        </is>
      </c>
      <c r="I1121" t="n">
        <v>34.99</v>
      </c>
    </row>
    <row r="1122">
      <c r="A1122" s="1">
        <f>Hyperlink("https://www.tilemountain.co.uk/p/waterfront-60n.html","Product")</f>
        <v/>
      </c>
      <c r="B1122" s="1" t="inlineStr">
        <is>
          <t>443255</t>
        </is>
      </c>
      <c r="C1122" s="1" t="inlineStr">
        <is>
          <t>Waterfront Black Matt Floor Tiles</t>
        </is>
      </c>
      <c r="D1122" s="1" t="n">
        <v>34.99</v>
      </c>
      <c r="E1122" s="1" t="inlineStr">
        <is>
          <t>600x600mm</t>
        </is>
      </c>
      <c r="F1122" s="1" t="inlineStr">
        <is>
          <t>m2</t>
        </is>
      </c>
      <c r="G1122" s="1" t="inlineStr">
        <is>
          <t>Porcelain</t>
        </is>
      </c>
      <c r="H1122" s="1" t="inlineStr">
        <is>
          <t>Matt</t>
        </is>
      </c>
      <c r="I1122" t="n">
        <v>34.99</v>
      </c>
    </row>
    <row r="1123">
      <c r="A1123" s="1">
        <f>Hyperlink("https://www.tilemountain.co.uk/p/waterfront-60w.html","Product")</f>
        <v/>
      </c>
      <c r="B1123" s="1" t="inlineStr">
        <is>
          <t>443260</t>
        </is>
      </c>
      <c r="C1123" s="1" t="inlineStr">
        <is>
          <t>Waterfront White Matt Floor Tiles</t>
        </is>
      </c>
      <c r="D1123" s="1" t="n">
        <v>34.99</v>
      </c>
      <c r="E1123" s="1" t="inlineStr">
        <is>
          <t>600x600mm</t>
        </is>
      </c>
      <c r="F1123" s="1" t="inlineStr">
        <is>
          <t>m2</t>
        </is>
      </c>
      <c r="G1123" s="1" t="inlineStr">
        <is>
          <t>Porcelain</t>
        </is>
      </c>
      <c r="H1123" s="1" t="inlineStr">
        <is>
          <t>Matt</t>
        </is>
      </c>
      <c r="I1123" t="n">
        <v>34.99</v>
      </c>
    </row>
    <row r="1124">
      <c r="A1124" s="1">
        <f>Hyperlink("https://www.tilemountain.co.uk/p/waterfront-90g.html","Product")</f>
        <v/>
      </c>
      <c r="B1124" s="1" t="inlineStr">
        <is>
          <t>443215</t>
        </is>
      </c>
      <c r="C1124" s="1" t="inlineStr">
        <is>
          <t>Waterfront Grey Matt Floor Tiles</t>
        </is>
      </c>
      <c r="D1124" s="1" t="n">
        <v>35.99</v>
      </c>
      <c r="E1124" s="1" t="inlineStr">
        <is>
          <t>900x900mm</t>
        </is>
      </c>
      <c r="F1124" s="1" t="inlineStr">
        <is>
          <t>m2</t>
        </is>
      </c>
      <c r="G1124" s="1" t="inlineStr">
        <is>
          <t>Porcelain</t>
        </is>
      </c>
      <c r="H1124" s="1" t="inlineStr">
        <is>
          <t>Matt</t>
        </is>
      </c>
      <c r="I1124" t="n">
        <v>35.99</v>
      </c>
    </row>
    <row r="1125">
      <c r="A1125" s="1">
        <f>Hyperlink("https://www.tilemountain.co.uk/p/waterfront-90w.html","Product")</f>
        <v/>
      </c>
      <c r="B1125" s="1" t="inlineStr">
        <is>
          <t>443235</t>
        </is>
      </c>
      <c r="C1125" s="1" t="inlineStr">
        <is>
          <t>Waterfront White Matt Floor Tiles</t>
        </is>
      </c>
      <c r="D1125" s="1" t="n">
        <v>35.99</v>
      </c>
      <c r="E1125" s="1" t="inlineStr">
        <is>
          <t>900x900mm</t>
        </is>
      </c>
      <c r="F1125" s="1" t="inlineStr">
        <is>
          <t>m2</t>
        </is>
      </c>
      <c r="G1125" s="1" t="inlineStr">
        <is>
          <t>Porcelain</t>
        </is>
      </c>
      <c r="H1125" s="1" t="inlineStr">
        <is>
          <t>Matt</t>
        </is>
      </c>
      <c r="I1125" t="n">
        <v>35.99</v>
      </c>
    </row>
    <row r="1126">
      <c r="A1126" s="1">
        <f>Hyperlink("https://www.tilemountain.co.uk/p/white-gloss-smooth-tiles-25x40cm.html","Product")</f>
        <v/>
      </c>
      <c r="B1126" s="1" t="inlineStr">
        <is>
          <t>1006815</t>
        </is>
      </c>
      <c r="C1126" s="1" t="inlineStr">
        <is>
          <t>White Gloss Smooth Tiles</t>
        </is>
      </c>
      <c r="D1126" s="1" t="n">
        <v>12.2</v>
      </c>
      <c r="E1126" s="1" t="inlineStr">
        <is>
          <t>400x250mm</t>
        </is>
      </c>
      <c r="F1126" s="1" t="inlineStr">
        <is>
          <t>m2</t>
        </is>
      </c>
      <c r="G1126" s="1" t="inlineStr">
        <is>
          <t>Ceramic</t>
        </is>
      </c>
      <c r="H1126" s="1" t="inlineStr">
        <is>
          <t>Gloss</t>
        </is>
      </c>
      <c r="I1126" t="n">
        <v>12.2</v>
      </c>
    </row>
    <row r="1127">
      <c r="A1127" s="1">
        <f>Hyperlink("https://www.tilemountain.co.uk/p/white-shimmer-ceramic-wall-tile.html","Product")</f>
        <v/>
      </c>
      <c r="B1127" s="1" t="inlineStr">
        <is>
          <t>449015</t>
        </is>
      </c>
      <c r="C1127" s="1" t="inlineStr">
        <is>
          <t>White Shimmer Wall Tile</t>
        </is>
      </c>
      <c r="D1127" s="1" t="n">
        <v>11.99</v>
      </c>
      <c r="E1127" s="1" t="inlineStr">
        <is>
          <t>600x300mm</t>
        </is>
      </c>
      <c r="F1127" s="1" t="inlineStr">
        <is>
          <t>m2</t>
        </is>
      </c>
      <c r="G1127" s="1" t="inlineStr">
        <is>
          <t>Ceramic</t>
        </is>
      </c>
      <c r="H1127" s="1" t="inlineStr">
        <is>
          <t>Matt</t>
        </is>
      </c>
      <c r="I1127" t="n">
        <v>11.99</v>
      </c>
    </row>
    <row r="1128">
      <c r="A1128" s="1">
        <f>Hyperlink("https://www.tilemountain.co.uk/p/wicker-grey-pattern-wall-and-floor-tile_1.html","Product")</f>
        <v/>
      </c>
      <c r="B1128" s="1" t="inlineStr">
        <is>
          <t>449010</t>
        </is>
      </c>
      <c r="C1128" s="1" t="inlineStr">
        <is>
          <t>Wicker Grey Pattern Wall and Floor Tile</t>
        </is>
      </c>
      <c r="D1128" s="1" t="n">
        <v>13.99</v>
      </c>
      <c r="E1128" s="1" t="inlineStr">
        <is>
          <t>330x330mm</t>
        </is>
      </c>
      <c r="F1128" s="1" t="inlineStr">
        <is>
          <t>m2</t>
        </is>
      </c>
      <c r="G1128" s="1" t="inlineStr">
        <is>
          <t>Porcelain</t>
        </is>
      </c>
      <c r="H1128" s="1" t="inlineStr">
        <is>
          <t>Matt</t>
        </is>
      </c>
      <c r="I1128" t="n">
        <v>13.99</v>
      </c>
    </row>
    <row r="1129">
      <c r="A1129" s="1">
        <f>Hyperlink("https://www.tilemountain.co.uk/p/windsor-grey-decor-wall-tile.html","Product")</f>
        <v/>
      </c>
      <c r="B1129" s="1" t="inlineStr">
        <is>
          <t>450570</t>
        </is>
      </c>
      <c r="C1129" s="1" t="inlineStr">
        <is>
          <t>Windsor Grey Decor Wall Tile</t>
        </is>
      </c>
      <c r="D1129" s="1" t="n">
        <v>11.99</v>
      </c>
      <c r="E1129" s="1" t="inlineStr">
        <is>
          <t>500x250mm</t>
        </is>
      </c>
      <c r="F1129" s="1" t="inlineStr">
        <is>
          <t>m2</t>
        </is>
      </c>
      <c r="G1129" s="1" t="inlineStr">
        <is>
          <t>Ceramic</t>
        </is>
      </c>
      <c r="H1129" s="1" t="inlineStr">
        <is>
          <t>Matt</t>
        </is>
      </c>
      <c r="I1129" t="n">
        <v>11.99</v>
      </c>
    </row>
    <row r="1130">
      <c r="A1130" s="1">
        <f>Hyperlink("https://www.tilemountain.co.uk/p/windsor-grey-wall-tile.html","Product")</f>
        <v/>
      </c>
      <c r="B1130" s="1" t="inlineStr">
        <is>
          <t>450555</t>
        </is>
      </c>
      <c r="C1130" s="1" t="inlineStr">
        <is>
          <t>Windsor Grey Wall Tile</t>
        </is>
      </c>
      <c r="D1130" s="1" t="n">
        <v>11.99</v>
      </c>
      <c r="E1130" s="1" t="inlineStr">
        <is>
          <t>500x250mm</t>
        </is>
      </c>
      <c r="F1130" s="1" t="inlineStr">
        <is>
          <t>m2</t>
        </is>
      </c>
      <c r="G1130" s="1" t="inlineStr">
        <is>
          <t>Ceramic</t>
        </is>
      </c>
      <c r="H1130" s="1" t="inlineStr">
        <is>
          <t>Matt</t>
        </is>
      </c>
      <c r="I1130" t="n">
        <v>11.99</v>
      </c>
    </row>
    <row r="1131">
      <c r="A1131" s="1">
        <f>Hyperlink("https://www.tilemountain.co.uk/p/windsor-ivory-decor-wall-tile.html","Product")</f>
        <v/>
      </c>
      <c r="B1131" s="1" t="inlineStr">
        <is>
          <t>450575</t>
        </is>
      </c>
      <c r="C1131" s="1" t="inlineStr">
        <is>
          <t>Windsor Ivory Decor Wall Tile</t>
        </is>
      </c>
      <c r="D1131" s="1" t="n">
        <v>11.99</v>
      </c>
      <c r="E1131" s="1" t="inlineStr">
        <is>
          <t>500x250mm</t>
        </is>
      </c>
      <c r="F1131" s="1" t="inlineStr">
        <is>
          <t>m2</t>
        </is>
      </c>
      <c r="G1131" s="1" t="inlineStr">
        <is>
          <t>Ceramic</t>
        </is>
      </c>
      <c r="H1131" s="1" t="inlineStr">
        <is>
          <t>Matt</t>
        </is>
      </c>
      <c r="I1131" t="n">
        <v>11.99</v>
      </c>
    </row>
    <row r="1132">
      <c r="A1132" s="1">
        <f>Hyperlink("https://www.tilemountain.co.uk/p/windsor-ivory-wall-tile.html","Product")</f>
        <v/>
      </c>
      <c r="B1132" s="1" t="inlineStr">
        <is>
          <t>450560</t>
        </is>
      </c>
      <c r="C1132" s="1" t="inlineStr">
        <is>
          <t>Windsor Ivory Wall Tile</t>
        </is>
      </c>
      <c r="D1132" s="1" t="n">
        <v>11.99</v>
      </c>
      <c r="E1132" s="1" t="inlineStr">
        <is>
          <t>500x250mm</t>
        </is>
      </c>
      <c r="F1132" s="1" t="inlineStr">
        <is>
          <t>m2</t>
        </is>
      </c>
      <c r="G1132" s="1" t="inlineStr">
        <is>
          <t>Ceramic</t>
        </is>
      </c>
      <c r="H1132" s="1" t="inlineStr">
        <is>
          <t>Matt</t>
        </is>
      </c>
      <c r="I1132" t="n">
        <v>11.99</v>
      </c>
    </row>
    <row r="1133">
      <c r="A1133" s="1">
        <f>Hyperlink("https://www.tilemountain.co.uk/p/windsor-white-decor-wall-tile.html","Product")</f>
        <v/>
      </c>
      <c r="B1133" s="1" t="inlineStr">
        <is>
          <t>450580</t>
        </is>
      </c>
      <c r="C1133" s="1" t="inlineStr">
        <is>
          <t>Windsor White Decor Wall Tile</t>
        </is>
      </c>
      <c r="D1133" s="1" t="n">
        <v>11.99</v>
      </c>
      <c r="E1133" s="1" t="inlineStr">
        <is>
          <t>500x250mm</t>
        </is>
      </c>
      <c r="F1133" s="1" t="inlineStr">
        <is>
          <t>m2</t>
        </is>
      </c>
      <c r="G1133" s="1" t="inlineStr">
        <is>
          <t>Ceramic</t>
        </is>
      </c>
      <c r="H1133" s="1" t="inlineStr">
        <is>
          <t>Matt</t>
        </is>
      </c>
      <c r="I1133" t="n">
        <v>11.99</v>
      </c>
    </row>
    <row r="1134">
      <c r="A1134" s="1">
        <f>Hyperlink("https://www.tilemountain.co.uk/p/windsor-white-wall-tile.html","Product")</f>
        <v/>
      </c>
      <c r="B1134" s="1" t="inlineStr">
        <is>
          <t>450565</t>
        </is>
      </c>
      <c r="C1134" s="1" t="inlineStr">
        <is>
          <t>Windsor White Wall Tile</t>
        </is>
      </c>
      <c r="D1134" s="1" t="n">
        <v>11.99</v>
      </c>
      <c r="E1134" s="1" t="inlineStr">
        <is>
          <t>500x250mm</t>
        </is>
      </c>
      <c r="F1134" s="1" t="inlineStr">
        <is>
          <t>m2</t>
        </is>
      </c>
      <c r="G1134" s="1" t="inlineStr">
        <is>
          <t>Ceramic</t>
        </is>
      </c>
      <c r="H1134" s="1" t="inlineStr">
        <is>
          <t>Matt</t>
        </is>
      </c>
      <c r="I1134" t="n">
        <v>11.99</v>
      </c>
    </row>
    <row r="1135">
      <c r="A1135" s="1">
        <f>Hyperlink("https://www.tilemountain.co.uk/p/xtrafloor-base-underlay-10m.html","Product")</f>
        <v/>
      </c>
      <c r="B1135" s="1" t="inlineStr">
        <is>
          <t>445285</t>
        </is>
      </c>
      <c r="C1135" s="1" t="inlineStr">
        <is>
          <t>Xtrafloor® Power Underlay 10m</t>
        </is>
      </c>
      <c r="D1135" s="1" t="n">
        <v>54.99</v>
      </c>
      <c r="E1135" s="1" t="inlineStr">
        <is>
          <t>1 x 10m Roll</t>
        </is>
      </c>
      <c r="F1135" s="1" t="inlineStr">
        <is>
          <t>Qty</t>
        </is>
      </c>
      <c r="G1135" s="1" t="inlineStr">
        <is>
          <t>-</t>
        </is>
      </c>
      <c r="H1135" s="1" t="inlineStr">
        <is>
          <t>-</t>
        </is>
      </c>
      <c r="I1135" t="n">
        <v>54.99</v>
      </c>
    </row>
    <row r="1136">
      <c r="A1136" s="1">
        <f>Hyperlink("https://www.tilemountain.co.uk/p/yosemite-grey-split-face-wall-tile.html","Product")</f>
        <v/>
      </c>
      <c r="B1136" s="1" t="inlineStr">
        <is>
          <t>437900</t>
        </is>
      </c>
      <c r="C1136" s="1" t="inlineStr">
        <is>
          <t>Yosemite Grey Split Face Wall Tiles</t>
        </is>
      </c>
      <c r="D1136" s="1" t="n">
        <v>23.99</v>
      </c>
      <c r="E1136" s="1" t="inlineStr">
        <is>
          <t>660x440mm</t>
        </is>
      </c>
      <c r="F1136" s="1" t="inlineStr">
        <is>
          <t>m2</t>
        </is>
      </c>
      <c r="G1136" s="1" t="inlineStr">
        <is>
          <t>Glazed Porcelain</t>
        </is>
      </c>
      <c r="H1136" s="1" t="inlineStr">
        <is>
          <t>Matt</t>
        </is>
      </c>
      <c r="I1136" t="n">
        <v>23.99</v>
      </c>
    </row>
    <row r="1137">
      <c r="A1137" s="1">
        <f>Hyperlink("https://www.tilemountain.co.uk/p/yosemite-grey-wall-and-floor-tile.html","Product")</f>
        <v/>
      </c>
      <c r="B1137" s="1" t="inlineStr">
        <is>
          <t>437910</t>
        </is>
      </c>
      <c r="C1137" s="1" t="inlineStr">
        <is>
          <t>Yosemite Grey Wall and Floor Tiles</t>
        </is>
      </c>
      <c r="D1137" s="1" t="n">
        <v>22.99</v>
      </c>
      <c r="E1137" s="1" t="inlineStr">
        <is>
          <t>660x440mm</t>
        </is>
      </c>
      <c r="F1137" s="1" t="inlineStr">
        <is>
          <t>m2</t>
        </is>
      </c>
      <c r="G1137" s="1" t="inlineStr">
        <is>
          <t>Glazed Porcelain</t>
        </is>
      </c>
      <c r="H1137" s="1" t="inlineStr">
        <is>
          <t>Matt</t>
        </is>
      </c>
      <c r="I1137" t="n">
        <v>22.99</v>
      </c>
    </row>
    <row r="1138">
      <c r="A1138" s="1">
        <f>Hyperlink("https://www.tilemountain.co.uk/p/yosemite-ivory-split-face-wall-tile.html","Product")</f>
        <v/>
      </c>
      <c r="B1138" s="1" t="inlineStr">
        <is>
          <t>437895</t>
        </is>
      </c>
      <c r="C1138" s="1" t="inlineStr">
        <is>
          <t>Yosemite Ivory Split Face Wall Tiles</t>
        </is>
      </c>
      <c r="D1138" s="1" t="n">
        <v>23.99</v>
      </c>
      <c r="E1138" s="1" t="inlineStr">
        <is>
          <t>660x440mm</t>
        </is>
      </c>
      <c r="F1138" s="1" t="inlineStr">
        <is>
          <t>m2</t>
        </is>
      </c>
      <c r="G1138" s="1" t="inlineStr">
        <is>
          <t>Glazed Porcelain</t>
        </is>
      </c>
      <c r="H1138" s="1" t="inlineStr">
        <is>
          <t>Matt</t>
        </is>
      </c>
      <c r="I1138" t="n">
        <v>23.99</v>
      </c>
    </row>
    <row r="1139">
      <c r="A1139" s="1">
        <f>Hyperlink("https://www.tilemountain.co.uk/p/yosemite-ivory-wall-and-floor-tile.html","Product")</f>
        <v/>
      </c>
      <c r="B1139" s="1" t="inlineStr">
        <is>
          <t>437905</t>
        </is>
      </c>
      <c r="C1139" s="1" t="inlineStr">
        <is>
          <t>Yosemite Ivory Wall and Floor Tiles</t>
        </is>
      </c>
      <c r="D1139" s="1" t="n">
        <v>22.99</v>
      </c>
      <c r="E1139" s="1" t="inlineStr">
        <is>
          <t>660x440mm</t>
        </is>
      </c>
      <c r="F1139" s="1" t="inlineStr">
        <is>
          <t>m2</t>
        </is>
      </c>
      <c r="G1139" s="1" t="inlineStr">
        <is>
          <t>Glazed Porcelain</t>
        </is>
      </c>
      <c r="H1139" s="1" t="inlineStr">
        <is>
          <t>Matt</t>
        </is>
      </c>
      <c r="I1139" t="n">
        <v>22.99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CurrentPrice</t>
        </is>
      </c>
      <c r="E1" s="1" t="inlineStr">
        <is>
          <t>Size</t>
        </is>
      </c>
      <c r="F1" s="1" t="inlineStr">
        <is>
          <t>Unit</t>
        </is>
      </c>
      <c r="G1" s="1" t="inlineStr">
        <is>
          <t>Material</t>
        </is>
      </c>
      <c r="H1" s="1" t="inlineStr">
        <is>
          <t>Finish</t>
        </is>
      </c>
      <c r="I1" s="1" t="inlineStr">
        <is>
          <t>16/10/2021</t>
        </is>
      </c>
    </row>
    <row r="2">
      <c r="A2" s="1">
        <f>Hyperlink("https://www.tilemountain.co.uk/p/100-pcs-per-pack-1mm-levelling-spacer.html","Product")</f>
        <v/>
      </c>
      <c r="B2" s="1" t="inlineStr">
        <is>
          <t>443385</t>
        </is>
      </c>
      <c r="C2" s="1" t="inlineStr">
        <is>
          <t>Levelling Clips - 100 per pack</t>
        </is>
      </c>
      <c r="D2" s="1" t="n">
        <v>7.49</v>
      </c>
      <c r="E2" s="1" t="inlineStr">
        <is>
          <t>-</t>
        </is>
      </c>
      <c r="F2" s="1" t="inlineStr">
        <is>
          <t>Qty</t>
        </is>
      </c>
      <c r="G2" s="1" t="inlineStr">
        <is>
          <t>-</t>
        </is>
      </c>
      <c r="H2" s="1" t="inlineStr">
        <is>
          <t>-</t>
        </is>
      </c>
      <c r="I2" t="inlineStr">
        <is>
          <t>In Stock</t>
        </is>
      </c>
    </row>
    <row r="3">
      <c r="A3" s="1">
        <f>Hyperlink("https://www.tilemountain.co.uk/p/1000mm-chrome-effect-doorway-trim.html","Product")</f>
        <v/>
      </c>
      <c r="B3" s="1" t="inlineStr">
        <is>
          <t>451215</t>
        </is>
      </c>
      <c r="C3" s="1" t="inlineStr">
        <is>
          <t>1000mm Chrome Effect Doorway Trim</t>
        </is>
      </c>
      <c r="D3" s="1" t="n">
        <v>10.9</v>
      </c>
      <c r="E3" s="1" t="inlineStr">
        <is>
          <t>-</t>
        </is>
      </c>
      <c r="F3" s="1" t="inlineStr">
        <is>
          <t>Qty</t>
        </is>
      </c>
      <c r="G3" s="1" t="inlineStr">
        <is>
          <t>-</t>
        </is>
      </c>
      <c r="H3" s="1" t="inlineStr">
        <is>
          <t>-</t>
        </is>
      </c>
      <c r="I3" t="n">
        <v>22</v>
      </c>
    </row>
    <row r="4">
      <c r="A4" s="1">
        <f>Hyperlink("https://www.tilemountain.co.uk/p/1000mm-gold-effect-doorway-trim.html","Product")</f>
        <v/>
      </c>
      <c r="B4" s="1" t="inlineStr">
        <is>
          <t>451220</t>
        </is>
      </c>
      <c r="C4" s="1" t="inlineStr">
        <is>
          <t>1000mm Gold Effect Doorway Trim</t>
        </is>
      </c>
      <c r="D4" s="1" t="n">
        <v>10.9</v>
      </c>
      <c r="E4" s="1" t="inlineStr">
        <is>
          <t>-</t>
        </is>
      </c>
      <c r="F4" s="1" t="inlineStr">
        <is>
          <t>Qty</t>
        </is>
      </c>
      <c r="G4" s="1" t="inlineStr">
        <is>
          <t>-</t>
        </is>
      </c>
      <c r="H4" s="1" t="inlineStr">
        <is>
          <t>-</t>
        </is>
      </c>
      <c r="I4" t="inlineStr">
        <is>
          <t>In Stock</t>
        </is>
      </c>
    </row>
    <row r="5">
      <c r="A5" s="1">
        <f>Hyperlink("https://www.tilemountain.co.uk/p/1000mm-pro-manual-tile-cutter-1000mm.html","Product")</f>
        <v/>
      </c>
      <c r="B5" s="1" t="inlineStr">
        <is>
          <t>450880</t>
        </is>
      </c>
      <c r="C5" s="1" t="inlineStr">
        <is>
          <t>1000mm Pro Manual Tile Cutter 1000mm</t>
        </is>
      </c>
      <c r="D5" s="1" t="n">
        <v>124.99</v>
      </c>
      <c r="E5" s="1" t="inlineStr">
        <is>
          <t>-</t>
        </is>
      </c>
      <c r="F5" s="1" t="inlineStr">
        <is>
          <t>Qty</t>
        </is>
      </c>
      <c r="G5" s="1" t="inlineStr">
        <is>
          <t>-</t>
        </is>
      </c>
      <c r="H5" s="1" t="inlineStr">
        <is>
          <t>-</t>
        </is>
      </c>
      <c r="I5" t="inlineStr">
        <is>
          <t>In Stock</t>
        </is>
      </c>
    </row>
    <row r="6">
      <c r="A6" s="1">
        <f>Hyperlink("https://www.tilemountain.co.uk/p/10mm-porcelain-diamond-drill-bit.html","Product")</f>
        <v/>
      </c>
      <c r="B6" s="1" t="inlineStr">
        <is>
          <t>450815</t>
        </is>
      </c>
      <c r="C6" s="1" t="inlineStr">
        <is>
          <t>10mm Porcelain Diamond Drill Bit</t>
        </is>
      </c>
      <c r="D6" s="1" t="n">
        <v>9.49</v>
      </c>
      <c r="E6" s="1" t="inlineStr">
        <is>
          <t>-</t>
        </is>
      </c>
      <c r="F6" s="1" t="inlineStr">
        <is>
          <t>Qty</t>
        </is>
      </c>
      <c r="G6" s="1" t="inlineStr">
        <is>
          <t>-</t>
        </is>
      </c>
      <c r="H6" s="1" t="inlineStr">
        <is>
          <t>-</t>
        </is>
      </c>
      <c r="I6" t="inlineStr">
        <is>
          <t>In Stock</t>
        </is>
      </c>
    </row>
    <row r="7">
      <c r="A7" s="1">
        <f>Hyperlink("https://www.tilemountain.co.uk/p/10mm-professional-square-notched-floor-trowel-5407.html","Product")</f>
        <v/>
      </c>
      <c r="B7" s="1" t="inlineStr">
        <is>
          <t>450625</t>
        </is>
      </c>
      <c r="C7" s="1" t="inlineStr">
        <is>
          <t>10mm Professional Square Notched Floor Trowel</t>
        </is>
      </c>
      <c r="D7" s="1" t="n">
        <v>7.99</v>
      </c>
      <c r="E7" s="1" t="inlineStr">
        <is>
          <t>-</t>
        </is>
      </c>
      <c r="F7" s="1" t="inlineStr">
        <is>
          <t>Qty</t>
        </is>
      </c>
      <c r="G7" s="1" t="inlineStr">
        <is>
          <t>-</t>
        </is>
      </c>
      <c r="H7" s="1" t="inlineStr">
        <is>
          <t>-</t>
        </is>
      </c>
      <c r="I7" t="n">
        <v>18</v>
      </c>
    </row>
    <row r="8">
      <c r="A8" s="1">
        <f>Hyperlink("https://www.tilemountain.co.uk/p/12mm-hardie-backer-board-pallet-deal-50-panels.html","Product")</f>
        <v/>
      </c>
      <c r="B8" s="1" t="inlineStr">
        <is>
          <t>445680-pd</t>
        </is>
      </c>
      <c r="C8" s="1" t="inlineStr">
        <is>
          <t>12mm HardieBacker Board (Pallet Deal - 50 Panels)</t>
        </is>
      </c>
      <c r="D8" s="1" t="n">
        <v>627</v>
      </c>
      <c r="E8" s="1" t="inlineStr">
        <is>
          <t>-</t>
        </is>
      </c>
      <c r="F8" s="1" t="inlineStr">
        <is>
          <t>Qty</t>
        </is>
      </c>
      <c r="G8" s="1" t="inlineStr">
        <is>
          <t>-</t>
        </is>
      </c>
      <c r="H8" s="1" t="inlineStr">
        <is>
          <t>-</t>
        </is>
      </c>
      <c r="I8" t="inlineStr">
        <is>
          <t>In Stock</t>
        </is>
      </c>
    </row>
    <row r="9">
      <c r="A9" s="1">
        <f>Hyperlink("https://www.tilemountain.co.uk/p/12mm-hardie-backer-board.html","Product")</f>
        <v/>
      </c>
      <c r="B9" s="1" t="inlineStr">
        <is>
          <t>445680</t>
        </is>
      </c>
      <c r="C9" s="1" t="inlineStr">
        <is>
          <t>12mm HardieBacker Board 1200x800</t>
        </is>
      </c>
      <c r="D9" s="1" t="n">
        <v>14.53</v>
      </c>
      <c r="E9" s="1" t="inlineStr">
        <is>
          <t>800x1200mm</t>
        </is>
      </c>
      <c r="F9" s="1" t="inlineStr">
        <is>
          <t>m2</t>
        </is>
      </c>
      <c r="G9" s="1" t="inlineStr">
        <is>
          <t>-</t>
        </is>
      </c>
      <c r="H9" s="1" t="inlineStr">
        <is>
          <t>-</t>
        </is>
      </c>
      <c r="I9" t="inlineStr">
        <is>
          <t>In Stock</t>
        </is>
      </c>
    </row>
    <row r="10">
      <c r="A10" s="1">
        <f>Hyperlink("https://www.tilemountain.co.uk/p/18mm-porcelain-diamond-drill-bit.html","Product")</f>
        <v/>
      </c>
      <c r="B10" s="1" t="inlineStr">
        <is>
          <t>450820</t>
        </is>
      </c>
      <c r="C10" s="1" t="inlineStr">
        <is>
          <t>18mm Porcelain Diamond Drill Bit</t>
        </is>
      </c>
      <c r="D10" s="1" t="n">
        <v>16.99</v>
      </c>
      <c r="E10" s="1" t="inlineStr">
        <is>
          <t>-</t>
        </is>
      </c>
      <c r="F10" s="1" t="inlineStr">
        <is>
          <t>Qty</t>
        </is>
      </c>
      <c r="G10" s="1" t="inlineStr">
        <is>
          <t>-</t>
        </is>
      </c>
      <c r="H10" s="1" t="inlineStr">
        <is>
          <t>-</t>
        </is>
      </c>
      <c r="I10" t="inlineStr">
        <is>
          <t>In Stock</t>
        </is>
      </c>
    </row>
    <row r="11">
      <c r="A11" s="1">
        <f>Hyperlink("https://www.tilemountain.co.uk/p/1mm-loose-spacers-x-500.html","Product")</f>
        <v/>
      </c>
      <c r="B11" s="1" t="inlineStr">
        <is>
          <t>450755</t>
        </is>
      </c>
      <c r="C11" s="1" t="inlineStr">
        <is>
          <t>1mm Loose Spacers x 500</t>
        </is>
      </c>
      <c r="D11" s="1" t="n">
        <v>4.99</v>
      </c>
      <c r="E11" s="1" t="inlineStr">
        <is>
          <t>-</t>
        </is>
      </c>
      <c r="F11" s="1" t="inlineStr">
        <is>
          <t>Qty</t>
        </is>
      </c>
      <c r="G11" s="1" t="inlineStr">
        <is>
          <t>-</t>
        </is>
      </c>
      <c r="H11" s="1" t="inlineStr">
        <is>
          <t>-</t>
        </is>
      </c>
      <c r="I11" t="n">
        <v>25</v>
      </c>
    </row>
    <row r="12">
      <c r="A12" s="1">
        <f>Hyperlink("https://www.tilemountain.co.uk/p/1mm-tile-wedge-levelling-base-100-per-pack.html","Product")</f>
        <v/>
      </c>
      <c r="B12" s="1" t="inlineStr">
        <is>
          <t>450860</t>
        </is>
      </c>
      <c r="C12" s="1" t="inlineStr">
        <is>
          <t>1mm Tile Wedge Levelling Base - 100 per pack</t>
        </is>
      </c>
      <c r="D12" s="1" t="n">
        <v>6.99</v>
      </c>
      <c r="E12" s="1" t="inlineStr">
        <is>
          <t>-</t>
        </is>
      </c>
      <c r="F12" s="1" t="inlineStr">
        <is>
          <t>Qty</t>
        </is>
      </c>
      <c r="G12" s="1" t="inlineStr">
        <is>
          <t>-</t>
        </is>
      </c>
      <c r="H12" s="1" t="inlineStr">
        <is>
          <t>-</t>
        </is>
      </c>
      <c r="I12" t="n">
        <v>47</v>
      </c>
    </row>
    <row r="13">
      <c r="A13" s="1">
        <f>Hyperlink("https://www.tilemountain.co.uk/p/25mm-porcelain-diamond-drill-bit.html","Product")</f>
        <v/>
      </c>
      <c r="B13" s="1" t="inlineStr">
        <is>
          <t>450825</t>
        </is>
      </c>
      <c r="C13" s="1" t="inlineStr">
        <is>
          <t>25mm Porcelain Diamond Drill Bit</t>
        </is>
      </c>
      <c r="D13" s="1" t="n">
        <v>22.99</v>
      </c>
      <c r="E13" s="1" t="inlineStr">
        <is>
          <t>-</t>
        </is>
      </c>
      <c r="F13" s="1" t="inlineStr">
        <is>
          <t>Qty</t>
        </is>
      </c>
      <c r="G13" s="1" t="inlineStr">
        <is>
          <t>-</t>
        </is>
      </c>
      <c r="H13" s="1" t="inlineStr">
        <is>
          <t>-</t>
        </is>
      </c>
      <c r="I13" t="inlineStr">
        <is>
          <t>In Stock</t>
        </is>
      </c>
    </row>
    <row r="14">
      <c r="A14" s="1">
        <f>Hyperlink("https://www.tilemountain.co.uk/p/25mm-screws-for-floors.html","Product")</f>
        <v/>
      </c>
      <c r="B14" s="1" t="inlineStr">
        <is>
          <t>445685</t>
        </is>
      </c>
      <c r="C14" s="1" t="inlineStr">
        <is>
          <t>25mm HardieBacker Screws for Floors</t>
        </is>
      </c>
      <c r="D14" s="1" t="n">
        <v>7.49</v>
      </c>
      <c r="E14" s="1" t="inlineStr">
        <is>
          <t>-</t>
        </is>
      </c>
      <c r="F14" s="1" t="inlineStr">
        <is>
          <t>Qty</t>
        </is>
      </c>
      <c r="G14" s="1" t="inlineStr">
        <is>
          <t>-</t>
        </is>
      </c>
      <c r="H14" s="1" t="inlineStr">
        <is>
          <t>-</t>
        </is>
      </c>
      <c r="I14" t="n">
        <v>29</v>
      </c>
    </row>
    <row r="15">
      <c r="A15" s="1">
        <f>Hyperlink("https://www.tilemountain.co.uk/p/2mm-loose-spacers-x-250.html","Product")</f>
        <v/>
      </c>
      <c r="B15" s="1" t="inlineStr">
        <is>
          <t>450760</t>
        </is>
      </c>
      <c r="C15" s="1" t="inlineStr">
        <is>
          <t>2mm Loose Spacers x 250</t>
        </is>
      </c>
      <c r="D15" s="1" t="n">
        <v>2.49</v>
      </c>
      <c r="E15" s="1" t="inlineStr">
        <is>
          <t>-</t>
        </is>
      </c>
      <c r="F15" s="1" t="inlineStr">
        <is>
          <t>Qty</t>
        </is>
      </c>
      <c r="G15" s="1" t="inlineStr">
        <is>
          <t>-</t>
        </is>
      </c>
      <c r="H15" s="1" t="inlineStr">
        <is>
          <t>-</t>
        </is>
      </c>
      <c r="I15" t="n">
        <v>60</v>
      </c>
    </row>
    <row r="16">
      <c r="A16" s="1">
        <f>Hyperlink("https://www.tilemountain.co.uk/p/2mm-loose-spacers-x-500.html","Product")</f>
        <v/>
      </c>
      <c r="B16" s="1" t="inlineStr">
        <is>
          <t>450780</t>
        </is>
      </c>
      <c r="C16" s="1" t="inlineStr">
        <is>
          <t>2mm Loose Spacers x 500</t>
        </is>
      </c>
      <c r="D16" s="1" t="n">
        <v>4.99</v>
      </c>
      <c r="E16" s="1" t="inlineStr">
        <is>
          <t>-</t>
        </is>
      </c>
      <c r="F16" s="1" t="inlineStr">
        <is>
          <t>Qty</t>
        </is>
      </c>
      <c r="G16" s="1" t="inlineStr">
        <is>
          <t>-</t>
        </is>
      </c>
      <c r="H16" s="1" t="inlineStr">
        <is>
          <t>-</t>
        </is>
      </c>
      <c r="I16" t="n">
        <v>60</v>
      </c>
    </row>
    <row r="17">
      <c r="A17" s="1">
        <f>Hyperlink("https://www.tilemountain.co.uk/p/2mm-mustang-levelling-clips-100-pack.html","Product")</f>
        <v/>
      </c>
      <c r="B17" s="1" t="inlineStr">
        <is>
          <t>443855</t>
        </is>
      </c>
      <c r="C17" s="1" t="inlineStr">
        <is>
          <t>2mm Mustang Levelling Clips (100 pack)</t>
        </is>
      </c>
      <c r="D17" s="1" t="n">
        <v>11.99</v>
      </c>
      <c r="E17" s="1" t="inlineStr">
        <is>
          <t>-</t>
        </is>
      </c>
      <c r="F17" s="1" t="inlineStr">
        <is>
          <t>Qty</t>
        </is>
      </c>
      <c r="G17" s="1" t="inlineStr">
        <is>
          <t>-</t>
        </is>
      </c>
      <c r="H17" s="1" t="inlineStr">
        <is>
          <t>-</t>
        </is>
      </c>
      <c r="I17" t="inlineStr">
        <is>
          <t>In Stock</t>
        </is>
      </c>
    </row>
    <row r="18">
      <c r="A18" s="1">
        <f>Hyperlink("https://www.tilemountain.co.uk/p/2mm-t-spacers-x-250_1.html","Product")</f>
        <v/>
      </c>
      <c r="B18" s="1" t="inlineStr">
        <is>
          <t>450750</t>
        </is>
      </c>
      <c r="C18" s="1" t="inlineStr">
        <is>
          <t>2mm T Spacers x 250</t>
        </is>
      </c>
      <c r="D18" s="1" t="n">
        <v>2.99</v>
      </c>
      <c r="E18" s="1" t="inlineStr">
        <is>
          <t>-</t>
        </is>
      </c>
      <c r="F18" s="1" t="inlineStr">
        <is>
          <t>Qty</t>
        </is>
      </c>
      <c r="G18" s="1" t="inlineStr">
        <is>
          <t>-</t>
        </is>
      </c>
      <c r="H18" s="1" t="inlineStr">
        <is>
          <t>-</t>
        </is>
      </c>
      <c r="I18" t="n">
        <v>20</v>
      </c>
    </row>
    <row r="19">
      <c r="A19" s="1">
        <f>Hyperlink("https://www.tilemountain.co.uk/p/2mm-tile-wedge-levelling-base-100-per-pack.html","Product")</f>
        <v/>
      </c>
      <c r="B19" s="1" t="inlineStr">
        <is>
          <t>450865</t>
        </is>
      </c>
      <c r="C19" s="1" t="inlineStr">
        <is>
          <t>2mm Tile Wedge Levelling Base - 100 per pack</t>
        </is>
      </c>
      <c r="D19" s="1" t="n">
        <v>6.99</v>
      </c>
      <c r="E19" s="1" t="inlineStr">
        <is>
          <t>-</t>
        </is>
      </c>
      <c r="F19" s="1" t="inlineStr">
        <is>
          <t>Qty</t>
        </is>
      </c>
      <c r="G19" s="1" t="inlineStr">
        <is>
          <t>-</t>
        </is>
      </c>
      <c r="H19" s="1" t="inlineStr">
        <is>
          <t>-</t>
        </is>
      </c>
      <c r="I19" t="n">
        <v>98</v>
      </c>
    </row>
    <row r="20">
      <c r="A20" s="1">
        <f>Hyperlink("https://www.tilemountain.co.uk/p/32mm-screws-for-walls.html","Product")</f>
        <v/>
      </c>
      <c r="B20" s="1" t="inlineStr">
        <is>
          <t>445690</t>
        </is>
      </c>
      <c r="C20" s="1" t="inlineStr">
        <is>
          <t>32mm HardieBacker Screws for Walls</t>
        </is>
      </c>
      <c r="D20" s="1" t="n">
        <v>7.95</v>
      </c>
      <c r="E20" s="1" t="inlineStr">
        <is>
          <t>-</t>
        </is>
      </c>
      <c r="F20" s="1" t="inlineStr">
        <is>
          <t>Qty</t>
        </is>
      </c>
      <c r="G20" s="1" t="inlineStr">
        <is>
          <t>-</t>
        </is>
      </c>
      <c r="H20" s="1" t="inlineStr">
        <is>
          <t>-</t>
        </is>
      </c>
      <c r="I20" t="n">
        <v>12</v>
      </c>
    </row>
    <row r="21">
      <c r="A21" s="1">
        <f>Hyperlink("https://www.tilemountain.co.uk/p/35mm-porcelain-diamond-drill-bit.html","Product")</f>
        <v/>
      </c>
      <c r="B21" s="1" t="inlineStr">
        <is>
          <t>450830</t>
        </is>
      </c>
      <c r="C21" s="1" t="inlineStr">
        <is>
          <t>35mm Porcelain Diamond Drill Bit</t>
        </is>
      </c>
      <c r="D21" s="1" t="n">
        <v>31.99</v>
      </c>
      <c r="E21" s="1" t="inlineStr">
        <is>
          <t>-</t>
        </is>
      </c>
      <c r="F21" s="1" t="inlineStr">
        <is>
          <t>Qty</t>
        </is>
      </c>
      <c r="G21" s="1" t="inlineStr">
        <is>
          <t>-</t>
        </is>
      </c>
      <c r="H21" s="1" t="inlineStr">
        <is>
          <t>-</t>
        </is>
      </c>
      <c r="I21" t="inlineStr">
        <is>
          <t>In Stock</t>
        </is>
      </c>
    </row>
    <row r="22">
      <c r="A22" s="1">
        <f>Hyperlink("https://www.tilemountain.co.uk/p/35mm-porcelain-drill-bit-2566.html","Product")</f>
        <v/>
      </c>
      <c r="B22" s="1" t="inlineStr">
        <is>
          <t>439345</t>
        </is>
      </c>
      <c r="C22" s="1" t="inlineStr">
        <is>
          <t>Tile Ac. 35mm Porcelain Drill Bit</t>
        </is>
      </c>
      <c r="D22" s="1" t="n">
        <v>23.99</v>
      </c>
      <c r="E22" s="1" t="inlineStr">
        <is>
          <t>-</t>
        </is>
      </c>
      <c r="F22" s="1" t="inlineStr">
        <is>
          <t>Qty</t>
        </is>
      </c>
      <c r="G22" s="1" t="inlineStr">
        <is>
          <t>-</t>
        </is>
      </c>
      <c r="H22" s="1" t="inlineStr">
        <is>
          <t>-</t>
        </is>
      </c>
      <c r="I22" t="inlineStr">
        <is>
          <t>In Stock</t>
        </is>
      </c>
    </row>
    <row r="23">
      <c r="A23" s="1">
        <f>Hyperlink("https://www.tilemountain.co.uk/p/3mm-loose-spacers-x-250.html","Product")</f>
        <v/>
      </c>
      <c r="B23" s="1" t="inlineStr">
        <is>
          <t>450765</t>
        </is>
      </c>
      <c r="C23" s="1" t="inlineStr">
        <is>
          <t>3mm Loose Spacers x 250</t>
        </is>
      </c>
      <c r="D23" s="1" t="n">
        <v>2.49</v>
      </c>
      <c r="E23" s="1" t="inlineStr">
        <is>
          <t>-</t>
        </is>
      </c>
      <c r="F23" s="1" t="inlineStr">
        <is>
          <t>Qty</t>
        </is>
      </c>
      <c r="G23" s="1" t="inlineStr">
        <is>
          <t>-</t>
        </is>
      </c>
      <c r="H23" s="1" t="inlineStr">
        <is>
          <t>-</t>
        </is>
      </c>
      <c r="I23" t="n">
        <v>23</v>
      </c>
    </row>
    <row r="24">
      <c r="A24" s="1">
        <f>Hyperlink("https://www.tilemountain.co.uk/p/3mm-loose-spacers-x-500.html","Product")</f>
        <v/>
      </c>
      <c r="B24" s="1" t="inlineStr">
        <is>
          <t>450785</t>
        </is>
      </c>
      <c r="C24" s="1" t="inlineStr">
        <is>
          <t>3mm Loose Spacers x 500</t>
        </is>
      </c>
      <c r="D24" s="1" t="n">
        <v>4.99</v>
      </c>
      <c r="E24" s="1" t="inlineStr">
        <is>
          <t>-</t>
        </is>
      </c>
      <c r="F24" s="1" t="inlineStr">
        <is>
          <t>Qty</t>
        </is>
      </c>
      <c r="G24" s="1" t="inlineStr">
        <is>
          <t>-</t>
        </is>
      </c>
      <c r="H24" s="1" t="inlineStr">
        <is>
          <t>-</t>
        </is>
      </c>
      <c r="I24" t="n">
        <v>48</v>
      </c>
    </row>
    <row r="25">
      <c r="A25" s="1">
        <f>Hyperlink("https://www.tilemountain.co.uk/p/3mm-mustang-levelling-clips-100-pack.html","Product")</f>
        <v/>
      </c>
      <c r="B25" s="1" t="inlineStr">
        <is>
          <t>443860</t>
        </is>
      </c>
      <c r="C25" s="1" t="inlineStr">
        <is>
          <t>3mm Mustang Levelling Clips (100 pack)</t>
        </is>
      </c>
      <c r="D25" s="1" t="n">
        <v>11.99</v>
      </c>
      <c r="E25" s="1" t="inlineStr">
        <is>
          <t>-</t>
        </is>
      </c>
      <c r="F25" s="1" t="inlineStr">
        <is>
          <t>Qty</t>
        </is>
      </c>
      <c r="G25" s="1" t="inlineStr">
        <is>
          <t>-</t>
        </is>
      </c>
      <c r="H25" s="1" t="inlineStr">
        <is>
          <t>-</t>
        </is>
      </c>
      <c r="I25" t="n">
        <v>13</v>
      </c>
    </row>
    <row r="26">
      <c r="A26" s="1">
        <f>Hyperlink("https://www.tilemountain.co.uk/p/3mm-spacers-x-2500.html","Product")</f>
        <v/>
      </c>
      <c r="B26" s="1" t="inlineStr">
        <is>
          <t>450795</t>
        </is>
      </c>
      <c r="C26" s="1" t="inlineStr">
        <is>
          <t>3mm Spacers x 2500</t>
        </is>
      </c>
      <c r="D26" s="1" t="n">
        <v>12.99</v>
      </c>
      <c r="E26" s="1" t="inlineStr">
        <is>
          <t>-</t>
        </is>
      </c>
      <c r="F26" s="1" t="inlineStr">
        <is>
          <t>Qty</t>
        </is>
      </c>
      <c r="G26" s="1" t="inlineStr">
        <is>
          <t>-</t>
        </is>
      </c>
      <c r="H26" s="1" t="inlineStr">
        <is>
          <t>-</t>
        </is>
      </c>
      <c r="I26" t="n">
        <v>11</v>
      </c>
    </row>
    <row r="27">
      <c r="A27" s="1">
        <f>Hyperlink("https://www.tilemountain.co.uk/p/4-into-1-silicone-sealant-jasmine.html","Product")</f>
        <v/>
      </c>
      <c r="B27" s="1" t="inlineStr">
        <is>
          <t>450385</t>
        </is>
      </c>
      <c r="C27" s="1" t="inlineStr">
        <is>
          <t>4 Into 1 Silicone Sealant- Golden Jasmine</t>
        </is>
      </c>
      <c r="D27" s="1" t="n">
        <v>6.99</v>
      </c>
      <c r="E27" s="1" t="inlineStr">
        <is>
          <t>-</t>
        </is>
      </c>
      <c r="F27" s="1" t="inlineStr">
        <is>
          <t>Qty</t>
        </is>
      </c>
      <c r="G27" s="1" t="inlineStr">
        <is>
          <t>-</t>
        </is>
      </c>
      <c r="H27" s="1" t="inlineStr">
        <is>
          <t>-</t>
        </is>
      </c>
      <c r="I27" t="inlineStr">
        <is>
          <t>In Stock</t>
        </is>
      </c>
    </row>
    <row r="28">
      <c r="A28" s="1">
        <f>Hyperlink("https://www.tilemountain.co.uk/p/4-into-1-silicone-sealant-silver-grey.html","Product")</f>
        <v/>
      </c>
      <c r="B28" s="1" t="inlineStr">
        <is>
          <t>450390</t>
        </is>
      </c>
      <c r="C28" s="1" t="inlineStr">
        <is>
          <t>4 Into 1 Silicone Sealant - Silver Grey</t>
        </is>
      </c>
      <c r="D28" s="1" t="n">
        <v>6.99</v>
      </c>
      <c r="E28" s="1" t="inlineStr">
        <is>
          <t>-</t>
        </is>
      </c>
      <c r="F28" s="1" t="inlineStr">
        <is>
          <t>Qty</t>
        </is>
      </c>
      <c r="G28" s="1" t="inlineStr">
        <is>
          <t>-</t>
        </is>
      </c>
      <c r="H28" s="1" t="inlineStr">
        <is>
          <t>-</t>
        </is>
      </c>
      <c r="I28" t="inlineStr">
        <is>
          <t>In Stock</t>
        </is>
      </c>
    </row>
    <row r="29">
      <c r="A29" s="1">
        <f>Hyperlink("https://www.tilemountain.co.uk/p/4-into-1-silicone-sealant-steel-grey.html","Product")</f>
        <v/>
      </c>
      <c r="B29" s="1" t="inlineStr">
        <is>
          <t>450395</t>
        </is>
      </c>
      <c r="C29" s="1" t="inlineStr">
        <is>
          <t>4 Into 1 Silicone Sealant - Steel Grey</t>
        </is>
      </c>
      <c r="D29" s="1" t="n">
        <v>6.99</v>
      </c>
      <c r="E29" s="1" t="inlineStr">
        <is>
          <t>-</t>
        </is>
      </c>
      <c r="F29" s="1" t="inlineStr">
        <is>
          <t>Qty</t>
        </is>
      </c>
      <c r="G29" s="1" t="inlineStr">
        <is>
          <t>-</t>
        </is>
      </c>
      <c r="H29" s="1" t="inlineStr">
        <is>
          <t>-</t>
        </is>
      </c>
      <c r="I29" t="inlineStr">
        <is>
          <t>In Stock</t>
        </is>
      </c>
    </row>
    <row r="30">
      <c r="A30" s="1">
        <f>Hyperlink("https://www.tilemountain.co.uk/p/4-into-1-silicone-sealant-white.html","Product")</f>
        <v/>
      </c>
      <c r="B30" s="1" t="inlineStr">
        <is>
          <t>450380</t>
        </is>
      </c>
      <c r="C30" s="1" t="inlineStr">
        <is>
          <t>4 Into 1 Silicone Sealant - Arctic White</t>
        </is>
      </c>
      <c r="D30" s="1" t="n">
        <v>6.99</v>
      </c>
      <c r="E30" s="1" t="inlineStr">
        <is>
          <t>-</t>
        </is>
      </c>
      <c r="F30" s="1" t="inlineStr">
        <is>
          <t>Qty</t>
        </is>
      </c>
      <c r="G30" s="1" t="inlineStr">
        <is>
          <t>-</t>
        </is>
      </c>
      <c r="H30" s="1" t="inlineStr">
        <is>
          <t>-</t>
        </is>
      </c>
      <c r="I30" t="n">
        <v>28</v>
      </c>
    </row>
    <row r="31">
      <c r="A31" s="1">
        <f>Hyperlink("https://www.tilemountain.co.uk/p/4-into-1-wall-floor-tile-grout-arctic-white-5kg.html","Product")</f>
        <v/>
      </c>
      <c r="B31" s="1" t="inlineStr">
        <is>
          <t>450330</t>
        </is>
      </c>
      <c r="C31" s="1" t="inlineStr">
        <is>
          <t>4 Into 1 Wall &amp; Floor Tile Grout - Arctic White -5Kg</t>
        </is>
      </c>
      <c r="D31" s="1" t="n">
        <v>10.99</v>
      </c>
      <c r="E31" s="1" t="inlineStr">
        <is>
          <t>-</t>
        </is>
      </c>
      <c r="F31" s="1" t="inlineStr">
        <is>
          <t>Qty</t>
        </is>
      </c>
      <c r="G31" s="1" t="inlineStr">
        <is>
          <t>-</t>
        </is>
      </c>
      <c r="H31" s="1" t="inlineStr">
        <is>
          <t>-</t>
        </is>
      </c>
      <c r="I31" t="inlineStr">
        <is>
          <t>In Stock</t>
        </is>
      </c>
    </row>
    <row r="32">
      <c r="A32" s="1">
        <f>Hyperlink("https://www.tilemountain.co.uk/p/4-into-1-wall-floor-tile-grout-golden-jasmine-5kg.html","Product")</f>
        <v/>
      </c>
      <c r="B32" s="1" t="inlineStr">
        <is>
          <t>450335</t>
        </is>
      </c>
      <c r="C32" s="1" t="inlineStr">
        <is>
          <t>4 Into 1 Wall &amp; Floor Tile Grout - Golden Jasmine-  5Kg</t>
        </is>
      </c>
      <c r="D32" s="1" t="n">
        <v>10.99</v>
      </c>
      <c r="E32" s="1" t="inlineStr">
        <is>
          <t>-</t>
        </is>
      </c>
      <c r="F32" s="1" t="inlineStr">
        <is>
          <t>Qty</t>
        </is>
      </c>
      <c r="G32" s="1" t="inlineStr">
        <is>
          <t>-</t>
        </is>
      </c>
      <c r="H32" s="1" t="inlineStr">
        <is>
          <t>-</t>
        </is>
      </c>
      <c r="I32" t="n">
        <v>31</v>
      </c>
    </row>
    <row r="33">
      <c r="A33" s="1">
        <f>Hyperlink("https://www.tilemountain.co.uk/p/4-into-1-wall-floor-tile-grout-midnight-coal-5kg.html","Product")</f>
        <v/>
      </c>
      <c r="B33" s="1" t="inlineStr">
        <is>
          <t>450350</t>
        </is>
      </c>
      <c r="C33" s="1" t="inlineStr">
        <is>
          <t>4 Into 1 Wall &amp; Floor Tile Grout - Midnight Coal -5Kg</t>
        </is>
      </c>
      <c r="D33" s="1" t="n">
        <v>10.99</v>
      </c>
      <c r="E33" s="1" t="inlineStr">
        <is>
          <t>-</t>
        </is>
      </c>
      <c r="F33" s="1" t="inlineStr">
        <is>
          <t>Qty</t>
        </is>
      </c>
      <c r="G33" s="1" t="inlineStr">
        <is>
          <t>-</t>
        </is>
      </c>
      <c r="H33" s="1" t="inlineStr">
        <is>
          <t>-</t>
        </is>
      </c>
      <c r="I33" t="n">
        <v>14</v>
      </c>
    </row>
    <row r="34">
      <c r="A34" s="1">
        <f>Hyperlink("https://www.tilemountain.co.uk/p/4-into-1-wall-floor-tile-grout-silver-grey-5kg.html","Product")</f>
        <v/>
      </c>
      <c r="B34" s="1" t="inlineStr">
        <is>
          <t>450340</t>
        </is>
      </c>
      <c r="C34" s="1" t="inlineStr">
        <is>
          <t>4 Into 1 Wall &amp; Floor Tile Grout - Silver Grey - 5Kg</t>
        </is>
      </c>
      <c r="D34" s="1" t="n">
        <v>10.99</v>
      </c>
      <c r="E34" s="1" t="inlineStr">
        <is>
          <t>-</t>
        </is>
      </c>
      <c r="F34" s="1" t="inlineStr">
        <is>
          <t>Qty</t>
        </is>
      </c>
      <c r="G34" s="1" t="inlineStr">
        <is>
          <t>-</t>
        </is>
      </c>
      <c r="H34" s="1" t="inlineStr">
        <is>
          <t>-</t>
        </is>
      </c>
      <c r="I34" t="n">
        <v>43</v>
      </c>
    </row>
    <row r="35">
      <c r="A35" s="1">
        <f>Hyperlink("https://www.tilemountain.co.uk/p/4-into-1-wall-floor-tile-grout-steel-grey-5kg.html","Product")</f>
        <v/>
      </c>
      <c r="B35" s="1" t="inlineStr">
        <is>
          <t>450345</t>
        </is>
      </c>
      <c r="C35" s="1" t="inlineStr">
        <is>
          <t>4 Into 1 Wall &amp; Floor Tile Grout - Steel Grey - 5Kg</t>
        </is>
      </c>
      <c r="D35" s="1" t="n">
        <v>10.99</v>
      </c>
      <c r="E35" s="1" t="inlineStr">
        <is>
          <t>-</t>
        </is>
      </c>
      <c r="F35" s="1" t="inlineStr">
        <is>
          <t>Qty</t>
        </is>
      </c>
      <c r="G35" s="1" t="inlineStr">
        <is>
          <t>-</t>
        </is>
      </c>
      <c r="H35" s="1" t="inlineStr">
        <is>
          <t>-</t>
        </is>
      </c>
      <c r="I35" t="n">
        <v>19</v>
      </c>
    </row>
    <row r="36">
      <c r="A36" s="1">
        <f>Hyperlink("https://www.tilemountain.co.uk/p/4-pcs-handle-black.html","Product")</f>
        <v/>
      </c>
      <c r="B36" s="1" t="inlineStr">
        <is>
          <t>LTPT30</t>
        </is>
      </c>
      <c r="C36" s="1" t="inlineStr">
        <is>
          <t>4 pcs Handle Black</t>
        </is>
      </c>
      <c r="D36" s="1" t="n">
        <v>9.949999999999999</v>
      </c>
      <c r="E36" s="1" t="inlineStr">
        <is>
          <t>-</t>
        </is>
      </c>
      <c r="F36" s="1" t="inlineStr">
        <is>
          <t>Qty</t>
        </is>
      </c>
      <c r="G36" s="1" t="inlineStr">
        <is>
          <t>-</t>
        </is>
      </c>
      <c r="H36" s="1" t="inlineStr">
        <is>
          <t>-</t>
        </is>
      </c>
      <c r="I36" t="n">
        <v>16</v>
      </c>
    </row>
    <row r="37">
      <c r="A37" s="1">
        <f>Hyperlink("https://www.tilemountain.co.uk/p/5mm-loose-spacers-x-250.html","Product")</f>
        <v/>
      </c>
      <c r="B37" s="1" t="inlineStr">
        <is>
          <t>450775</t>
        </is>
      </c>
      <c r="C37" s="1" t="inlineStr">
        <is>
          <t>5mm Loose Spacers x 250</t>
        </is>
      </c>
      <c r="D37" s="1" t="n">
        <v>3.49</v>
      </c>
      <c r="E37" s="1" t="inlineStr">
        <is>
          <t>-</t>
        </is>
      </c>
      <c r="F37" s="1" t="inlineStr">
        <is>
          <t>Qty</t>
        </is>
      </c>
      <c r="G37" s="1" t="inlineStr">
        <is>
          <t>-</t>
        </is>
      </c>
      <c r="H37" s="1" t="inlineStr">
        <is>
          <t>-</t>
        </is>
      </c>
      <c r="I37" t="n">
        <v>31</v>
      </c>
    </row>
    <row r="38">
      <c r="A38" s="1">
        <f>Hyperlink("https://www.tilemountain.co.uk/p/600mm-manual-tile-cutter-5459.html","Product")</f>
        <v/>
      </c>
      <c r="B38" s="1" t="inlineStr">
        <is>
          <t>450885</t>
        </is>
      </c>
      <c r="C38" s="1" t="inlineStr">
        <is>
          <t>600mm Manual Tile Cutter</t>
        </is>
      </c>
      <c r="D38" s="1" t="n">
        <v>49.99</v>
      </c>
      <c r="E38" s="1" t="inlineStr">
        <is>
          <t>-</t>
        </is>
      </c>
      <c r="F38" s="1" t="inlineStr">
        <is>
          <t>Qty</t>
        </is>
      </c>
      <c r="G38" s="1" t="inlineStr">
        <is>
          <t>-</t>
        </is>
      </c>
      <c r="H38" s="1" t="inlineStr">
        <is>
          <t>-</t>
        </is>
      </c>
      <c r="I38" t="n">
        <v>24</v>
      </c>
    </row>
    <row r="39">
      <c r="A39" s="1">
        <f>Hyperlink("https://www.tilemountain.co.uk/p/6mm-diy-notched-trowel.html","Product")</f>
        <v/>
      </c>
      <c r="B39" s="1" t="inlineStr">
        <is>
          <t>450665</t>
        </is>
      </c>
      <c r="C39" s="1" t="inlineStr">
        <is>
          <t>6mm DIY Notched Trowel</t>
        </is>
      </c>
      <c r="D39" s="1" t="n">
        <v>3.99</v>
      </c>
      <c r="E39" s="1" t="inlineStr">
        <is>
          <t>-</t>
        </is>
      </c>
      <c r="F39" s="1" t="inlineStr">
        <is>
          <t>Qty</t>
        </is>
      </c>
      <c r="G39" s="1" t="inlineStr">
        <is>
          <t>-</t>
        </is>
      </c>
      <c r="H39" s="1" t="inlineStr">
        <is>
          <t>-</t>
        </is>
      </c>
      <c r="I39" t="n">
        <v>15</v>
      </c>
    </row>
    <row r="40">
      <c r="A40" s="1">
        <f>Hyperlink("https://www.tilemountain.co.uk/p/6mm-hardie-backer-board-pallet-deal-60-panels.html","Product")</f>
        <v/>
      </c>
      <c r="B40" s="1" t="inlineStr">
        <is>
          <t>445675-pd</t>
        </is>
      </c>
      <c r="C40" s="1" t="inlineStr">
        <is>
          <t>6mm HardieBacker Board (Pallet Deal - 90 Panels)</t>
        </is>
      </c>
      <c r="D40" s="1" t="inlineStr">
        <is>
          <t>1,027.51</t>
        </is>
      </c>
      <c r="E40" s="1" t="inlineStr">
        <is>
          <t>-</t>
        </is>
      </c>
      <c r="F40" s="1" t="inlineStr">
        <is>
          <t>Qty</t>
        </is>
      </c>
      <c r="G40" s="1" t="inlineStr">
        <is>
          <t>-</t>
        </is>
      </c>
      <c r="H40" s="1" t="inlineStr">
        <is>
          <t>-</t>
        </is>
      </c>
      <c r="I40" t="inlineStr">
        <is>
          <t>In Stock</t>
        </is>
      </c>
    </row>
    <row r="41">
      <c r="A41" s="1">
        <f>Hyperlink("https://www.tilemountain.co.uk/p/6mm-hardie-backer-board.html","Product")</f>
        <v/>
      </c>
      <c r="B41" s="1" t="inlineStr">
        <is>
          <t>445675</t>
        </is>
      </c>
      <c r="C41" s="1" t="inlineStr">
        <is>
          <t>6mm HardieBacker Board 1200x800</t>
        </is>
      </c>
      <c r="D41" s="1" t="n">
        <v>13.49</v>
      </c>
      <c r="E41" s="1" t="inlineStr">
        <is>
          <t>800x1200mm</t>
        </is>
      </c>
      <c r="F41" s="1" t="inlineStr">
        <is>
          <t>m2</t>
        </is>
      </c>
      <c r="G41" s="1" t="inlineStr">
        <is>
          <t>-</t>
        </is>
      </c>
      <c r="H41" s="1" t="inlineStr">
        <is>
          <t>-</t>
        </is>
      </c>
      <c r="I41" t="inlineStr">
        <is>
          <t>More Stock due 29/10/21</t>
        </is>
      </c>
    </row>
    <row r="42">
      <c r="A42" s="1">
        <f>Hyperlink("https://www.tilemountain.co.uk/p/6mm-porcelain-diamond-drill-bit.html","Product")</f>
        <v/>
      </c>
      <c r="B42" s="1" t="inlineStr">
        <is>
          <t>450805</t>
        </is>
      </c>
      <c r="C42" s="1" t="inlineStr">
        <is>
          <t>6mm Porcelain Diamond Drill Bit</t>
        </is>
      </c>
      <c r="D42" s="1" t="n">
        <v>6.49</v>
      </c>
      <c r="E42" s="1" t="inlineStr">
        <is>
          <t>-</t>
        </is>
      </c>
      <c r="F42" s="1" t="inlineStr">
        <is>
          <t>Qty</t>
        </is>
      </c>
      <c r="G42" s="1" t="inlineStr">
        <is>
          <t>-</t>
        </is>
      </c>
      <c r="H42" s="1" t="inlineStr">
        <is>
          <t>-</t>
        </is>
      </c>
      <c r="I42" t="n">
        <v>12</v>
      </c>
    </row>
    <row r="43">
      <c r="A43" s="1">
        <f>Hyperlink("https://www.tilemountain.co.uk/p/6mm-professional-square-notched-wall-trowel-5409.html","Product")</f>
        <v/>
      </c>
      <c r="B43" s="1" t="inlineStr">
        <is>
          <t>450635</t>
        </is>
      </c>
      <c r="C43" s="1" t="inlineStr">
        <is>
          <t>6mm Professional Square Notched Wall Trowel</t>
        </is>
      </c>
      <c r="D43" s="1" t="n">
        <v>7.99</v>
      </c>
      <c r="E43" s="1" t="inlineStr">
        <is>
          <t>-</t>
        </is>
      </c>
      <c r="F43" s="1" t="inlineStr">
        <is>
          <t>Qty</t>
        </is>
      </c>
      <c r="G43" s="1" t="inlineStr">
        <is>
          <t>-</t>
        </is>
      </c>
      <c r="H43" s="1" t="inlineStr">
        <is>
          <t>-</t>
        </is>
      </c>
      <c r="I43" t="n">
        <v>32</v>
      </c>
    </row>
    <row r="44">
      <c r="A44" s="1">
        <f>Hyperlink("https://www.tilemountain.co.uk/p/8mm-diy-adhesive-spreader.html","Product")</f>
        <v/>
      </c>
      <c r="B44" s="1" t="inlineStr">
        <is>
          <t>450675</t>
        </is>
      </c>
      <c r="C44" s="1" t="inlineStr">
        <is>
          <t>8mm DIY Adhesive Spreader</t>
        </is>
      </c>
      <c r="D44" s="1" t="n">
        <v>1.99</v>
      </c>
      <c r="E44" s="1" t="inlineStr">
        <is>
          <t>-</t>
        </is>
      </c>
      <c r="F44" s="1" t="inlineStr">
        <is>
          <t>Qty</t>
        </is>
      </c>
      <c r="G44" s="1" t="inlineStr">
        <is>
          <t>-</t>
        </is>
      </c>
      <c r="H44" s="1" t="inlineStr">
        <is>
          <t>-</t>
        </is>
      </c>
      <c r="I44" t="n">
        <v>31</v>
      </c>
    </row>
    <row r="45">
      <c r="A45" s="1">
        <f>Hyperlink("https://www.tilemountain.co.uk/p/8mm-porcelain-diamond-drill-bit.html","Product")</f>
        <v/>
      </c>
      <c r="B45" s="1" t="inlineStr">
        <is>
          <t>450810</t>
        </is>
      </c>
      <c r="C45" s="1" t="inlineStr">
        <is>
          <t>8mm Porcelain Diamond Drill Bit</t>
        </is>
      </c>
      <c r="D45" s="1" t="n">
        <v>7.99</v>
      </c>
      <c r="E45" s="1" t="inlineStr">
        <is>
          <t>-</t>
        </is>
      </c>
      <c r="F45" s="1" t="inlineStr">
        <is>
          <t>Qty</t>
        </is>
      </c>
      <c r="G45" s="1" t="inlineStr">
        <is>
          <t>-</t>
        </is>
      </c>
      <c r="H45" s="1" t="inlineStr">
        <is>
          <t>-</t>
        </is>
      </c>
      <c r="I45" t="inlineStr">
        <is>
          <t>In Stock</t>
        </is>
      </c>
    </row>
    <row r="46">
      <c r="A46" s="1">
        <f>Hyperlink("https://www.tilemountain.co.uk/p/adele-cloud-grey-floor-tile.html","Product")</f>
        <v/>
      </c>
      <c r="B46" s="1" t="inlineStr">
        <is>
          <t>452610</t>
        </is>
      </c>
      <c r="C46" s="1" t="inlineStr">
        <is>
          <t>Adele Cloud Grey Floor Tile</t>
        </is>
      </c>
      <c r="D46" s="1" t="n">
        <v>16.99</v>
      </c>
      <c r="E46" s="1" t="inlineStr">
        <is>
          <t>450x450mm</t>
        </is>
      </c>
      <c r="F46" s="1" t="inlineStr">
        <is>
          <t>m2</t>
        </is>
      </c>
      <c r="G46" s="1" t="inlineStr">
        <is>
          <t>Ceramic</t>
        </is>
      </c>
      <c r="H46" s="1" t="inlineStr">
        <is>
          <t>Matt</t>
        </is>
      </c>
      <c r="I46" t="n">
        <v>238</v>
      </c>
    </row>
    <row r="47">
      <c r="A47" s="1">
        <f>Hyperlink("https://www.tilemountain.co.uk/p/adele-green-sea-floor-tile.html","Product")</f>
        <v/>
      </c>
      <c r="B47" s="1" t="inlineStr">
        <is>
          <t>452605</t>
        </is>
      </c>
      <c r="C47" s="1" t="inlineStr">
        <is>
          <t>Adele Green Sea Floor Tile</t>
        </is>
      </c>
      <c r="D47" s="1" t="n">
        <v>16.99</v>
      </c>
      <c r="E47" s="1" t="inlineStr">
        <is>
          <t>450x450mm</t>
        </is>
      </c>
      <c r="F47" s="1" t="inlineStr">
        <is>
          <t>m2</t>
        </is>
      </c>
      <c r="G47" s="1" t="inlineStr">
        <is>
          <t>Ceramic</t>
        </is>
      </c>
      <c r="H47" s="1" t="inlineStr">
        <is>
          <t>Matt</t>
        </is>
      </c>
      <c r="I47" t="n">
        <v>106</v>
      </c>
    </row>
    <row r="48">
      <c r="A48" s="1">
        <f>Hyperlink("https://www.tilemountain.co.uk/p/adele-light-blue-floor-tile.html","Product")</f>
        <v/>
      </c>
      <c r="B48" s="1" t="inlineStr">
        <is>
          <t>452600</t>
        </is>
      </c>
      <c r="C48" s="1" t="inlineStr">
        <is>
          <t>Adele Light Blue Floor Tile</t>
        </is>
      </c>
      <c r="D48" s="1" t="n">
        <v>16.99</v>
      </c>
      <c r="E48" s="1" t="inlineStr">
        <is>
          <t>450x450mm</t>
        </is>
      </c>
      <c r="F48" s="1" t="inlineStr">
        <is>
          <t>m2</t>
        </is>
      </c>
      <c r="G48" s="1" t="inlineStr">
        <is>
          <t>Ceramic</t>
        </is>
      </c>
      <c r="H48" s="1" t="inlineStr">
        <is>
          <t>Matt</t>
        </is>
      </c>
      <c r="I48" t="n">
        <v>330</v>
      </c>
    </row>
    <row r="49">
      <c r="A49" s="1">
        <f>Hyperlink("https://www.tilemountain.co.uk/p/adesilex-p4-grey-adhesive-20kg.html","Product")</f>
        <v/>
      </c>
      <c r="B49" s="1" t="inlineStr">
        <is>
          <t>218220</t>
        </is>
      </c>
      <c r="C49" s="1" t="inlineStr">
        <is>
          <t>Adesilex P4 Grey Floor Adhesive 20kg</t>
        </is>
      </c>
      <c r="D49" s="1" t="n">
        <v>20.99</v>
      </c>
      <c r="E49" s="1" t="inlineStr">
        <is>
          <t>-</t>
        </is>
      </c>
      <c r="F49" s="1" t="inlineStr">
        <is>
          <t>Qty</t>
        </is>
      </c>
      <c r="G49" s="1" t="inlineStr">
        <is>
          <t>-</t>
        </is>
      </c>
      <c r="H49" s="1" t="inlineStr">
        <is>
          <t>-</t>
        </is>
      </c>
      <c r="I49" t="inlineStr">
        <is>
          <t>In Stock</t>
        </is>
      </c>
    </row>
    <row r="50">
      <c r="A50" s="1">
        <f>Hyperlink("https://www.tilemountain.co.uk/p/adesilex-p4-grey-floor-adhesive-20kg-pallet-deal-48-bags.html","Product")</f>
        <v/>
      </c>
      <c r="B50" s="1" t="inlineStr">
        <is>
          <t>218220-PD</t>
        </is>
      </c>
      <c r="C50" s="1" t="inlineStr">
        <is>
          <t>Adesilex P4 Grey Floor Adhesive 20kg Pallet Deal 48 bags</t>
        </is>
      </c>
      <c r="D50" s="1" t="n">
        <v>799.95</v>
      </c>
      <c r="E50" s="1" t="inlineStr">
        <is>
          <t>-</t>
        </is>
      </c>
      <c r="F50" s="1" t="inlineStr">
        <is>
          <t>Qty</t>
        </is>
      </c>
      <c r="G50" s="1" t="inlineStr">
        <is>
          <t>-</t>
        </is>
      </c>
      <c r="H50" s="1" t="inlineStr">
        <is>
          <t>-</t>
        </is>
      </c>
      <c r="I50" t="inlineStr">
        <is>
          <t>In Stock</t>
        </is>
      </c>
    </row>
    <row r="51">
      <c r="A51" s="1">
        <f>Hyperlink("https://www.tilemountain.co.uk/p/adesilex-p9-white-slow-setting-adhesive-20kg-pallet-deal-48-bags.html","Product")</f>
        <v/>
      </c>
      <c r="B51" s="1" t="inlineStr">
        <is>
          <t>005120-pd</t>
        </is>
      </c>
      <c r="C51" s="1" t="inlineStr">
        <is>
          <t>Adesilex P9 White Slow Setting Adhesive 20kg Pallet Deal- 48 Bags</t>
        </is>
      </c>
      <c r="D51" s="1" t="n">
        <v>639.99</v>
      </c>
      <c r="E51" s="1" t="inlineStr">
        <is>
          <t>PALLET</t>
        </is>
      </c>
      <c r="F51" s="1" t="inlineStr">
        <is>
          <t>Qty</t>
        </is>
      </c>
      <c r="G51" s="1" t="inlineStr">
        <is>
          <t>-</t>
        </is>
      </c>
      <c r="H51" s="1" t="inlineStr">
        <is>
          <t>-</t>
        </is>
      </c>
      <c r="I51" t="inlineStr">
        <is>
          <t>In Stock</t>
        </is>
      </c>
    </row>
    <row r="52">
      <c r="A52" s="1">
        <f>Hyperlink("https://www.tilemountain.co.uk/p/adesilex-p9-white-slow-setting-adhesive-20kg.html","Product")</f>
        <v/>
      </c>
      <c r="B52" s="1" t="inlineStr">
        <is>
          <t>005120</t>
        </is>
      </c>
      <c r="C52" s="1" t="inlineStr">
        <is>
          <t>Adesilex P9 White Slow Setting Adhesive 20kg</t>
        </is>
      </c>
      <c r="D52" s="1" t="n">
        <v>17.49</v>
      </c>
      <c r="E52" s="1" t="inlineStr">
        <is>
          <t>20kg</t>
        </is>
      </c>
      <c r="F52" s="1" t="inlineStr">
        <is>
          <t>Qty</t>
        </is>
      </c>
      <c r="G52" s="1" t="inlineStr">
        <is>
          <t>-</t>
        </is>
      </c>
      <c r="H52" s="1" t="inlineStr">
        <is>
          <t>-</t>
        </is>
      </c>
      <c r="I52" t="inlineStr">
        <is>
          <t>In Stock</t>
        </is>
      </c>
    </row>
    <row r="53">
      <c r="A53" s="1">
        <f>Hyperlink("https://www.tilemountain.co.uk/p/adhesive-grout-mixing-paddle-5422.html","Product")</f>
        <v/>
      </c>
      <c r="B53" s="1" t="inlineStr">
        <is>
          <t>450700</t>
        </is>
      </c>
      <c r="C53" s="1" t="inlineStr">
        <is>
          <t>Adhesive &amp; Grout Mixing Paddle</t>
        </is>
      </c>
      <c r="D53" s="1" t="n">
        <v>9.99</v>
      </c>
      <c r="E53" s="1" t="inlineStr">
        <is>
          <t>-</t>
        </is>
      </c>
      <c r="F53" s="1" t="inlineStr">
        <is>
          <t>Qty</t>
        </is>
      </c>
      <c r="G53" s="1" t="inlineStr">
        <is>
          <t>-</t>
        </is>
      </c>
      <c r="H53" s="1" t="inlineStr">
        <is>
          <t>-</t>
        </is>
      </c>
      <c r="I53" t="n">
        <v>12</v>
      </c>
    </row>
    <row r="54">
      <c r="A54" s="1">
        <f>Hyperlink("https://www.tilemountain.co.uk/p/adjustable-floor-transition-gold.html","Product")</f>
        <v/>
      </c>
      <c r="B54" s="1" t="inlineStr">
        <is>
          <t>451235</t>
        </is>
      </c>
      <c r="C54" s="1" t="inlineStr">
        <is>
          <t>Adjustable Floor Transition Gold</t>
        </is>
      </c>
      <c r="D54" s="1" t="n">
        <v>7.99</v>
      </c>
      <c r="E54" s="1" t="inlineStr">
        <is>
          <t>-</t>
        </is>
      </c>
      <c r="F54" s="1" t="inlineStr">
        <is>
          <t>Qty</t>
        </is>
      </c>
      <c r="G54" s="1" t="inlineStr">
        <is>
          <t>-</t>
        </is>
      </c>
      <c r="H54" s="1" t="inlineStr">
        <is>
          <t>-</t>
        </is>
      </c>
      <c r="I54" t="n">
        <v>15</v>
      </c>
    </row>
    <row r="55">
      <c r="A55" s="1">
        <f>Hyperlink("https://www.tilemountain.co.uk/p/adjustable-floor-transition-stainless-steel.html","Product")</f>
        <v/>
      </c>
      <c r="B55" s="1" t="inlineStr">
        <is>
          <t>451240</t>
        </is>
      </c>
      <c r="C55" s="1" t="inlineStr">
        <is>
          <t>Adjustable Floor Transition Stainless Steel</t>
        </is>
      </c>
      <c r="D55" s="1" t="n">
        <v>7.99</v>
      </c>
      <c r="E55" s="1" t="inlineStr">
        <is>
          <t>-</t>
        </is>
      </c>
      <c r="F55" s="1" t="inlineStr">
        <is>
          <t>Qty</t>
        </is>
      </c>
      <c r="G55" s="1" t="inlineStr">
        <is>
          <t>-</t>
        </is>
      </c>
      <c r="H55" s="1" t="inlineStr">
        <is>
          <t>-</t>
        </is>
      </c>
      <c r="I55" t="n">
        <v>38</v>
      </c>
    </row>
    <row r="56">
      <c r="A56" s="1">
        <f>Hyperlink("https://www.tilemountain.co.uk/p/aga-urban-indoor-90x90_1.html","Product")</f>
        <v/>
      </c>
      <c r="B56" s="1" t="inlineStr">
        <is>
          <t>448515</t>
        </is>
      </c>
      <c r="C56" s="1" t="inlineStr">
        <is>
          <t>Aga Urban Grey Floor Tile</t>
        </is>
      </c>
      <c r="D56" s="1" t="n">
        <v>23.99</v>
      </c>
      <c r="E56" s="1" t="inlineStr">
        <is>
          <t>900x900mm</t>
        </is>
      </c>
      <c r="F56" s="1" t="inlineStr">
        <is>
          <t>m2</t>
        </is>
      </c>
      <c r="G56" s="1" t="inlineStr">
        <is>
          <t>Porcelain</t>
        </is>
      </c>
      <c r="H56" s="1" t="inlineStr">
        <is>
          <t>Riven</t>
        </is>
      </c>
      <c r="I56" t="n">
        <v>2095</v>
      </c>
    </row>
    <row r="57">
      <c r="A57" s="1">
        <f>Hyperlink("https://www.tilemountain.co.uk/p/alamo-grafite-floor-tile.html","Product")</f>
        <v/>
      </c>
      <c r="B57" s="1" t="inlineStr">
        <is>
          <t>441315</t>
        </is>
      </c>
      <c r="C57" s="1" t="inlineStr">
        <is>
          <t>Alamo Grafite Floor Tiles</t>
        </is>
      </c>
      <c r="D57" s="1" t="n">
        <v>13.99</v>
      </c>
      <c r="E57" s="1" t="inlineStr">
        <is>
          <t>450x450mm</t>
        </is>
      </c>
      <c r="F57" s="1" t="inlineStr">
        <is>
          <t>m2</t>
        </is>
      </c>
      <c r="G57" s="1" t="inlineStr">
        <is>
          <t>Porcelain</t>
        </is>
      </c>
      <c r="H57" s="1" t="inlineStr">
        <is>
          <t>Matt</t>
        </is>
      </c>
      <c r="I57" t="n">
        <v>166</v>
      </c>
    </row>
    <row r="58">
      <c r="A58" s="1">
        <f>Hyperlink("https://www.tilemountain.co.uk/p/alamo-mocha-floor-tile.html","Product")</f>
        <v/>
      </c>
      <c r="B58" s="1" t="inlineStr">
        <is>
          <t>441325</t>
        </is>
      </c>
      <c r="C58" s="1" t="inlineStr">
        <is>
          <t>Alamo Mocha Floor Tiles</t>
        </is>
      </c>
      <c r="D58" s="1" t="n">
        <v>13.99</v>
      </c>
      <c r="E58" s="1" t="inlineStr">
        <is>
          <t>450x450mm</t>
        </is>
      </c>
      <c r="F58" s="1" t="inlineStr">
        <is>
          <t>m2</t>
        </is>
      </c>
      <c r="G58" s="1" t="inlineStr">
        <is>
          <t>Porcelain</t>
        </is>
      </c>
      <c r="H58" s="1" t="inlineStr">
        <is>
          <t>Matt</t>
        </is>
      </c>
      <c r="I58" t="n">
        <v>177</v>
      </c>
    </row>
    <row r="59">
      <c r="A59" s="1">
        <f>Hyperlink("https://www.tilemountain.co.uk/p/alaska-white-gloss-floor-tile.html","Product")</f>
        <v/>
      </c>
      <c r="B59" s="1" t="inlineStr">
        <is>
          <t>443715</t>
        </is>
      </c>
      <c r="C59" s="1" t="inlineStr">
        <is>
          <t>Alaska White Gloss Floor Tiles</t>
        </is>
      </c>
      <c r="D59" s="1" t="n">
        <v>14.99</v>
      </c>
      <c r="E59" s="1" t="inlineStr">
        <is>
          <t>608x608mm</t>
        </is>
      </c>
      <c r="F59" s="1" t="inlineStr">
        <is>
          <t>m2</t>
        </is>
      </c>
      <c r="G59" s="1" t="inlineStr">
        <is>
          <t>Porcelain</t>
        </is>
      </c>
      <c r="H59" s="1" t="inlineStr">
        <is>
          <t>Gloss</t>
        </is>
      </c>
      <c r="I59" t="n">
        <v>1162</v>
      </c>
    </row>
    <row r="60">
      <c r="A60" s="1">
        <f>Hyperlink("https://www.tilemountain.co.uk/p/alda-white-slate-effect-wall-floor-tile.html","Product")</f>
        <v/>
      </c>
      <c r="B60" s="1" t="inlineStr">
        <is>
          <t>449660</t>
        </is>
      </c>
      <c r="C60" s="1" t="inlineStr">
        <is>
          <t>Alda White Slate Effect Wall &amp; Floor Tile</t>
        </is>
      </c>
      <c r="D60" s="1" t="n">
        <v>16.99</v>
      </c>
      <c r="E60" s="1" t="inlineStr">
        <is>
          <t>600x400mm</t>
        </is>
      </c>
      <c r="F60" s="1" t="inlineStr">
        <is>
          <t>m2</t>
        </is>
      </c>
      <c r="G60" s="1" t="inlineStr">
        <is>
          <t>Porcelain</t>
        </is>
      </c>
      <c r="H60" s="1" t="inlineStr">
        <is>
          <t>Matt</t>
        </is>
      </c>
      <c r="I60" t="n">
        <v>355</v>
      </c>
    </row>
    <row r="61">
      <c r="A61" s="1">
        <f>Hyperlink("https://www.tilemountain.co.uk/p/andalucia-patterned-porcelain-wall-and-floor-tile.html","Product")</f>
        <v/>
      </c>
      <c r="B61" s="1" t="inlineStr">
        <is>
          <t>440650</t>
        </is>
      </c>
      <c r="C61" s="1" t="inlineStr">
        <is>
          <t>Andalucia Hexagon Patterned Porcelain Wall And Floor Tiles</t>
        </is>
      </c>
      <c r="D61" s="1" t="n">
        <v>25.99</v>
      </c>
      <c r="E61" s="1" t="inlineStr">
        <is>
          <t>285x330mm</t>
        </is>
      </c>
      <c r="F61" s="1" t="inlineStr">
        <is>
          <t>m2</t>
        </is>
      </c>
      <c r="G61" s="1" t="inlineStr">
        <is>
          <t>Porcelain</t>
        </is>
      </c>
      <c r="H61" s="1" t="inlineStr">
        <is>
          <t>Matt</t>
        </is>
      </c>
      <c r="I61" t="n">
        <v>210</v>
      </c>
    </row>
    <row r="62">
      <c r="A62" s="1">
        <f>Hyperlink("https://www.tilemountain.co.uk/p/anderson-white-lappato.html","Product")</f>
        <v/>
      </c>
      <c r="B62" s="1" t="inlineStr">
        <is>
          <t>443150</t>
        </is>
      </c>
      <c r="C62" s="1" t="inlineStr">
        <is>
          <t>Anderson White Polished Floor Tiles</t>
        </is>
      </c>
      <c r="D62" s="1" t="n">
        <v>30.99</v>
      </c>
      <c r="E62" s="1" t="inlineStr">
        <is>
          <t>1200x600mm</t>
        </is>
      </c>
      <c r="F62" s="1" t="inlineStr">
        <is>
          <t>m2</t>
        </is>
      </c>
      <c r="G62" s="1" t="inlineStr">
        <is>
          <t>Porcelain</t>
        </is>
      </c>
      <c r="H62" s="1" t="inlineStr">
        <is>
          <t>Polished</t>
        </is>
      </c>
      <c r="I62" t="inlineStr">
        <is>
          <t>More Stock due 23/11/21</t>
        </is>
      </c>
    </row>
    <row r="63">
      <c r="A63" s="1">
        <f>Hyperlink("https://www.tilemountain.co.uk/p/antiga-modular-porcelain-wall-and-floor-tile.html","Product")</f>
        <v/>
      </c>
      <c r="B63" s="1" t="inlineStr">
        <is>
          <t>440645</t>
        </is>
      </c>
      <c r="C63" s="1" t="inlineStr">
        <is>
          <t>Antiga Modular Porcelain Wall And Floor Tiles</t>
        </is>
      </c>
      <c r="D63" s="1" t="n">
        <v>32.99</v>
      </c>
      <c r="E63" s="1" t="inlineStr">
        <is>
          <t>870x1000mm</t>
        </is>
      </c>
      <c r="F63" s="1" t="inlineStr">
        <is>
          <t>piece</t>
        </is>
      </c>
      <c r="G63" s="1" t="inlineStr">
        <is>
          <t>Porcelain</t>
        </is>
      </c>
      <c r="H63" s="1" t="inlineStr">
        <is>
          <t>Matt</t>
        </is>
      </c>
      <c r="I63" t="n">
        <v>149</v>
      </c>
    </row>
    <row r="64">
      <c r="A64" s="1">
        <f>Hyperlink("https://www.tilemountain.co.uk/p/anubis-brown-floor.html","Product")</f>
        <v/>
      </c>
      <c r="B64" s="1" t="inlineStr">
        <is>
          <t>448580</t>
        </is>
      </c>
      <c r="C64" s="1" t="inlineStr">
        <is>
          <t>Anubis Dark Brown Gloss Marble Effect Floor Tile</t>
        </is>
      </c>
      <c r="D64" s="1" t="n">
        <v>9.01</v>
      </c>
      <c r="E64" s="1" t="inlineStr">
        <is>
          <t>447x447mm</t>
        </is>
      </c>
      <c r="F64" s="1" t="inlineStr">
        <is>
          <t>m2</t>
        </is>
      </c>
      <c r="G64" s="1" t="inlineStr">
        <is>
          <t>Ceramic</t>
        </is>
      </c>
      <c r="H64" s="1" t="inlineStr">
        <is>
          <t>Gloss</t>
        </is>
      </c>
      <c r="I64" t="n">
        <v>166</v>
      </c>
    </row>
    <row r="65">
      <c r="A65" s="1">
        <f>Hyperlink("https://www.tilemountain.co.uk/p/anubis-brown-wall-gloss.html","Product")</f>
        <v/>
      </c>
      <c r="B65" s="1" t="inlineStr">
        <is>
          <t>448570</t>
        </is>
      </c>
      <c r="C65" s="1" t="inlineStr">
        <is>
          <t>Anubis Dark Brown Gloss Marble Effect Wall Tile</t>
        </is>
      </c>
      <c r="D65" s="1" t="n">
        <v>10.01</v>
      </c>
      <c r="E65" s="1" t="inlineStr">
        <is>
          <t>632x316mm</t>
        </is>
      </c>
      <c r="F65" s="1" t="inlineStr">
        <is>
          <t>m2</t>
        </is>
      </c>
      <c r="G65" s="1" t="inlineStr">
        <is>
          <t>Ceramic</t>
        </is>
      </c>
      <c r="H65" s="1" t="inlineStr">
        <is>
          <t>Gloss</t>
        </is>
      </c>
      <c r="I65" t="inlineStr">
        <is>
          <t>In Stock</t>
        </is>
      </c>
    </row>
    <row r="66">
      <c r="A66" s="1">
        <f>Hyperlink("https://www.tilemountain.co.uk/p/anubis-cream-wall-gloss.html","Product")</f>
        <v/>
      </c>
      <c r="B66" s="1" t="inlineStr">
        <is>
          <t>448565</t>
        </is>
      </c>
      <c r="C66" s="1" t="inlineStr">
        <is>
          <t>Anubis Cream Gloss Marble Effect Wall Tile</t>
        </is>
      </c>
      <c r="D66" s="1" t="n">
        <v>10.01</v>
      </c>
      <c r="E66" s="1" t="inlineStr">
        <is>
          <t>632x316mm</t>
        </is>
      </c>
      <c r="F66" s="1" t="inlineStr">
        <is>
          <t>m2</t>
        </is>
      </c>
      <c r="G66" s="1" t="inlineStr">
        <is>
          <t>Ceramic</t>
        </is>
      </c>
      <c r="H66" s="1" t="inlineStr">
        <is>
          <t>Gloss</t>
        </is>
      </c>
      <c r="I66" t="n">
        <v>35</v>
      </c>
    </row>
    <row r="67">
      <c r="A67" s="1">
        <f>Hyperlink("https://www.tilemountain.co.uk/p/anubis-light-grey-wall-gloss_1.html","Product")</f>
        <v/>
      </c>
      <c r="B67" s="1" t="inlineStr">
        <is>
          <t>448545</t>
        </is>
      </c>
      <c r="C67" s="1" t="inlineStr">
        <is>
          <t>Anubis Light Grey Gloss Marble Effect Wall Tile</t>
        </is>
      </c>
      <c r="D67" s="1" t="n">
        <v>10.01</v>
      </c>
      <c r="E67" s="1" t="inlineStr">
        <is>
          <t>632x316mm</t>
        </is>
      </c>
      <c r="F67" s="1" t="inlineStr">
        <is>
          <t>m2</t>
        </is>
      </c>
      <c r="G67" s="1" t="inlineStr">
        <is>
          <t>Ceramic</t>
        </is>
      </c>
      <c r="H67" s="1" t="inlineStr">
        <is>
          <t>Gloss</t>
        </is>
      </c>
      <c r="I67" t="n">
        <v>45</v>
      </c>
    </row>
    <row r="68">
      <c r="A68" s="1">
        <f>Hyperlink("https://www.tilemountain.co.uk/p/apollo-hexagon-black.html","Product")</f>
        <v/>
      </c>
      <c r="B68" s="1" t="inlineStr">
        <is>
          <t>439145</t>
        </is>
      </c>
      <c r="C68" s="1" t="inlineStr">
        <is>
          <t>Apollo Hexagon Black Wall and Floor Tile</t>
        </is>
      </c>
      <c r="D68" s="1" t="n">
        <v>23.99</v>
      </c>
      <c r="E68" s="1" t="inlineStr">
        <is>
          <t>285x330mm</t>
        </is>
      </c>
      <c r="F68" s="1" t="inlineStr">
        <is>
          <t>m2</t>
        </is>
      </c>
      <c r="G68" s="1" t="inlineStr">
        <is>
          <t>Porcelain</t>
        </is>
      </c>
      <c r="H68" s="1" t="inlineStr">
        <is>
          <t>Matt</t>
        </is>
      </c>
      <c r="I68" t="n">
        <v>180</v>
      </c>
    </row>
    <row r="69">
      <c r="A69" s="1">
        <f>Hyperlink("https://www.tilemountain.co.uk/p/apollo-hexagon-grey.html","Product")</f>
        <v/>
      </c>
      <c r="B69" s="1" t="inlineStr">
        <is>
          <t>439150</t>
        </is>
      </c>
      <c r="C69" s="1" t="inlineStr">
        <is>
          <t>Apollo Hexagon Grey Wall and Floor Tile</t>
        </is>
      </c>
      <c r="D69" s="1" t="n">
        <v>23.99</v>
      </c>
      <c r="E69" s="1" t="inlineStr">
        <is>
          <t>285x330mm</t>
        </is>
      </c>
      <c r="F69" s="1" t="inlineStr">
        <is>
          <t>m2</t>
        </is>
      </c>
      <c r="G69" s="1" t="inlineStr">
        <is>
          <t>Porcelain</t>
        </is>
      </c>
      <c r="H69" s="1" t="inlineStr">
        <is>
          <t>Matt</t>
        </is>
      </c>
      <c r="I69" t="n">
        <v>173</v>
      </c>
    </row>
    <row r="70">
      <c r="A70" s="1">
        <f>Hyperlink("https://www.tilemountain.co.uk/p/apollo-hexagon-white.html","Product")</f>
        <v/>
      </c>
      <c r="B70" s="1" t="inlineStr">
        <is>
          <t>439140</t>
        </is>
      </c>
      <c r="C70" s="1" t="inlineStr">
        <is>
          <t>Apollo Hexagon White Wall and Floor Tile</t>
        </is>
      </c>
      <c r="D70" s="1" t="n">
        <v>23.99</v>
      </c>
      <c r="E70" s="1" t="inlineStr">
        <is>
          <t>330x285mm</t>
        </is>
      </c>
      <c r="F70" s="1" t="inlineStr">
        <is>
          <t>m2</t>
        </is>
      </c>
      <c r="G70" s="1" t="inlineStr">
        <is>
          <t>Porcelain</t>
        </is>
      </c>
      <c r="H70" s="1" t="inlineStr">
        <is>
          <t>Matt</t>
        </is>
      </c>
      <c r="I70" t="n">
        <v>1019</v>
      </c>
    </row>
    <row r="71">
      <c r="A71" s="1">
        <f>Hyperlink("https://www.tilemountain.co.uk/p/ardennes-dark-brown-wall-and-floor-tile.html","Product")</f>
        <v/>
      </c>
      <c r="B71" s="1" t="inlineStr">
        <is>
          <t>440520</t>
        </is>
      </c>
      <c r="C71" s="1" t="inlineStr">
        <is>
          <t>Ardennes Century Wood Effect Wall and Floor Tiles</t>
        </is>
      </c>
      <c r="D71" s="1" t="n">
        <v>25</v>
      </c>
      <c r="E71" s="1" t="inlineStr">
        <is>
          <t>248x1000mm</t>
        </is>
      </c>
      <c r="F71" s="1" t="inlineStr">
        <is>
          <t>m2</t>
        </is>
      </c>
      <c r="G71" s="1" t="inlineStr">
        <is>
          <t>Porcelain</t>
        </is>
      </c>
      <c r="H71" s="1" t="inlineStr">
        <is>
          <t>Riven</t>
        </is>
      </c>
      <c r="I71" t="inlineStr">
        <is>
          <t>In Stock</t>
        </is>
      </c>
    </row>
    <row r="72">
      <c r="A72" s="1">
        <f>Hyperlink("https://www.tilemountain.co.uk/p/ardosia-black-antislip-porcelain-floor-tile.html","Product")</f>
        <v/>
      </c>
      <c r="B72" s="1" t="inlineStr">
        <is>
          <t>443645</t>
        </is>
      </c>
      <c r="C72" s="1" t="inlineStr">
        <is>
          <t>Ardosia Black Anti-Slip Porcelain Floor Tiles</t>
        </is>
      </c>
      <c r="D72" s="1" t="n">
        <v>19.99</v>
      </c>
      <c r="E72" s="1" t="inlineStr">
        <is>
          <t>600x600mm</t>
        </is>
      </c>
      <c r="F72" s="1" t="inlineStr">
        <is>
          <t>m2</t>
        </is>
      </c>
      <c r="G72" s="1" t="inlineStr">
        <is>
          <t>Porcelain</t>
        </is>
      </c>
      <c r="H72" s="1" t="inlineStr">
        <is>
          <t>Matt</t>
        </is>
      </c>
      <c r="I72" t="n">
        <v>4989</v>
      </c>
    </row>
    <row r="73">
      <c r="A73" s="1">
        <f>Hyperlink("https://www.tilemountain.co.uk/p/ares-grey-cement-effect-porcelain-tile.html","Product")</f>
        <v/>
      </c>
      <c r="B73" s="1" t="inlineStr">
        <is>
          <t>449665</t>
        </is>
      </c>
      <c r="C73" s="1" t="inlineStr">
        <is>
          <t>Ares Grey Cement Effect Porcelain Floor Tile</t>
        </is>
      </c>
      <c r="D73" s="1" t="n">
        <v>22.99</v>
      </c>
      <c r="E73" s="1" t="inlineStr">
        <is>
          <t>800x800mm</t>
        </is>
      </c>
      <c r="F73" s="1" t="inlineStr">
        <is>
          <t>m2</t>
        </is>
      </c>
      <c r="G73" s="1" t="inlineStr">
        <is>
          <t>Porcelain</t>
        </is>
      </c>
      <c r="H73" s="1" t="inlineStr">
        <is>
          <t>Matt</t>
        </is>
      </c>
      <c r="I73" t="n">
        <v>190</v>
      </c>
    </row>
    <row r="74">
      <c r="A74" s="1">
        <f>Hyperlink("https://www.tilemountain.co.uk/p/ark-silver-outdoor-slab.html","Product")</f>
        <v/>
      </c>
      <c r="B74" s="1" t="inlineStr">
        <is>
          <t>448340</t>
        </is>
      </c>
      <c r="C74" s="1" t="inlineStr">
        <is>
          <t>Ark Silver Outdoor Slab</t>
        </is>
      </c>
      <c r="D74" s="1" t="n">
        <v>24.99</v>
      </c>
      <c r="E74" s="1" t="inlineStr">
        <is>
          <t>600x600mm</t>
        </is>
      </c>
      <c r="F74" s="1" t="inlineStr">
        <is>
          <t>m2</t>
        </is>
      </c>
      <c r="G74" s="1" t="inlineStr">
        <is>
          <t>Porcelain</t>
        </is>
      </c>
      <c r="H74" s="1" t="inlineStr">
        <is>
          <t>Matt</t>
        </is>
      </c>
      <c r="I74" t="n">
        <v>396</v>
      </c>
    </row>
    <row r="75">
      <c r="A75" s="1">
        <f>Hyperlink("https://www.tilemountain.co.uk/p/arkesia-grey-wall.html","Product")</f>
        <v/>
      </c>
      <c r="B75" s="1" t="inlineStr">
        <is>
          <t>448590</t>
        </is>
      </c>
      <c r="C75" s="1" t="inlineStr">
        <is>
          <t>Arkesia Grey Wall Tile</t>
        </is>
      </c>
      <c r="D75" s="1" t="n">
        <v>16.99</v>
      </c>
      <c r="E75" s="1" t="inlineStr">
        <is>
          <t>600x300mm</t>
        </is>
      </c>
      <c r="F75" s="1" t="inlineStr">
        <is>
          <t>m2</t>
        </is>
      </c>
      <c r="G75" s="1" t="inlineStr">
        <is>
          <t>Ceramic</t>
        </is>
      </c>
      <c r="H75" s="1" t="inlineStr">
        <is>
          <t>Matt</t>
        </is>
      </c>
      <c r="I75" t="n">
        <v>1169</v>
      </c>
    </row>
    <row r="76">
      <c r="A76" s="1">
        <f>Hyperlink("https://www.tilemountain.co.uk/p/arkesia-light-grey-wall.html","Product")</f>
        <v/>
      </c>
      <c r="B76" s="1" t="inlineStr">
        <is>
          <t>448585</t>
        </is>
      </c>
      <c r="C76" s="1" t="inlineStr">
        <is>
          <t>Arkesia Light Grey Wall Tile</t>
        </is>
      </c>
      <c r="D76" s="1" t="n">
        <v>16.99</v>
      </c>
      <c r="E76" s="1" t="inlineStr">
        <is>
          <t>600x300mm</t>
        </is>
      </c>
      <c r="F76" s="1" t="inlineStr">
        <is>
          <t>m2</t>
        </is>
      </c>
      <c r="G76" s="1" t="inlineStr">
        <is>
          <t>Ceramic</t>
        </is>
      </c>
      <c r="H76" s="1" t="inlineStr">
        <is>
          <t>Matt</t>
        </is>
      </c>
      <c r="I76" t="n">
        <v>178</v>
      </c>
    </row>
    <row r="77">
      <c r="A77" s="1">
        <f>Hyperlink("https://www.tilemountain.co.uk/p/arkety-sand.html","Product")</f>
        <v/>
      </c>
      <c r="B77" s="1" t="inlineStr">
        <is>
          <t>444430</t>
        </is>
      </c>
      <c r="C77" s="1" t="inlineStr">
        <is>
          <t>Arkety Sand Floor Tile</t>
        </is>
      </c>
      <c r="D77" s="1" t="n">
        <v>34.99</v>
      </c>
      <c r="E77" s="1" t="inlineStr">
        <is>
          <t>1200x1200mm</t>
        </is>
      </c>
      <c r="F77" s="1" t="inlineStr">
        <is>
          <t>m2</t>
        </is>
      </c>
      <c r="G77" s="1" t="inlineStr">
        <is>
          <t>Porcelain</t>
        </is>
      </c>
      <c r="H77" s="1" t="inlineStr">
        <is>
          <t>Matt</t>
        </is>
      </c>
      <c r="I77" t="n">
        <v>416</v>
      </c>
    </row>
    <row r="78">
      <c r="A78" s="1">
        <f>Hyperlink("https://www.tilemountain.co.uk/p/artesano-alabaster-6-5x20cm.html","Product")</f>
        <v/>
      </c>
      <c r="B78" s="1" t="inlineStr">
        <is>
          <t>402390</t>
        </is>
      </c>
      <c r="C78" s="1" t="inlineStr">
        <is>
          <t>Artesano Alabaster</t>
        </is>
      </c>
      <c r="D78" s="1" t="n">
        <v>34.99</v>
      </c>
      <c r="E78" s="1" t="inlineStr">
        <is>
          <t>200x65mm</t>
        </is>
      </c>
      <c r="F78" s="1" t="inlineStr">
        <is>
          <t>m2</t>
        </is>
      </c>
      <c r="G78" s="1" t="inlineStr">
        <is>
          <t>Ceramic</t>
        </is>
      </c>
      <c r="H78" s="1" t="inlineStr">
        <is>
          <t>Gloss</t>
        </is>
      </c>
      <c r="I78" t="n">
        <v>123</v>
      </c>
    </row>
    <row r="79">
      <c r="A79" s="1">
        <f>Hyperlink("https://www.tilemountain.co.uk/p/artesano-aqua-6-5x20cm.html","Product")</f>
        <v/>
      </c>
      <c r="B79" s="1" t="inlineStr">
        <is>
          <t>402385</t>
        </is>
      </c>
      <c r="C79" s="1" t="inlineStr">
        <is>
          <t>Artesano Aqua</t>
        </is>
      </c>
      <c r="D79" s="1" t="n">
        <v>34.99</v>
      </c>
      <c r="E79" s="1" t="inlineStr">
        <is>
          <t>200x65mm</t>
        </is>
      </c>
      <c r="F79" s="1" t="inlineStr">
        <is>
          <t>m2</t>
        </is>
      </c>
      <c r="G79" s="1" t="inlineStr">
        <is>
          <t>Ceramic</t>
        </is>
      </c>
      <c r="H79" s="1" t="inlineStr">
        <is>
          <t>Gloss</t>
        </is>
      </c>
      <c r="I79" t="n">
        <v>187</v>
      </c>
    </row>
    <row r="80">
      <c r="A80" s="1">
        <f>Hyperlink("https://www.tilemountain.co.uk/p/artesano-burgundy-6-5x20cm.html","Product")</f>
        <v/>
      </c>
      <c r="B80" s="1" t="inlineStr">
        <is>
          <t>402380</t>
        </is>
      </c>
      <c r="C80" s="1" t="inlineStr">
        <is>
          <t>Artesano Burgundy</t>
        </is>
      </c>
      <c r="D80" s="1" t="n">
        <v>34.99</v>
      </c>
      <c r="E80" s="1" t="inlineStr">
        <is>
          <t>200x65mm</t>
        </is>
      </c>
      <c r="F80" s="1" t="inlineStr">
        <is>
          <t>m2</t>
        </is>
      </c>
      <c r="G80" s="1" t="inlineStr">
        <is>
          <t>Ceramic</t>
        </is>
      </c>
      <c r="H80" s="1" t="inlineStr">
        <is>
          <t>Gloss</t>
        </is>
      </c>
      <c r="I80" t="n">
        <v>117</v>
      </c>
    </row>
    <row r="81">
      <c r="A81" s="1">
        <f>Hyperlink("https://www.tilemountain.co.uk/p/artesano-colonial-blue-6-5x20cm.html","Product")</f>
        <v/>
      </c>
      <c r="B81" s="1" t="inlineStr">
        <is>
          <t>402395</t>
        </is>
      </c>
      <c r="C81" s="1" t="inlineStr">
        <is>
          <t>Artesano Colonial Blue</t>
        </is>
      </c>
      <c r="D81" s="1" t="n">
        <v>34.99</v>
      </c>
      <c r="E81" s="1" t="inlineStr">
        <is>
          <t>200x65mm</t>
        </is>
      </c>
      <c r="F81" s="1" t="inlineStr">
        <is>
          <t>m2</t>
        </is>
      </c>
      <c r="G81" s="1" t="inlineStr">
        <is>
          <t>Ceramic</t>
        </is>
      </c>
      <c r="H81" s="1" t="inlineStr">
        <is>
          <t>Gloss</t>
        </is>
      </c>
      <c r="I81" t="n">
        <v>163</v>
      </c>
    </row>
    <row r="82">
      <c r="A82" s="1">
        <f>Hyperlink("https://www.tilemountain.co.uk/p/artesano-graphite-6-5x20cm.html","Product")</f>
        <v/>
      </c>
      <c r="B82" s="1" t="inlineStr">
        <is>
          <t>402405</t>
        </is>
      </c>
      <c r="C82" s="1" t="inlineStr">
        <is>
          <t>Artesano Graphite</t>
        </is>
      </c>
      <c r="D82" s="1" t="n">
        <v>34.99</v>
      </c>
      <c r="E82" s="1" t="inlineStr">
        <is>
          <t>200x65mm</t>
        </is>
      </c>
      <c r="F82" s="1" t="inlineStr">
        <is>
          <t>m2</t>
        </is>
      </c>
      <c r="G82" s="1" t="inlineStr">
        <is>
          <t>Ceramic</t>
        </is>
      </c>
      <c r="H82" s="1" t="inlineStr">
        <is>
          <t>Gloss</t>
        </is>
      </c>
      <c r="I82" t="n">
        <v>65</v>
      </c>
    </row>
    <row r="83">
      <c r="A83" s="1">
        <f>Hyperlink("https://www.tilemountain.co.uk/p/artesano-moss-green-6-5x20cm.html","Product")</f>
        <v/>
      </c>
      <c r="B83" s="1" t="inlineStr">
        <is>
          <t>402400</t>
        </is>
      </c>
      <c r="C83" s="1" t="inlineStr">
        <is>
          <t>Artesano Moss Green</t>
        </is>
      </c>
      <c r="D83" s="1" t="n">
        <v>34.99</v>
      </c>
      <c r="E83" s="1" t="inlineStr">
        <is>
          <t>200x65mm</t>
        </is>
      </c>
      <c r="F83" s="1" t="inlineStr">
        <is>
          <t>m2</t>
        </is>
      </c>
      <c r="G83" s="1" t="inlineStr">
        <is>
          <t>Ceramic</t>
        </is>
      </c>
      <c r="H83" s="1" t="inlineStr">
        <is>
          <t>Gloss</t>
        </is>
      </c>
      <c r="I83" t="n">
        <v>123</v>
      </c>
    </row>
    <row r="84">
      <c r="A84" s="1">
        <f>Hyperlink("https://www.tilemountain.co.uk/p/artesano-rose-mallow-6-5x20cm.html","Product")</f>
        <v/>
      </c>
      <c r="B84" s="1" t="inlineStr">
        <is>
          <t>402375</t>
        </is>
      </c>
      <c r="C84" s="1" t="inlineStr">
        <is>
          <t>Artesano Rose Mallow</t>
        </is>
      </c>
      <c r="D84" s="1" t="n">
        <v>34.99</v>
      </c>
      <c r="E84" s="1" t="inlineStr">
        <is>
          <t>200x65mm</t>
        </is>
      </c>
      <c r="F84" s="1" t="inlineStr">
        <is>
          <t>m2</t>
        </is>
      </c>
      <c r="G84" s="1" t="inlineStr">
        <is>
          <t>Ceramic</t>
        </is>
      </c>
      <c r="H84" s="1" t="inlineStr">
        <is>
          <t>Gloss</t>
        </is>
      </c>
      <c r="I84" t="n">
        <v>284</v>
      </c>
    </row>
    <row r="85">
      <c r="A85" s="1">
        <f>Hyperlink("https://www.tilemountain.co.uk/p/artesano-white-6-5x20cm.html","Product")</f>
        <v/>
      </c>
      <c r="B85" s="1" t="inlineStr">
        <is>
          <t>402365</t>
        </is>
      </c>
      <c r="C85" s="1" t="inlineStr">
        <is>
          <t>Artesano White</t>
        </is>
      </c>
      <c r="D85" s="1" t="n">
        <v>34.99</v>
      </c>
      <c r="E85" s="1" t="inlineStr">
        <is>
          <t>200x65mm</t>
        </is>
      </c>
      <c r="F85" s="1" t="inlineStr">
        <is>
          <t>m2</t>
        </is>
      </c>
      <c r="G85" s="1" t="inlineStr">
        <is>
          <t>Ceramic</t>
        </is>
      </c>
      <c r="H85" s="1" t="inlineStr">
        <is>
          <t>Gloss</t>
        </is>
      </c>
      <c r="I85" t="n">
        <v>303</v>
      </c>
    </row>
    <row r="86">
      <c r="A86" s="1">
        <f>Hyperlink("https://www.tilemountain.co.uk/p/articwood-amber-wood-effect-floor-tile.html","Product")</f>
        <v/>
      </c>
      <c r="B86" s="1" t="inlineStr">
        <is>
          <t>449715</t>
        </is>
      </c>
      <c r="C86" s="1" t="inlineStr">
        <is>
          <t>Articwood Amber Wood Effect Floor Tile</t>
        </is>
      </c>
      <c r="D86" s="1" t="n">
        <v>11.99</v>
      </c>
      <c r="E86" s="1" t="inlineStr">
        <is>
          <t>615x205mm</t>
        </is>
      </c>
      <c r="F86" s="1" t="inlineStr">
        <is>
          <t>m2</t>
        </is>
      </c>
      <c r="G86" s="1" t="inlineStr">
        <is>
          <t>Ceramic</t>
        </is>
      </c>
      <c r="H86" s="1" t="inlineStr">
        <is>
          <t>Matt</t>
        </is>
      </c>
      <c r="I86" t="n">
        <v>238</v>
      </c>
    </row>
    <row r="87">
      <c r="A87" s="1">
        <f>Hyperlink("https://www.tilemountain.co.uk/p/articwood-camel-wood-effect-floor-tile.html","Product")</f>
        <v/>
      </c>
      <c r="B87" s="1" t="inlineStr">
        <is>
          <t>449710</t>
        </is>
      </c>
      <c r="C87" s="1" t="inlineStr">
        <is>
          <t>Articwood Camel Wood Effect Floor Tile</t>
        </is>
      </c>
      <c r="D87" s="1" t="n">
        <v>11.99</v>
      </c>
      <c r="E87" s="1" t="inlineStr">
        <is>
          <t>615x205mm</t>
        </is>
      </c>
      <c r="F87" s="1" t="inlineStr">
        <is>
          <t>m2</t>
        </is>
      </c>
      <c r="G87" s="1" t="inlineStr">
        <is>
          <t>Ceramic</t>
        </is>
      </c>
      <c r="H87" s="1" t="inlineStr">
        <is>
          <t>Matt</t>
        </is>
      </c>
      <c r="I87" t="n">
        <v>466</v>
      </c>
    </row>
    <row r="88">
      <c r="A88" s="1">
        <f>Hyperlink("https://www.tilemountain.co.uk/p/articwood-ice-gray-20-5x61-5.html","Product")</f>
        <v/>
      </c>
      <c r="B88" s="1" t="inlineStr">
        <is>
          <t>449700</t>
        </is>
      </c>
      <c r="C88" s="1" t="inlineStr">
        <is>
          <t>Articwood Ice Grey Wood Effect Wall And Floor Tiles</t>
        </is>
      </c>
      <c r="D88" s="1" t="n">
        <v>11.99</v>
      </c>
      <c r="E88" s="1" t="inlineStr">
        <is>
          <t>615x205mm</t>
        </is>
      </c>
      <c r="F88" s="1" t="inlineStr">
        <is>
          <t>m2</t>
        </is>
      </c>
      <c r="G88" s="1" t="inlineStr">
        <is>
          <t>Ceramic</t>
        </is>
      </c>
      <c r="H88" s="1" t="inlineStr">
        <is>
          <t>Matt</t>
        </is>
      </c>
      <c r="I88" t="n">
        <v>555</v>
      </c>
    </row>
    <row r="89">
      <c r="A89" s="1">
        <f>Hyperlink("https://www.tilemountain.co.uk/p/artiste-cream-wall-tiles-7-5x15cm.html","Product")</f>
        <v/>
      </c>
      <c r="B89" s="1" t="inlineStr">
        <is>
          <t>1007925</t>
        </is>
      </c>
      <c r="C89" s="1" t="inlineStr">
        <is>
          <t>Artiste Cream Wall Tiles</t>
        </is>
      </c>
      <c r="D89" s="1" t="n">
        <v>27.56</v>
      </c>
      <c r="E89" s="1" t="inlineStr">
        <is>
          <t>150x75mm</t>
        </is>
      </c>
      <c r="F89" s="1" t="inlineStr">
        <is>
          <t>m2</t>
        </is>
      </c>
      <c r="G89" s="1" t="inlineStr">
        <is>
          <t>Ceramic</t>
        </is>
      </c>
      <c r="H89" s="1" t="inlineStr">
        <is>
          <t>Gloss</t>
        </is>
      </c>
      <c r="I89" t="n">
        <v>35</v>
      </c>
    </row>
    <row r="90">
      <c r="A90" s="1">
        <f>Hyperlink("https://www.tilemountain.co.uk/p/artiste-duck-egg-wall-tiles-7-5x15cm.html","Product")</f>
        <v/>
      </c>
      <c r="B90" s="1" t="inlineStr">
        <is>
          <t>1007935</t>
        </is>
      </c>
      <c r="C90" s="1" t="inlineStr">
        <is>
          <t>Artiste Duck Egg Wall Tiles</t>
        </is>
      </c>
      <c r="D90" s="1" t="n">
        <v>27.56</v>
      </c>
      <c r="E90" s="1" t="inlineStr">
        <is>
          <t>150x75mm</t>
        </is>
      </c>
      <c r="F90" s="1" t="inlineStr">
        <is>
          <t>m2</t>
        </is>
      </c>
      <c r="G90" s="1" t="inlineStr">
        <is>
          <t>Ceramic</t>
        </is>
      </c>
      <c r="H90" s="1" t="inlineStr">
        <is>
          <t>Gloss</t>
        </is>
      </c>
      <c r="I90" t="inlineStr">
        <is>
          <t>In Stock</t>
        </is>
      </c>
    </row>
    <row r="91">
      <c r="A91" s="1">
        <f>Hyperlink("https://www.tilemountain.co.uk/p/artiste-grey-wall-tiles-7-5x15cm.html","Product")</f>
        <v/>
      </c>
      <c r="B91" s="1" t="inlineStr">
        <is>
          <t>1007945</t>
        </is>
      </c>
      <c r="C91" s="1" t="inlineStr">
        <is>
          <t>Artiste Grey Wall Tiles</t>
        </is>
      </c>
      <c r="D91" s="1" t="n">
        <v>27.56</v>
      </c>
      <c r="E91" s="1" t="inlineStr">
        <is>
          <t>150x75mm</t>
        </is>
      </c>
      <c r="F91" s="1" t="inlineStr">
        <is>
          <t>m2</t>
        </is>
      </c>
      <c r="G91" s="1" t="inlineStr">
        <is>
          <t>Ceramic</t>
        </is>
      </c>
      <c r="H91" s="1" t="inlineStr">
        <is>
          <t>Gloss</t>
        </is>
      </c>
      <c r="I91" t="n">
        <v>72</v>
      </c>
    </row>
    <row r="92">
      <c r="A92" s="1">
        <f>Hyperlink("https://www.tilemountain.co.uk/p/asp-paving-pedestal-50-70mm.html","Product")</f>
        <v/>
      </c>
      <c r="B92" s="1" t="inlineStr">
        <is>
          <t>442910</t>
        </is>
      </c>
      <c r="C92" s="1" t="inlineStr">
        <is>
          <t>ASP Outdoor Tiles Pedestal 50-70mm</t>
        </is>
      </c>
      <c r="D92" s="1" t="n">
        <v>5.49</v>
      </c>
      <c r="E92" s="1" t="inlineStr">
        <is>
          <t>-</t>
        </is>
      </c>
      <c r="F92" s="1" t="inlineStr">
        <is>
          <t>Qty</t>
        </is>
      </c>
      <c r="G92" s="1" t="inlineStr">
        <is>
          <t>-</t>
        </is>
      </c>
      <c r="H92" s="1" t="inlineStr">
        <is>
          <t>-</t>
        </is>
      </c>
      <c r="I92" t="inlineStr">
        <is>
          <t>In Stock</t>
        </is>
      </c>
    </row>
    <row r="93">
      <c r="A93" s="1">
        <f>Hyperlink("https://www.tilemountain.co.uk/p/asp-pedestal-flat-head.html","Product")</f>
        <v/>
      </c>
      <c r="B93" s="1" t="inlineStr">
        <is>
          <t>451625</t>
        </is>
      </c>
      <c r="C93" s="1" t="inlineStr">
        <is>
          <t>ASP Outdoor Tiles Flat Head Pedestal 50-70mm</t>
        </is>
      </c>
      <c r="D93" s="1" t="n">
        <v>5.49</v>
      </c>
      <c r="E93" s="1" t="inlineStr">
        <is>
          <t>-</t>
        </is>
      </c>
      <c r="F93" s="1" t="inlineStr">
        <is>
          <t>Qty</t>
        </is>
      </c>
      <c r="G93" s="1" t="inlineStr">
        <is>
          <t>-</t>
        </is>
      </c>
      <c r="H93" s="1" t="inlineStr">
        <is>
          <t>-</t>
        </is>
      </c>
      <c r="I93" t="inlineStr">
        <is>
          <t>In Stock</t>
        </is>
      </c>
    </row>
    <row r="94">
      <c r="A94" s="1">
        <f>Hyperlink("https://www.tilemountain.co.uk/p/aspendos-dark-grey-gloss-wall-tile.html","Product")</f>
        <v/>
      </c>
      <c r="B94" s="1" t="inlineStr">
        <is>
          <t>430255</t>
        </is>
      </c>
      <c r="C94" s="1" t="inlineStr">
        <is>
          <t>Aspendos Dark Grey Gloss Wall Tiles</t>
        </is>
      </c>
      <c r="D94" s="1" t="n">
        <v>10.99</v>
      </c>
      <c r="E94" s="1" t="inlineStr">
        <is>
          <t>250x400mm</t>
        </is>
      </c>
      <c r="F94" s="1" t="inlineStr">
        <is>
          <t>m2</t>
        </is>
      </c>
      <c r="G94" s="1" t="inlineStr">
        <is>
          <t>Ceramic</t>
        </is>
      </c>
      <c r="H94" s="1" t="inlineStr">
        <is>
          <t>Gloss</t>
        </is>
      </c>
      <c r="I94" t="n">
        <v>433</v>
      </c>
    </row>
    <row r="95">
      <c r="A95" s="1">
        <f>Hyperlink("https://www.tilemountain.co.uk/p/aspendos-light-grey-gloss-wall-tile.html","Product")</f>
        <v/>
      </c>
      <c r="B95" s="1" t="inlineStr">
        <is>
          <t>430250</t>
        </is>
      </c>
      <c r="C95" s="1" t="inlineStr">
        <is>
          <t>Aspendos Light Grey Gloss Wall Tiles</t>
        </is>
      </c>
      <c r="D95" s="1" t="n">
        <v>10.99</v>
      </c>
      <c r="E95" s="1" t="inlineStr">
        <is>
          <t>250x400mm</t>
        </is>
      </c>
      <c r="F95" s="1" t="inlineStr">
        <is>
          <t>m2</t>
        </is>
      </c>
      <c r="G95" s="1" t="inlineStr">
        <is>
          <t>Ceramic</t>
        </is>
      </c>
      <c r="H95" s="1" t="inlineStr">
        <is>
          <t>Gloss</t>
        </is>
      </c>
      <c r="I95" t="n">
        <v>506</v>
      </c>
    </row>
    <row r="96">
      <c r="A96" s="1">
        <f>Hyperlink("https://www.tilemountain.co.uk/p/atlantis-beige-wall-and-floor-tile.html","Product")</f>
        <v/>
      </c>
      <c r="B96" s="1" t="inlineStr">
        <is>
          <t>441225</t>
        </is>
      </c>
      <c r="C96" s="1" t="inlineStr">
        <is>
          <t>Atlantis Beige Wood Effect Wall and Floor Tiles</t>
        </is>
      </c>
      <c r="D96" s="1" t="n">
        <v>15.99</v>
      </c>
      <c r="E96" s="1" t="inlineStr">
        <is>
          <t>880x240mm</t>
        </is>
      </c>
      <c r="F96" s="1" t="inlineStr">
        <is>
          <t>m2</t>
        </is>
      </c>
      <c r="G96" s="1" t="inlineStr">
        <is>
          <t>Porcelain</t>
        </is>
      </c>
      <c r="H96" s="1" t="inlineStr">
        <is>
          <t>Matt</t>
        </is>
      </c>
      <c r="I96" t="n">
        <v>1463</v>
      </c>
    </row>
    <row r="97">
      <c r="A97" s="1">
        <f>Hyperlink("https://www.tilemountain.co.uk/p/atlantis-grey-wall-and-floor-tile.html","Product")</f>
        <v/>
      </c>
      <c r="B97" s="1" t="inlineStr">
        <is>
          <t>441235</t>
        </is>
      </c>
      <c r="C97" s="1" t="inlineStr">
        <is>
          <t>Atlantis Grey Wood Effect Wall and Floor Tiles</t>
        </is>
      </c>
      <c r="D97" s="1" t="n">
        <v>15.99</v>
      </c>
      <c r="E97" s="1" t="inlineStr">
        <is>
          <t>880x240mm</t>
        </is>
      </c>
      <c r="F97" s="1" t="inlineStr">
        <is>
          <t>m2</t>
        </is>
      </c>
      <c r="G97" s="1" t="inlineStr">
        <is>
          <t>Porcelain</t>
        </is>
      </c>
      <c r="H97" s="1" t="inlineStr">
        <is>
          <t>Matt</t>
        </is>
      </c>
      <c r="I97" t="n">
        <v>1827</v>
      </c>
    </row>
    <row r="98">
      <c r="A98" s="1">
        <f>Hyperlink("https://www.tilemountain.co.uk/p/atlantis-taupe-wall-and-floor-tile.html","Product")</f>
        <v/>
      </c>
      <c r="B98" s="1" t="inlineStr">
        <is>
          <t>441240</t>
        </is>
      </c>
      <c r="C98" s="1" t="inlineStr">
        <is>
          <t>Atlantis Taupe Wood Effect Wall and Floor Tiles</t>
        </is>
      </c>
      <c r="D98" s="1" t="n">
        <v>15.99</v>
      </c>
      <c r="E98" s="1" t="inlineStr">
        <is>
          <t>880x240mm</t>
        </is>
      </c>
      <c r="F98" s="1" t="inlineStr">
        <is>
          <t>m2</t>
        </is>
      </c>
      <c r="G98" s="1" t="inlineStr">
        <is>
          <t>Porcelain</t>
        </is>
      </c>
      <c r="H98" s="1" t="inlineStr">
        <is>
          <t>Matt</t>
        </is>
      </c>
      <c r="I98" t="n">
        <v>1437</v>
      </c>
    </row>
    <row r="99">
      <c r="A99" s="1">
        <f>Hyperlink("https://www.tilemountain.co.uk/p/atlantis-white-wall-and-floor-tile.html","Product")</f>
        <v/>
      </c>
      <c r="B99" s="1" t="inlineStr">
        <is>
          <t>441230</t>
        </is>
      </c>
      <c r="C99" s="1" t="inlineStr">
        <is>
          <t>Atlantis White Wood Effect Wall and Floor Tiles</t>
        </is>
      </c>
      <c r="D99" s="1" t="n">
        <v>15.99</v>
      </c>
      <c r="E99" s="1" t="inlineStr">
        <is>
          <t>880x240mm</t>
        </is>
      </c>
      <c r="F99" s="1" t="inlineStr">
        <is>
          <t>m2</t>
        </is>
      </c>
      <c r="G99" s="1" t="inlineStr">
        <is>
          <t>Porcelain</t>
        </is>
      </c>
      <c r="H99" s="1" t="inlineStr">
        <is>
          <t>Matt</t>
        </is>
      </c>
      <c r="I99" t="n">
        <v>528</v>
      </c>
    </row>
    <row r="100">
      <c r="A100" s="1">
        <f>Hyperlink("https://www.tilemountain.co.uk/p/atlas-aqua-brillo.html","Product")</f>
        <v/>
      </c>
      <c r="B100" s="1" t="inlineStr">
        <is>
          <t>449850</t>
        </is>
      </c>
      <c r="C100" s="1" t="inlineStr">
        <is>
          <t>Hampshire Aqua Blue Gloss Wall Tiles</t>
        </is>
      </c>
      <c r="D100" s="1" t="n">
        <v>22.99</v>
      </c>
      <c r="E100" s="1" t="inlineStr">
        <is>
          <t>150x75mm</t>
        </is>
      </c>
      <c r="F100" s="1" t="inlineStr">
        <is>
          <t>m2</t>
        </is>
      </c>
      <c r="G100" s="1" t="inlineStr">
        <is>
          <t>Ceramic</t>
        </is>
      </c>
      <c r="H100" s="1" t="inlineStr">
        <is>
          <t>Gloss</t>
        </is>
      </c>
      <c r="I100" t="n">
        <v>170</v>
      </c>
    </row>
    <row r="101">
      <c r="A101" s="1">
        <f>Hyperlink("https://www.tilemountain.co.uk/p/atlas-ivory-brillo.html","Product")</f>
        <v/>
      </c>
      <c r="B101" s="1" t="inlineStr">
        <is>
          <t>449835</t>
        </is>
      </c>
      <c r="C101" s="1" t="inlineStr">
        <is>
          <t>Hampshire Ivory Gloss Wall Tiles</t>
        </is>
      </c>
      <c r="D101" s="1" t="n">
        <v>22.99</v>
      </c>
      <c r="E101" s="1" t="inlineStr">
        <is>
          <t>150x75mm</t>
        </is>
      </c>
      <c r="F101" s="1" t="inlineStr">
        <is>
          <t>m2</t>
        </is>
      </c>
      <c r="G101" s="1" t="inlineStr">
        <is>
          <t>Ceramic</t>
        </is>
      </c>
      <c r="H101" s="1" t="inlineStr">
        <is>
          <t>Gloss</t>
        </is>
      </c>
      <c r="I101" t="n">
        <v>123</v>
      </c>
    </row>
    <row r="102">
      <c r="A102" s="1">
        <f>Hyperlink("https://www.tilemountain.co.uk/p/atlas-jade-brillo.html","Product")</f>
        <v/>
      </c>
      <c r="B102" s="1" t="inlineStr">
        <is>
          <t>449845</t>
        </is>
      </c>
      <c r="C102" s="1" t="inlineStr">
        <is>
          <t>Hampshire Jade Green Gloss Wall Tiles</t>
        </is>
      </c>
      <c r="D102" s="1" t="n">
        <v>22.99</v>
      </c>
      <c r="E102" s="1" t="inlineStr">
        <is>
          <t>150x75mm</t>
        </is>
      </c>
      <c r="F102" s="1" t="inlineStr">
        <is>
          <t>m2</t>
        </is>
      </c>
      <c r="G102" s="1" t="inlineStr">
        <is>
          <t>Ceramic</t>
        </is>
      </c>
      <c r="H102" s="1" t="inlineStr">
        <is>
          <t>Gloss</t>
        </is>
      </c>
      <c r="I102" t="n">
        <v>219</v>
      </c>
    </row>
    <row r="103">
      <c r="A103" s="1">
        <f>Hyperlink("https://www.tilemountain.co.uk/p/atlas-pearl-brillo.html","Product")</f>
        <v/>
      </c>
      <c r="B103" s="1" t="inlineStr">
        <is>
          <t>449840</t>
        </is>
      </c>
      <c r="C103" s="1" t="inlineStr">
        <is>
          <t>Hampshire Light Grey Gloss Wall Tiles</t>
        </is>
      </c>
      <c r="D103" s="1" t="n">
        <v>22.99</v>
      </c>
      <c r="E103" s="1" t="inlineStr">
        <is>
          <t>150x75mm</t>
        </is>
      </c>
      <c r="F103" s="1" t="inlineStr">
        <is>
          <t>m2</t>
        </is>
      </c>
      <c r="G103" s="1" t="inlineStr">
        <is>
          <t>Ceramic</t>
        </is>
      </c>
      <c r="H103" s="1" t="inlineStr">
        <is>
          <t>Gloss</t>
        </is>
      </c>
      <c r="I103" t="n">
        <v>275</v>
      </c>
    </row>
    <row r="104">
      <c r="A104" s="1">
        <f>Hyperlink("https://www.tilemountain.co.uk/p/atlas-sky-brillo.html","Product")</f>
        <v/>
      </c>
      <c r="B104" s="1" t="inlineStr">
        <is>
          <t>449855</t>
        </is>
      </c>
      <c r="C104" s="1" t="inlineStr">
        <is>
          <t>Hampshire Sky Blue Gloss Wall Tiles</t>
        </is>
      </c>
      <c r="D104" s="1" t="n">
        <v>22.99</v>
      </c>
      <c r="E104" s="1" t="inlineStr">
        <is>
          <t>150x75mm</t>
        </is>
      </c>
      <c r="F104" s="1" t="inlineStr">
        <is>
          <t>m2</t>
        </is>
      </c>
      <c r="G104" s="1" t="inlineStr">
        <is>
          <t>Ceramic</t>
        </is>
      </c>
      <c r="H104" s="1" t="inlineStr">
        <is>
          <t>Gloss</t>
        </is>
      </c>
      <c r="I104" t="n">
        <v>175</v>
      </c>
    </row>
    <row r="105">
      <c r="A105" s="1">
        <f>Hyperlink("https://www.tilemountain.co.uk/p/atlas-white-brillo.html","Product")</f>
        <v/>
      </c>
      <c r="B105" s="1" t="inlineStr">
        <is>
          <t>449830</t>
        </is>
      </c>
      <c r="C105" s="1" t="inlineStr">
        <is>
          <t>Hampshire White Gloss Wall Tiles</t>
        </is>
      </c>
      <c r="D105" s="1" t="n">
        <v>22.99</v>
      </c>
      <c r="E105" s="1" t="inlineStr">
        <is>
          <t>150x75mm</t>
        </is>
      </c>
      <c r="F105" s="1" t="inlineStr">
        <is>
          <t>m2</t>
        </is>
      </c>
      <c r="G105" s="1" t="inlineStr">
        <is>
          <t>Ceramic</t>
        </is>
      </c>
      <c r="H105" s="1" t="inlineStr">
        <is>
          <t>Gloss</t>
        </is>
      </c>
      <c r="I105" t="n">
        <v>113</v>
      </c>
    </row>
    <row r="106">
      <c r="A106" s="1">
        <f>Hyperlink("https://www.tilemountain.co.uk/p/avignon-wall-floor-tile-25x25cm.html","Product")</f>
        <v/>
      </c>
      <c r="B106" s="1" t="inlineStr">
        <is>
          <t>300435</t>
        </is>
      </c>
      <c r="C106" s="1" t="inlineStr">
        <is>
          <t>Avignon Wall and Floor Tiles</t>
        </is>
      </c>
      <c r="D106" s="1" t="n">
        <v>26.99</v>
      </c>
      <c r="E106" s="1" t="inlineStr">
        <is>
          <t>250x250mm</t>
        </is>
      </c>
      <c r="F106" s="1" t="inlineStr">
        <is>
          <t>m2</t>
        </is>
      </c>
      <c r="G106" s="1" t="inlineStr">
        <is>
          <t>Glazed Porcelain</t>
        </is>
      </c>
      <c r="H106" s="1" t="inlineStr">
        <is>
          <t>Matt</t>
        </is>
      </c>
      <c r="I106" t="n">
        <v>73</v>
      </c>
    </row>
    <row r="107">
      <c r="A107" s="1">
        <f>Hyperlink("https://www.tilemountain.co.uk/p/axis-white-outdoor-slab-tile.html","Product")</f>
        <v/>
      </c>
      <c r="B107" s="1" t="inlineStr">
        <is>
          <t>442915</t>
        </is>
      </c>
      <c r="C107" s="1" t="inlineStr">
        <is>
          <t>Axis White Outdoor Slab Tiles</t>
        </is>
      </c>
      <c r="D107" s="1" t="n">
        <v>39.95</v>
      </c>
      <c r="E107" s="1" t="inlineStr">
        <is>
          <t>610x610mm</t>
        </is>
      </c>
      <c r="F107" s="1" t="inlineStr">
        <is>
          <t>m2</t>
        </is>
      </c>
      <c r="G107" s="1" t="inlineStr">
        <is>
          <t>Porcelain</t>
        </is>
      </c>
      <c r="H107" s="1" t="inlineStr">
        <is>
          <t>Matt</t>
        </is>
      </c>
      <c r="I107" t="n">
        <v>1736</v>
      </c>
    </row>
    <row r="108">
      <c r="A108" s="1">
        <f>Hyperlink("https://www.tilemountain.co.uk/p/azuma-azma-36ag-rm.html","Product")</f>
        <v/>
      </c>
      <c r="B108" s="1" t="inlineStr">
        <is>
          <t>6IMO8970</t>
        </is>
      </c>
      <c r="C108" s="1" t="inlineStr">
        <is>
          <t>Azuma Azma Wall and Floor Tile</t>
        </is>
      </c>
      <c r="D108" s="1" t="n">
        <v>25</v>
      </c>
      <c r="E108" s="1" t="inlineStr">
        <is>
          <t>600x300mm</t>
        </is>
      </c>
      <c r="F108" s="1" t="inlineStr">
        <is>
          <t>m2</t>
        </is>
      </c>
      <c r="G108" s="1" t="inlineStr">
        <is>
          <t>Porcelain</t>
        </is>
      </c>
      <c r="H108" s="1" t="inlineStr">
        <is>
          <t>Matt</t>
        </is>
      </c>
      <c r="I108" t="n">
        <v>24</v>
      </c>
    </row>
    <row r="109">
      <c r="A109" s="1">
        <f>Hyperlink("https://www.tilemountain.co.uk/p/azuma-black-porcelain.html","Product")</f>
        <v/>
      </c>
      <c r="B109" s="1" t="inlineStr">
        <is>
          <t>449240</t>
        </is>
      </c>
      <c r="C109" s="1" t="inlineStr">
        <is>
          <t>Azuma Black Porcelain</t>
        </is>
      </c>
      <c r="D109" s="1" t="n">
        <v>24.94</v>
      </c>
      <c r="E109" s="1" t="inlineStr">
        <is>
          <t>600x300mm</t>
        </is>
      </c>
      <c r="F109" s="1" t="inlineStr">
        <is>
          <t>m2</t>
        </is>
      </c>
      <c r="G109" s="1" t="inlineStr">
        <is>
          <t>Porcelain</t>
        </is>
      </c>
      <c r="H109" s="1" t="inlineStr">
        <is>
          <t>Matt</t>
        </is>
      </c>
      <c r="I109" t="n">
        <v>48</v>
      </c>
    </row>
    <row r="110">
      <c r="A110" s="1">
        <f>Hyperlink("https://www.tilemountain.co.uk/p/azuma-grey-porcelain.html","Product")</f>
        <v/>
      </c>
      <c r="B110" s="1" t="inlineStr">
        <is>
          <t>449245</t>
        </is>
      </c>
      <c r="C110" s="1" t="inlineStr">
        <is>
          <t>Azuma Grey Porcelain</t>
        </is>
      </c>
      <c r="D110" s="1" t="n">
        <v>24.44</v>
      </c>
      <c r="E110" s="1" t="inlineStr">
        <is>
          <t>600x300mm</t>
        </is>
      </c>
      <c r="F110" s="1" t="inlineStr">
        <is>
          <t>m2</t>
        </is>
      </c>
      <c r="G110" s="1" t="inlineStr">
        <is>
          <t>Porcelain</t>
        </is>
      </c>
      <c r="H110" s="1" t="inlineStr">
        <is>
          <t>Matt</t>
        </is>
      </c>
      <c r="I110" t="n">
        <v>77</v>
      </c>
    </row>
    <row r="111">
      <c r="A111" s="1">
        <f>Hyperlink("https://www.tilemountain.co.uk/p/bally-octagon-black-white-mosaic.html","Product")</f>
        <v/>
      </c>
      <c r="B111" s="1" t="inlineStr">
        <is>
          <t>438545</t>
        </is>
      </c>
      <c r="C111" s="1" t="inlineStr">
        <is>
          <t>Bally Octagon Black White Mosaic</t>
        </is>
      </c>
      <c r="D111" s="1" t="n">
        <v>3.49</v>
      </c>
      <c r="E111" s="1" t="inlineStr">
        <is>
          <t>300x300mm</t>
        </is>
      </c>
      <c r="F111" s="1" t="inlineStr">
        <is>
          <t>sheet</t>
        </is>
      </c>
      <c r="G111" s="1" t="inlineStr">
        <is>
          <t>Ceramic</t>
        </is>
      </c>
      <c r="H111" s="1" t="inlineStr">
        <is>
          <t>Gloss</t>
        </is>
      </c>
      <c r="I111" t="inlineStr">
        <is>
          <t>More Stock due 28/02/22</t>
        </is>
      </c>
    </row>
    <row r="112">
      <c r="A112" s="1">
        <f>Hyperlink("https://www.tilemountain.co.uk/p/balmoral-grey-gloss-floor-tile_1.html","Product")</f>
        <v/>
      </c>
      <c r="B112" s="1" t="inlineStr">
        <is>
          <t>445595</t>
        </is>
      </c>
      <c r="C112" s="1" t="inlineStr">
        <is>
          <t>Balmoral Grey Gloss Floor Tiles</t>
        </is>
      </c>
      <c r="D112" s="1" t="n">
        <v>17.98</v>
      </c>
      <c r="E112" s="1" t="inlineStr">
        <is>
          <t>600x600mm</t>
        </is>
      </c>
      <c r="F112" s="1" t="inlineStr">
        <is>
          <t>m2</t>
        </is>
      </c>
      <c r="G112" s="1" t="inlineStr">
        <is>
          <t>Porcelain</t>
        </is>
      </c>
      <c r="H112" s="1" t="inlineStr">
        <is>
          <t>Gloss</t>
        </is>
      </c>
      <c r="I112" t="n">
        <v>681</v>
      </c>
    </row>
    <row r="113">
      <c r="A113" s="1">
        <f>Hyperlink("https://www.tilemountain.co.uk/p/balmoral-grey-gloss-wall-tile.html","Product")</f>
        <v/>
      </c>
      <c r="B113" s="1" t="inlineStr">
        <is>
          <t>445590</t>
        </is>
      </c>
      <c r="C113" s="1" t="inlineStr">
        <is>
          <t>Balmoral Grey Gloss Wall Tiles</t>
        </is>
      </c>
      <c r="D113" s="1" t="n">
        <v>17.99</v>
      </c>
      <c r="E113" s="1" t="inlineStr">
        <is>
          <t>900x300mm</t>
        </is>
      </c>
      <c r="F113" s="1" t="inlineStr">
        <is>
          <t>m2</t>
        </is>
      </c>
      <c r="G113" s="1" t="inlineStr">
        <is>
          <t>Ceramic</t>
        </is>
      </c>
      <c r="H113" s="1" t="inlineStr">
        <is>
          <t>Gloss</t>
        </is>
      </c>
      <c r="I113" t="n">
        <v>396</v>
      </c>
    </row>
    <row r="114">
      <c r="A114" s="1">
        <f>Hyperlink("https://www.tilemountain.co.uk/p/balmoral-taupe-gloss-floor-tile.html","Product")</f>
        <v/>
      </c>
      <c r="B114" s="1" t="inlineStr">
        <is>
          <t>445605</t>
        </is>
      </c>
      <c r="C114" s="1" t="inlineStr">
        <is>
          <t>Balmoral Taupe Gloss Floor Tiles</t>
        </is>
      </c>
      <c r="D114" s="1" t="n">
        <v>17.98</v>
      </c>
      <c r="E114" s="1" t="inlineStr">
        <is>
          <t>600x600mm</t>
        </is>
      </c>
      <c r="F114" s="1" t="inlineStr">
        <is>
          <t>m2</t>
        </is>
      </c>
      <c r="G114" s="1" t="inlineStr">
        <is>
          <t>Porcelain</t>
        </is>
      </c>
      <c r="H114" s="1" t="inlineStr">
        <is>
          <t>Gloss</t>
        </is>
      </c>
      <c r="I114" t="inlineStr">
        <is>
          <t>More Stock due 05/11/21</t>
        </is>
      </c>
    </row>
    <row r="115">
      <c r="A115" s="1">
        <f>Hyperlink("https://www.tilemountain.co.uk/p/balmoral-taupe-gloss-wall-tile.html","Product")</f>
        <v/>
      </c>
      <c r="B115" s="1" t="inlineStr">
        <is>
          <t>445600</t>
        </is>
      </c>
      <c r="C115" s="1" t="inlineStr">
        <is>
          <t>Balmoral Taupe Gloss Wall Tiles</t>
        </is>
      </c>
      <c r="D115" s="1" t="n">
        <v>17.99</v>
      </c>
      <c r="E115" s="1" t="inlineStr">
        <is>
          <t>900x300mm</t>
        </is>
      </c>
      <c r="F115" s="1" t="inlineStr">
        <is>
          <t>m2</t>
        </is>
      </c>
      <c r="G115" s="1" t="inlineStr">
        <is>
          <t>Ceramic</t>
        </is>
      </c>
      <c r="H115" s="1" t="inlineStr">
        <is>
          <t>Gloss</t>
        </is>
      </c>
      <c r="I115" t="n">
        <v>318</v>
      </c>
    </row>
    <row r="116">
      <c r="A116" s="1">
        <f>Hyperlink("https://www.tilemountain.co.uk/p/baltimore-beige-wall-and-floor-tile.html","Product")</f>
        <v/>
      </c>
      <c r="B116" s="1" t="inlineStr">
        <is>
          <t>441180</t>
        </is>
      </c>
      <c r="C116" s="1" t="inlineStr">
        <is>
          <t>Baltimore Beige Wood Effect Floor Tiles</t>
        </is>
      </c>
      <c r="D116" s="1" t="n">
        <v>19.99</v>
      </c>
      <c r="E116" s="1" t="inlineStr">
        <is>
          <t>1200x233mm</t>
        </is>
      </c>
      <c r="F116" s="1" t="inlineStr">
        <is>
          <t>m2</t>
        </is>
      </c>
      <c r="G116" s="1" t="inlineStr">
        <is>
          <t>Porcelain</t>
        </is>
      </c>
      <c r="H116" s="1" t="inlineStr">
        <is>
          <t>Matt</t>
        </is>
      </c>
      <c r="I116" t="inlineStr">
        <is>
          <t>More Stock due 26/10/21</t>
        </is>
      </c>
    </row>
    <row r="117">
      <c r="A117" s="1">
        <f>Hyperlink("https://www.tilemountain.co.uk/p/baltimore-grey-wall-and-floor-tile.html","Product")</f>
        <v/>
      </c>
      <c r="B117" s="1" t="inlineStr">
        <is>
          <t>441190</t>
        </is>
      </c>
      <c r="C117" s="1" t="inlineStr">
        <is>
          <t>Baltimore Grey Wood Effect Floor Tiles</t>
        </is>
      </c>
      <c r="D117" s="1" t="n">
        <v>19.99</v>
      </c>
      <c r="E117" s="1" t="inlineStr">
        <is>
          <t>1200x233mm</t>
        </is>
      </c>
      <c r="F117" s="1" t="inlineStr">
        <is>
          <t>m2</t>
        </is>
      </c>
      <c r="G117" s="1" t="inlineStr">
        <is>
          <t>Porcelain</t>
        </is>
      </c>
      <c r="H117" s="1" t="inlineStr">
        <is>
          <t>Matt</t>
        </is>
      </c>
      <c r="I117" t="n">
        <v>93</v>
      </c>
    </row>
    <row r="118">
      <c r="A118" s="1">
        <f>Hyperlink("https://www.tilemountain.co.uk/p/baltimore-taupe-wall-and-floor-tile.html","Product")</f>
        <v/>
      </c>
      <c r="B118" s="1" t="inlineStr">
        <is>
          <t>441195</t>
        </is>
      </c>
      <c r="C118" s="1" t="inlineStr">
        <is>
          <t>Baltimore Taupe Wood Effect Floor Tiles</t>
        </is>
      </c>
      <c r="D118" s="1" t="n">
        <v>19.99</v>
      </c>
      <c r="E118" s="1" t="inlineStr">
        <is>
          <t>1200x233mm</t>
        </is>
      </c>
      <c r="F118" s="1" t="inlineStr">
        <is>
          <t>m2</t>
        </is>
      </c>
      <c r="G118" s="1" t="inlineStr">
        <is>
          <t>Porcelain</t>
        </is>
      </c>
      <c r="H118" s="1" t="inlineStr">
        <is>
          <t>Matt</t>
        </is>
      </c>
      <c r="I118" t="inlineStr">
        <is>
          <t>More Stock due 22/10/21</t>
        </is>
      </c>
    </row>
    <row r="119">
      <c r="A119" s="1">
        <f>Hyperlink("https://www.tilemountain.co.uk/p/baltimore-white-wall-and-floor-tile.html","Product")</f>
        <v/>
      </c>
      <c r="B119" s="1" t="inlineStr">
        <is>
          <t>441185</t>
        </is>
      </c>
      <c r="C119" s="1" t="inlineStr">
        <is>
          <t>Baltimore White Wood Effect Floor Tiles</t>
        </is>
      </c>
      <c r="D119" s="1" t="n">
        <v>19.99</v>
      </c>
      <c r="E119" s="1" t="inlineStr">
        <is>
          <t>1200x233mm</t>
        </is>
      </c>
      <c r="F119" s="1" t="inlineStr">
        <is>
          <t>m2</t>
        </is>
      </c>
      <c r="G119" s="1" t="inlineStr">
        <is>
          <t>Porcelain</t>
        </is>
      </c>
      <c r="H119" s="1" t="inlineStr">
        <is>
          <t>Matt</t>
        </is>
      </c>
      <c r="I119" t="n">
        <v>162</v>
      </c>
    </row>
    <row r="120">
      <c r="A120" s="1">
        <f>Hyperlink("https://www.tilemountain.co.uk/p/barbados-white-4482.html","Product")</f>
        <v/>
      </c>
      <c r="B120" s="1" t="inlineStr">
        <is>
          <t>446835</t>
        </is>
      </c>
      <c r="C120" s="1" t="inlineStr">
        <is>
          <t>Barbados White Marble Effect Wall and Floor Tiles</t>
        </is>
      </c>
      <c r="D120" s="1" t="n">
        <v>15.98</v>
      </c>
      <c r="E120" s="1" t="inlineStr">
        <is>
          <t>600x600mm</t>
        </is>
      </c>
      <c r="F120" s="1" t="inlineStr">
        <is>
          <t>m2</t>
        </is>
      </c>
      <c r="G120" s="1" t="inlineStr">
        <is>
          <t>Porcelain</t>
        </is>
      </c>
      <c r="H120" s="1" t="inlineStr">
        <is>
          <t>Gloss</t>
        </is>
      </c>
      <c r="I120" t="n">
        <v>1954</v>
      </c>
    </row>
    <row r="121">
      <c r="A121" s="1">
        <f>Hyperlink("https://www.tilemountain.co.uk/p/barbados-white-marble-effect-wall-and-floor-tile.html","Product")</f>
        <v/>
      </c>
      <c r="B121" s="1" t="inlineStr">
        <is>
          <t>448930</t>
        </is>
      </c>
      <c r="C121" s="1" t="inlineStr">
        <is>
          <t>Barbados White Marble Effect Wall and Floor Tile</t>
        </is>
      </c>
      <c r="D121" s="1" t="n">
        <v>13.99</v>
      </c>
      <c r="E121" s="1" t="inlineStr">
        <is>
          <t>600x300mm</t>
        </is>
      </c>
      <c r="F121" s="1" t="inlineStr">
        <is>
          <t>m2</t>
        </is>
      </c>
      <c r="G121" s="1" t="inlineStr">
        <is>
          <t>Porcelain</t>
        </is>
      </c>
      <c r="H121" s="1" t="inlineStr">
        <is>
          <t>Gloss</t>
        </is>
      </c>
      <c r="I121" t="n">
        <v>146</v>
      </c>
    </row>
    <row r="122">
      <c r="A122" s="1">
        <f>Hyperlink("https://www.tilemountain.co.uk/p/barbados-white.html","Product")</f>
        <v/>
      </c>
      <c r="B122" s="1" t="inlineStr">
        <is>
          <t>446830</t>
        </is>
      </c>
      <c r="C122" s="1" t="inlineStr">
        <is>
          <t>Barbados White Marble Effect Wall and Floor Tile</t>
        </is>
      </c>
      <c r="D122" s="1" t="n">
        <v>25.99</v>
      </c>
      <c r="E122" s="1" t="inlineStr">
        <is>
          <t>1200x600mm</t>
        </is>
      </c>
      <c r="F122" s="1" t="inlineStr">
        <is>
          <t>m2</t>
        </is>
      </c>
      <c r="G122" s="1" t="inlineStr">
        <is>
          <t>Porcelain</t>
        </is>
      </c>
      <c r="H122" s="1" t="inlineStr">
        <is>
          <t>Polished</t>
        </is>
      </c>
      <c r="I122" t="n">
        <v>1227</v>
      </c>
    </row>
    <row r="123">
      <c r="A123" s="1">
        <f>Hyperlink("https://www.tilemountain.co.uk/p/baroque-hexagon-grey-base-wall-floor-tiles-25x22cm.html","Product")</f>
        <v/>
      </c>
      <c r="B123" s="1" t="inlineStr">
        <is>
          <t>201240</t>
        </is>
      </c>
      <c r="C123" s="1" t="inlineStr">
        <is>
          <t>Baroque Hexagon Grey Base Wall and Floor Tile</t>
        </is>
      </c>
      <c r="D123" s="1" t="n">
        <v>24</v>
      </c>
      <c r="E123" s="1" t="inlineStr">
        <is>
          <t>220x250mm</t>
        </is>
      </c>
      <c r="F123" s="1" t="inlineStr">
        <is>
          <t>m2</t>
        </is>
      </c>
      <c r="G123" s="1" t="inlineStr">
        <is>
          <t>Porcelain</t>
        </is>
      </c>
      <c r="H123" s="1" t="inlineStr">
        <is>
          <t>Matt</t>
        </is>
      </c>
      <c r="I123" t="n">
        <v>94</v>
      </c>
    </row>
    <row r="124">
      <c r="A124" s="1">
        <f>Hyperlink("https://www.tilemountain.co.uk/p/basilea-grey-outdoor-slab-tile.html","Product")</f>
        <v/>
      </c>
      <c r="B124" s="1" t="inlineStr">
        <is>
          <t>446460</t>
        </is>
      </c>
      <c r="C124" s="1" t="inlineStr">
        <is>
          <t>Basilea Grey Outdoor Slab Tiles</t>
        </is>
      </c>
      <c r="D124" s="1" t="n">
        <v>25.99</v>
      </c>
      <c r="E124" s="1" t="inlineStr">
        <is>
          <t>595x595mm</t>
        </is>
      </c>
      <c r="F124" s="1" t="inlineStr">
        <is>
          <t>m2</t>
        </is>
      </c>
      <c r="G124" s="1" t="inlineStr">
        <is>
          <t>Porcelain</t>
        </is>
      </c>
      <c r="H124" s="1" t="inlineStr">
        <is>
          <t>Matt</t>
        </is>
      </c>
      <c r="I124" t="n">
        <v>776</v>
      </c>
    </row>
    <row r="125">
      <c r="A125" s="1">
        <f>Hyperlink("https://www.tilemountain.co.uk/p/basilea-grey-rectified-floor-tile.html","Product")</f>
        <v/>
      </c>
      <c r="B125" s="1" t="inlineStr">
        <is>
          <t>446470</t>
        </is>
      </c>
      <c r="C125" s="1" t="inlineStr">
        <is>
          <t>Basilea Grey Rectified Floor Tiles</t>
        </is>
      </c>
      <c r="D125" s="1" t="n">
        <v>16.99</v>
      </c>
      <c r="E125" s="1" t="inlineStr">
        <is>
          <t>600x600mm</t>
        </is>
      </c>
      <c r="F125" s="1" t="inlineStr">
        <is>
          <t>m2</t>
        </is>
      </c>
      <c r="G125" s="1" t="inlineStr">
        <is>
          <t>Porcelain</t>
        </is>
      </c>
      <c r="H125" s="1" t="inlineStr">
        <is>
          <t>Matt</t>
        </is>
      </c>
      <c r="I125" t="n">
        <v>155</v>
      </c>
    </row>
    <row r="126">
      <c r="A126" s="1">
        <f>Hyperlink("https://www.tilemountain.co.uk/p/bayeux-blue-glass-mosaic.html","Product")</f>
        <v/>
      </c>
      <c r="B126" s="1" t="inlineStr">
        <is>
          <t>453745</t>
        </is>
      </c>
      <c r="C126" s="1" t="inlineStr">
        <is>
          <t>Bayeux Blue Glass Mosaic</t>
        </is>
      </c>
      <c r="D126" s="1" t="n">
        <v>14.99</v>
      </c>
      <c r="E126" s="1" t="inlineStr">
        <is>
          <t>300x300mm</t>
        </is>
      </c>
      <c r="F126" s="1" t="inlineStr">
        <is>
          <t>sheet</t>
        </is>
      </c>
      <c r="G126" s="1" t="inlineStr">
        <is>
          <t>Glass</t>
        </is>
      </c>
      <c r="H126" s="1" t="inlineStr">
        <is>
          <t>Gloss</t>
        </is>
      </c>
      <c r="I126" t="inlineStr">
        <is>
          <t>In Stock</t>
        </is>
      </c>
    </row>
    <row r="127">
      <c r="A127" s="1">
        <f>Hyperlink("https://www.tilemountain.co.uk/p/bayeux-grey-glass-mosaic-1.html","Product")</f>
        <v/>
      </c>
      <c r="B127" s="1" t="inlineStr">
        <is>
          <t>453750</t>
        </is>
      </c>
      <c r="C127" s="1" t="inlineStr">
        <is>
          <t>Bayeux Grey Glass Mosaic</t>
        </is>
      </c>
      <c r="D127" s="1" t="n">
        <v>14.99</v>
      </c>
      <c r="E127" s="1" t="inlineStr">
        <is>
          <t>300x300mm</t>
        </is>
      </c>
      <c r="F127" s="1" t="inlineStr">
        <is>
          <t>sheet</t>
        </is>
      </c>
      <c r="G127" s="1" t="inlineStr">
        <is>
          <t>Glass</t>
        </is>
      </c>
      <c r="H127" s="1" t="inlineStr">
        <is>
          <t>Gloss</t>
        </is>
      </c>
      <c r="I127" t="inlineStr">
        <is>
          <t>In Stock</t>
        </is>
      </c>
    </row>
    <row r="128">
      <c r="A128" s="1">
        <f>Hyperlink("https://www.tilemountain.co.uk/p/bayona-grey.html","Product")</f>
        <v/>
      </c>
      <c r="B128" s="1" t="inlineStr">
        <is>
          <t>444455</t>
        </is>
      </c>
      <c r="C128" s="1" t="inlineStr">
        <is>
          <t>Bayona Grey Floor Tile</t>
        </is>
      </c>
      <c r="D128" s="1" t="n">
        <v>34.99</v>
      </c>
      <c r="E128" s="1" t="inlineStr">
        <is>
          <t>1200x1200mm</t>
        </is>
      </c>
      <c r="F128" s="1" t="inlineStr">
        <is>
          <t>m2</t>
        </is>
      </c>
      <c r="G128" s="1" t="inlineStr">
        <is>
          <t>Porcelain</t>
        </is>
      </c>
      <c r="H128" s="1" t="inlineStr">
        <is>
          <t>Matt</t>
        </is>
      </c>
      <c r="I128" t="n">
        <v>274</v>
      </c>
    </row>
    <row r="129">
      <c r="A129" s="1">
        <f>Hyperlink("https://www.tilemountain.co.uk/p/belize-beige-wall-and-floor-tiles.html","Product")</f>
        <v/>
      </c>
      <c r="B129" s="1" t="inlineStr">
        <is>
          <t>455200</t>
        </is>
      </c>
      <c r="C129" s="1" t="inlineStr">
        <is>
          <t>Belize Beige Matt Porcelain Wall and Floor Tiles</t>
        </is>
      </c>
      <c r="D129" s="1" t="n">
        <v>11.99</v>
      </c>
      <c r="E129" s="1" t="inlineStr">
        <is>
          <t>598x298mm</t>
        </is>
      </c>
      <c r="F129" s="1" t="inlineStr">
        <is>
          <t>m2</t>
        </is>
      </c>
      <c r="G129" s="1" t="inlineStr">
        <is>
          <t>Porcelain</t>
        </is>
      </c>
      <c r="H129" s="1" t="inlineStr">
        <is>
          <t>Matt</t>
        </is>
      </c>
      <c r="I129" t="n">
        <v>908</v>
      </c>
    </row>
    <row r="130">
      <c r="A130" s="1">
        <f>Hyperlink("https://www.tilemountain.co.uk/p/belize-grey-wall-and-floor-tiles.html","Product")</f>
        <v/>
      </c>
      <c r="B130" s="1" t="inlineStr">
        <is>
          <t>455205</t>
        </is>
      </c>
      <c r="C130" s="1" t="inlineStr">
        <is>
          <t>Belize Grey Matt Porcelain Wall and Floor Tiles</t>
        </is>
      </c>
      <c r="D130" s="1" t="n">
        <v>11.99</v>
      </c>
      <c r="E130" s="1" t="inlineStr">
        <is>
          <t>598x298mm</t>
        </is>
      </c>
      <c r="F130" s="1" t="inlineStr">
        <is>
          <t>m2</t>
        </is>
      </c>
      <c r="G130" s="1" t="inlineStr">
        <is>
          <t>Porcelain</t>
        </is>
      </c>
      <c r="H130" s="1" t="inlineStr">
        <is>
          <t>Matt</t>
        </is>
      </c>
      <c r="I130" t="n">
        <v>625</v>
      </c>
    </row>
    <row r="131">
      <c r="A131" s="1">
        <f>Hyperlink("https://www.tilemountain.co.uk/p/belize-light-grey-wall-and-floor-tiles.html","Product")</f>
        <v/>
      </c>
      <c r="B131" s="1" t="inlineStr">
        <is>
          <t>455210</t>
        </is>
      </c>
      <c r="C131" s="1" t="inlineStr">
        <is>
          <t>Belize Light Grey Matt Porcelain Wall and Floor Tiles</t>
        </is>
      </c>
      <c r="D131" s="1" t="n">
        <v>11.99</v>
      </c>
      <c r="E131" s="1" t="inlineStr">
        <is>
          <t>598x298mm</t>
        </is>
      </c>
      <c r="F131" s="1" t="inlineStr">
        <is>
          <t>m2</t>
        </is>
      </c>
      <c r="G131" s="1" t="inlineStr">
        <is>
          <t>Porcelain</t>
        </is>
      </c>
      <c r="H131" s="1" t="inlineStr">
        <is>
          <t>Matt</t>
        </is>
      </c>
      <c r="I131" t="n">
        <v>643</v>
      </c>
    </row>
    <row r="132">
      <c r="A132" s="1">
        <f>Hyperlink("https://www.tilemountain.co.uk/p/bella-craquele-beige-wall-tile.html","Product")</f>
        <v/>
      </c>
      <c r="B132" s="1" t="inlineStr">
        <is>
          <t>453155</t>
        </is>
      </c>
      <c r="C132" s="1" t="inlineStr">
        <is>
          <t>Bella Craquele Beige Wall Tile</t>
        </is>
      </c>
      <c r="D132" s="1" t="n">
        <v>35.99</v>
      </c>
      <c r="E132" s="1" t="inlineStr">
        <is>
          <t>150x75mm</t>
        </is>
      </c>
      <c r="F132" s="1" t="inlineStr">
        <is>
          <t>m2</t>
        </is>
      </c>
      <c r="G132" s="1" t="inlineStr">
        <is>
          <t>Ceramic</t>
        </is>
      </c>
      <c r="H132" s="1" t="inlineStr">
        <is>
          <t>Gloss</t>
        </is>
      </c>
      <c r="I132" t="n">
        <v>17</v>
      </c>
    </row>
    <row r="133">
      <c r="A133" s="1">
        <f>Hyperlink("https://www.tilemountain.co.uk/p/bella-craquele-blue-wall-tile.html","Product")</f>
        <v/>
      </c>
      <c r="B133" s="1" t="inlineStr">
        <is>
          <t>453175</t>
        </is>
      </c>
      <c r="C133" s="1" t="inlineStr">
        <is>
          <t>Bella Craquele Blue Wall Tile</t>
        </is>
      </c>
      <c r="D133" s="1" t="n">
        <v>35.99</v>
      </c>
      <c r="E133" s="1" t="inlineStr">
        <is>
          <t>150x75mm</t>
        </is>
      </c>
      <c r="F133" s="1" t="inlineStr">
        <is>
          <t>m2</t>
        </is>
      </c>
      <c r="G133" s="1" t="inlineStr">
        <is>
          <t>Ceramic</t>
        </is>
      </c>
      <c r="H133" s="1" t="inlineStr">
        <is>
          <t>Gloss</t>
        </is>
      </c>
      <c r="I133" t="n">
        <v>169</v>
      </c>
    </row>
    <row r="134">
      <c r="A134" s="1">
        <f>Hyperlink("https://www.tilemountain.co.uk/p/bella-craquele-green-wall-tile.html","Product")</f>
        <v/>
      </c>
      <c r="B134" s="1" t="inlineStr">
        <is>
          <t>453170</t>
        </is>
      </c>
      <c r="C134" s="1" t="inlineStr">
        <is>
          <t>Bella Craquele Green Wall Tile</t>
        </is>
      </c>
      <c r="D134" s="1" t="n">
        <v>35.99</v>
      </c>
      <c r="E134" s="1" t="inlineStr">
        <is>
          <t>150x75mm</t>
        </is>
      </c>
      <c r="F134" s="1" t="inlineStr">
        <is>
          <t>m2</t>
        </is>
      </c>
      <c r="G134" s="1" t="inlineStr">
        <is>
          <t>Ceramic</t>
        </is>
      </c>
      <c r="H134" s="1" t="inlineStr">
        <is>
          <t>Gloss</t>
        </is>
      </c>
      <c r="I134" t="n">
        <v>34</v>
      </c>
    </row>
    <row r="135">
      <c r="A135" s="1">
        <f>Hyperlink("https://www.tilemountain.co.uk/p/bella-craquele-grey-wall-tile.html","Product")</f>
        <v/>
      </c>
      <c r="B135" s="1" t="inlineStr">
        <is>
          <t>453160</t>
        </is>
      </c>
      <c r="C135" s="1" t="inlineStr">
        <is>
          <t>Bella Craquele Grey Wall Tile</t>
        </is>
      </c>
      <c r="D135" s="1" t="n">
        <v>35.99</v>
      </c>
      <c r="E135" s="1" t="inlineStr">
        <is>
          <t>150x75mm</t>
        </is>
      </c>
      <c r="F135" s="1" t="inlineStr">
        <is>
          <t>m2</t>
        </is>
      </c>
      <c r="G135" s="1" t="inlineStr">
        <is>
          <t>Ceramic</t>
        </is>
      </c>
      <c r="H135" s="1" t="inlineStr">
        <is>
          <t>Gloss</t>
        </is>
      </c>
      <c r="I135" t="n">
        <v>51</v>
      </c>
    </row>
    <row r="136">
      <c r="A136" s="1">
        <f>Hyperlink("https://www.tilemountain.co.uk/p/bella-craquele-pink-wall-tile.html","Product")</f>
        <v/>
      </c>
      <c r="B136" s="1" t="inlineStr">
        <is>
          <t>453165</t>
        </is>
      </c>
      <c r="C136" s="1" t="inlineStr">
        <is>
          <t>Bella Craquele Pink Wall Tile</t>
        </is>
      </c>
      <c r="D136" s="1" t="n">
        <v>35.99</v>
      </c>
      <c r="E136" s="1" t="inlineStr">
        <is>
          <t>150x75mm</t>
        </is>
      </c>
      <c r="F136" s="1" t="inlineStr">
        <is>
          <t>m2</t>
        </is>
      </c>
      <c r="G136" s="1" t="inlineStr">
        <is>
          <t>Ceramic</t>
        </is>
      </c>
      <c r="H136" s="1" t="inlineStr">
        <is>
          <t>Gloss</t>
        </is>
      </c>
      <c r="I136" t="n">
        <v>62</v>
      </c>
    </row>
    <row r="137">
      <c r="A137" s="1">
        <f>Hyperlink("https://www.tilemountain.co.uk/p/bella-craquele-white-wall-tile.html","Product")</f>
        <v/>
      </c>
      <c r="B137" s="1" t="inlineStr">
        <is>
          <t>453150</t>
        </is>
      </c>
      <c r="C137" s="1" t="inlineStr">
        <is>
          <t>Bella Craquele White Wall Tile</t>
        </is>
      </c>
      <c r="D137" s="1" t="n">
        <v>35.99</v>
      </c>
      <c r="E137" s="1" t="inlineStr">
        <is>
          <t>150x75mm</t>
        </is>
      </c>
      <c r="F137" s="1" t="inlineStr">
        <is>
          <t>m2</t>
        </is>
      </c>
      <c r="G137" s="1" t="inlineStr">
        <is>
          <t>Ceramic</t>
        </is>
      </c>
      <c r="H137" s="1" t="inlineStr">
        <is>
          <t>Gloss</t>
        </is>
      </c>
      <c r="I137" t="n">
        <v>112</v>
      </c>
    </row>
    <row r="138">
      <c r="A138" s="1">
        <f>Hyperlink("https://www.tilemountain.co.uk/p/bella-white-matt-wall-tile.html","Product")</f>
        <v/>
      </c>
      <c r="B138" s="1" t="inlineStr">
        <is>
          <t>453145</t>
        </is>
      </c>
      <c r="C138" s="1" t="inlineStr">
        <is>
          <t>Bella White Matt Wall Tile</t>
        </is>
      </c>
      <c r="D138" s="1" t="n">
        <v>35.99</v>
      </c>
      <c r="E138" s="1" t="inlineStr">
        <is>
          <t>150x75mm</t>
        </is>
      </c>
      <c r="F138" s="1" t="inlineStr">
        <is>
          <t>m2</t>
        </is>
      </c>
      <c r="G138" s="1" t="inlineStr">
        <is>
          <t>Ceramic</t>
        </is>
      </c>
      <c r="H138" s="1" t="inlineStr">
        <is>
          <t>Matt</t>
        </is>
      </c>
      <c r="I138" t="n">
        <v>78</v>
      </c>
    </row>
    <row r="139">
      <c r="A139" s="1">
        <f>Hyperlink("https://www.tilemountain.co.uk/p/bellevue-graphite.html","Product")</f>
        <v/>
      </c>
      <c r="B139" s="1" t="inlineStr">
        <is>
          <t>454520</t>
        </is>
      </c>
      <c r="C139" s="1" t="inlineStr">
        <is>
          <t>Bellevue Graphite Outdoor Slab</t>
        </is>
      </c>
      <c r="D139" s="1" t="n">
        <v>25.99</v>
      </c>
      <c r="E139" s="1" t="inlineStr">
        <is>
          <t>595x595mm</t>
        </is>
      </c>
      <c r="F139" s="1" t="inlineStr">
        <is>
          <t>m2</t>
        </is>
      </c>
      <c r="G139" s="1" t="inlineStr">
        <is>
          <t>Porcelain</t>
        </is>
      </c>
      <c r="H139" s="1" t="inlineStr">
        <is>
          <t>Matt</t>
        </is>
      </c>
      <c r="I139" t="n">
        <v>616</v>
      </c>
    </row>
    <row r="140">
      <c r="A140" s="1">
        <f>Hyperlink("https://www.tilemountain.co.uk/p/bellevue-grey.html","Product")</f>
        <v/>
      </c>
      <c r="B140" s="1" t="inlineStr">
        <is>
          <t>454515</t>
        </is>
      </c>
      <c r="C140" s="1" t="inlineStr">
        <is>
          <t>Bellevue Grey Outdoor Slab</t>
        </is>
      </c>
      <c r="D140" s="1" t="n">
        <v>25.99</v>
      </c>
      <c r="E140" s="1" t="inlineStr">
        <is>
          <t>595x595mm</t>
        </is>
      </c>
      <c r="F140" s="1" t="inlineStr">
        <is>
          <t>m2</t>
        </is>
      </c>
      <c r="G140" s="1" t="inlineStr">
        <is>
          <t>Porcelain</t>
        </is>
      </c>
      <c r="H140" s="1" t="inlineStr">
        <is>
          <t>Matt</t>
        </is>
      </c>
      <c r="I140" t="n">
        <v>1131</v>
      </c>
    </row>
    <row r="141">
      <c r="A141" s="1">
        <f>Hyperlink("https://www.tilemountain.co.uk/p/bellevue-ivory.html","Product")</f>
        <v/>
      </c>
      <c r="B141" s="1" t="inlineStr">
        <is>
          <t>454525</t>
        </is>
      </c>
      <c r="C141" s="1" t="inlineStr">
        <is>
          <t>Bellevue Ivory Outdoor Slab</t>
        </is>
      </c>
      <c r="D141" s="1" t="n">
        <v>25.99</v>
      </c>
      <c r="E141" s="1" t="inlineStr">
        <is>
          <t>595x595mm</t>
        </is>
      </c>
      <c r="F141" s="1" t="inlineStr">
        <is>
          <t>m2</t>
        </is>
      </c>
      <c r="G141" s="1" t="inlineStr">
        <is>
          <t>Porcelain</t>
        </is>
      </c>
      <c r="H141" s="1" t="inlineStr">
        <is>
          <t>Matt</t>
        </is>
      </c>
      <c r="I141" t="inlineStr">
        <is>
          <t>More Stock</t>
        </is>
      </c>
    </row>
    <row r="142">
      <c r="A142" s="1">
        <f>Hyperlink("https://www.tilemountain.co.uk/p/bellevue-white.html","Product")</f>
        <v/>
      </c>
      <c r="B142" s="1" t="inlineStr">
        <is>
          <t>454530</t>
        </is>
      </c>
      <c r="C142" s="1" t="inlineStr">
        <is>
          <t>Bellevue White Outdoor Slab</t>
        </is>
      </c>
      <c r="D142" s="1" t="n">
        <v>25.99</v>
      </c>
      <c r="E142" s="1" t="inlineStr">
        <is>
          <t>595x595mm</t>
        </is>
      </c>
      <c r="F142" s="1" t="inlineStr">
        <is>
          <t>m2</t>
        </is>
      </c>
      <c r="G142" s="1" t="inlineStr">
        <is>
          <t>Porcelain</t>
        </is>
      </c>
      <c r="H142" s="1" t="inlineStr">
        <is>
          <t>Matt</t>
        </is>
      </c>
      <c r="I142" t="inlineStr">
        <is>
          <t>More Stock due 21/10/21</t>
        </is>
      </c>
    </row>
    <row r="143">
      <c r="A143" s="1">
        <f>Hyperlink("https://www.tilemountain.co.uk/p/bengal-beige-mosaic.html","Product")</f>
        <v/>
      </c>
      <c r="B143" s="1" t="inlineStr">
        <is>
          <t>437065</t>
        </is>
      </c>
      <c r="C143" s="1" t="inlineStr">
        <is>
          <t>Bengal Beige Mosaic</t>
        </is>
      </c>
      <c r="D143" s="1" t="n">
        <v>6.99</v>
      </c>
      <c r="E143" s="1" t="inlineStr">
        <is>
          <t>300x300mm</t>
        </is>
      </c>
      <c r="F143" s="1" t="inlineStr">
        <is>
          <t>sheet</t>
        </is>
      </c>
      <c r="G143" s="1" t="inlineStr">
        <is>
          <t>Glazed Porcelain</t>
        </is>
      </c>
      <c r="H143" s="1" t="inlineStr">
        <is>
          <t>Matt</t>
        </is>
      </c>
      <c r="I143" t="n">
        <v>141</v>
      </c>
    </row>
    <row r="144">
      <c r="A144" s="1">
        <f>Hyperlink("https://www.tilemountain.co.uk/p/bengal-beige-wall-and-floor-tile.html","Product")</f>
        <v/>
      </c>
      <c r="B144" s="1" t="inlineStr">
        <is>
          <t>437060</t>
        </is>
      </c>
      <c r="C144" s="1" t="inlineStr">
        <is>
          <t>Bengal Beige Wall and Floor Tiles</t>
        </is>
      </c>
      <c r="D144" s="1" t="n">
        <v>18.99</v>
      </c>
      <c r="E144" s="1" t="inlineStr">
        <is>
          <t>300x600mm</t>
        </is>
      </c>
      <c r="F144" s="1" t="inlineStr">
        <is>
          <t>m2</t>
        </is>
      </c>
      <c r="G144" s="1" t="inlineStr">
        <is>
          <t>Glazed Porcelain</t>
        </is>
      </c>
      <c r="H144" s="1" t="inlineStr">
        <is>
          <t>Matt</t>
        </is>
      </c>
      <c r="I144" t="inlineStr">
        <is>
          <t>More Stock due 05/11/21</t>
        </is>
      </c>
    </row>
    <row r="145">
      <c r="A145" s="1">
        <f>Hyperlink("https://www.tilemountain.co.uk/p/bengal-grey-mosaic.html","Product")</f>
        <v/>
      </c>
      <c r="B145" s="1" t="inlineStr">
        <is>
          <t>440250</t>
        </is>
      </c>
      <c r="C145" s="1" t="inlineStr">
        <is>
          <t>Bengal Grey Mosaic</t>
        </is>
      </c>
      <c r="D145" s="1" t="n">
        <v>6.99</v>
      </c>
      <c r="E145" s="1" t="inlineStr">
        <is>
          <t>300x300mm</t>
        </is>
      </c>
      <c r="F145" s="1" t="inlineStr">
        <is>
          <t>sheet</t>
        </is>
      </c>
      <c r="G145" s="1" t="inlineStr">
        <is>
          <t>Porcelain</t>
        </is>
      </c>
      <c r="H145" s="1" t="inlineStr">
        <is>
          <t>Matt</t>
        </is>
      </c>
      <c r="I145" t="n">
        <v>458</v>
      </c>
    </row>
    <row r="146">
      <c r="A146" s="1">
        <f>Hyperlink("https://www.tilemountain.co.uk/p/bengal-grey-wall-and-floor-tile.html","Product")</f>
        <v/>
      </c>
      <c r="B146" s="1" t="inlineStr">
        <is>
          <t>440245</t>
        </is>
      </c>
      <c r="C146" s="1" t="inlineStr">
        <is>
          <t>Bengal Grey Wall And Floor Tiles</t>
        </is>
      </c>
      <c r="D146" s="1" t="n">
        <v>18.99</v>
      </c>
      <c r="E146" s="1" t="inlineStr">
        <is>
          <t>600x300mm</t>
        </is>
      </c>
      <c r="F146" s="1" t="inlineStr">
        <is>
          <t>m2</t>
        </is>
      </c>
      <c r="G146" s="1" t="inlineStr">
        <is>
          <t>Porcelain</t>
        </is>
      </c>
      <c r="H146" s="1" t="inlineStr">
        <is>
          <t>Matt</t>
        </is>
      </c>
      <c r="I146" t="n">
        <v>177</v>
      </c>
    </row>
    <row r="147">
      <c r="A147" s="1">
        <f>Hyperlink("https://www.tilemountain.co.uk/p/bengal-winter-mosaic.html","Product")</f>
        <v/>
      </c>
      <c r="B147" s="1" t="inlineStr">
        <is>
          <t>436595</t>
        </is>
      </c>
      <c r="C147" s="1" t="inlineStr">
        <is>
          <t>Bengal Winter Mosaic</t>
        </is>
      </c>
      <c r="D147" s="1" t="n">
        <v>6.99</v>
      </c>
      <c r="E147" s="1" t="inlineStr">
        <is>
          <t>300x300mm</t>
        </is>
      </c>
      <c r="F147" s="1" t="inlineStr">
        <is>
          <t>sheet</t>
        </is>
      </c>
      <c r="G147" s="1" t="inlineStr">
        <is>
          <t>Glazed Porcelain</t>
        </is>
      </c>
      <c r="H147" s="1" t="inlineStr">
        <is>
          <t>Matt</t>
        </is>
      </c>
      <c r="I147" t="n">
        <v>386</v>
      </c>
    </row>
    <row r="148">
      <c r="A148" s="1">
        <f>Hyperlink("https://www.tilemountain.co.uk/p/bengal-winter-wall-and-floor-tile.html","Product")</f>
        <v/>
      </c>
      <c r="B148" s="1" t="inlineStr">
        <is>
          <t>436590</t>
        </is>
      </c>
      <c r="C148" s="1" t="inlineStr">
        <is>
          <t>Bengal Winter Wall and Floor Tiles</t>
        </is>
      </c>
      <c r="D148" s="1" t="n">
        <v>18.99</v>
      </c>
      <c r="E148" s="1" t="inlineStr">
        <is>
          <t>300x600mm</t>
        </is>
      </c>
      <c r="F148" s="1" t="inlineStr">
        <is>
          <t>m2</t>
        </is>
      </c>
      <c r="G148" s="1" t="inlineStr">
        <is>
          <t>Glazed Porcelain</t>
        </is>
      </c>
      <c r="H148" s="1" t="inlineStr">
        <is>
          <t>Matt</t>
        </is>
      </c>
      <c r="I148" t="inlineStr">
        <is>
          <t>More Stock due 05/11/21</t>
        </is>
      </c>
    </row>
    <row r="149">
      <c r="A149" s="1">
        <f>Hyperlink("https://www.tilemountain.co.uk/p/beton-grey-outdoor-slab-tiles.html","Product")</f>
        <v/>
      </c>
      <c r="B149" s="1" t="inlineStr">
        <is>
          <t>452215</t>
        </is>
      </c>
      <c r="C149" s="1" t="inlineStr">
        <is>
          <t>Perret Grey Outdoor Slab Tiles</t>
        </is>
      </c>
      <c r="D149" s="1" t="n">
        <v>26.99</v>
      </c>
      <c r="E149" s="1" t="inlineStr">
        <is>
          <t>800x400mm</t>
        </is>
      </c>
      <c r="F149" s="1" t="inlineStr">
        <is>
          <t>m2</t>
        </is>
      </c>
      <c r="G149" s="1" t="inlineStr">
        <is>
          <t>Porcelain</t>
        </is>
      </c>
      <c r="H149" s="1" t="inlineStr">
        <is>
          <t>Matt</t>
        </is>
      </c>
      <c r="I149" t="inlineStr">
        <is>
          <t>More Stock due 31/01/22</t>
        </is>
      </c>
    </row>
    <row r="150">
      <c r="A150" s="1">
        <f>Hyperlink("https://www.tilemountain.co.uk/p/beton-soft-mid-outdoor-tile.html","Product")</f>
        <v/>
      </c>
      <c r="B150" s="1" t="inlineStr">
        <is>
          <t>442970</t>
        </is>
      </c>
      <c r="C150" s="1" t="inlineStr">
        <is>
          <t>Beton Soft Mid Outdoor Slab Tiles</t>
        </is>
      </c>
      <c r="D150" s="1" t="n">
        <v>31.99</v>
      </c>
      <c r="E150" s="1" t="inlineStr">
        <is>
          <t>600x600mm</t>
        </is>
      </c>
      <c r="F150" s="1" t="inlineStr">
        <is>
          <t>m2</t>
        </is>
      </c>
      <c r="G150" s="1" t="inlineStr">
        <is>
          <t>Porcelain</t>
        </is>
      </c>
      <c r="H150" s="1" t="inlineStr">
        <is>
          <t>Matt</t>
        </is>
      </c>
      <c r="I150" t="n">
        <v>1120</v>
      </c>
    </row>
    <row r="151">
      <c r="A151" s="1">
        <f>Hyperlink("https://www.tilemountain.co.uk/p/black-slate-split-face-mosaic-3858.html","Product")</f>
        <v/>
      </c>
      <c r="B151" s="1" t="inlineStr">
        <is>
          <t>445535</t>
        </is>
      </c>
      <c r="C151" s="1" t="inlineStr">
        <is>
          <t>Black Slate Split Face Mosaic</t>
        </is>
      </c>
      <c r="D151" s="1" t="n">
        <v>41.99</v>
      </c>
      <c r="E151" s="1" t="inlineStr">
        <is>
          <t>300x150mm</t>
        </is>
      </c>
      <c r="F151" s="1" t="inlineStr">
        <is>
          <t>m2</t>
        </is>
      </c>
      <c r="G151" s="1" t="inlineStr">
        <is>
          <t>Slate</t>
        </is>
      </c>
      <c r="H151" s="1" t="inlineStr">
        <is>
          <t>Riven</t>
        </is>
      </c>
      <c r="I151" t="n">
        <v>67</v>
      </c>
    </row>
    <row r="152">
      <c r="A152" s="1">
        <f>Hyperlink("https://www.tilemountain.co.uk/p/blanco-rectified-gloss-porcelain-floor-tile.html","Product")</f>
        <v/>
      </c>
      <c r="B152" s="1" t="inlineStr">
        <is>
          <t>449915</t>
        </is>
      </c>
      <c r="C152" s="1" t="inlineStr">
        <is>
          <t>Blanco Rectified Gloss Porcelain Floor Tile</t>
        </is>
      </c>
      <c r="D152" s="1" t="n">
        <v>15.99</v>
      </c>
      <c r="E152" s="1" t="inlineStr">
        <is>
          <t>600x600mm</t>
        </is>
      </c>
      <c r="F152" s="1" t="inlineStr">
        <is>
          <t>m2</t>
        </is>
      </c>
      <c r="G152" s="1" t="inlineStr">
        <is>
          <t>Porcelain</t>
        </is>
      </c>
      <c r="H152" s="1" t="inlineStr">
        <is>
          <t>Gloss</t>
        </is>
      </c>
      <c r="I152" t="n">
        <v>1121</v>
      </c>
    </row>
    <row r="153">
      <c r="A153" s="1">
        <f>Hyperlink("https://www.tilemountain.co.uk/p/blanco-rectified-matt-porcelain-floor-tile.html","Product")</f>
        <v/>
      </c>
      <c r="B153" s="1" t="inlineStr">
        <is>
          <t>449910</t>
        </is>
      </c>
      <c r="C153" s="1" t="inlineStr">
        <is>
          <t>Blanco Rectified Matt Porcelain Floor Tile</t>
        </is>
      </c>
      <c r="D153" s="1" t="n">
        <v>14.99</v>
      </c>
      <c r="E153" s="1" t="inlineStr">
        <is>
          <t>600x600mm</t>
        </is>
      </c>
      <c r="F153" s="1" t="inlineStr">
        <is>
          <t>m2</t>
        </is>
      </c>
      <c r="G153" s="1" t="inlineStr">
        <is>
          <t>Porcelain</t>
        </is>
      </c>
      <c r="H153" s="1" t="inlineStr">
        <is>
          <t>Matt</t>
        </is>
      </c>
      <c r="I153" t="n">
        <v>89</v>
      </c>
    </row>
    <row r="154">
      <c r="A154" s="1">
        <f>Hyperlink("https://www.tilemountain.co.uk/p/bluenorte-rectified-outdoor-slab-tile.html","Product")</f>
        <v/>
      </c>
      <c r="B154" s="1" t="inlineStr">
        <is>
          <t>446090</t>
        </is>
      </c>
      <c r="C154" s="1" t="inlineStr">
        <is>
          <t>Bluenorte Outdoor Slabs Tiles</t>
        </is>
      </c>
      <c r="D154" s="1" t="n">
        <v>34.94</v>
      </c>
      <c r="E154" s="1" t="inlineStr">
        <is>
          <t>605x605mm</t>
        </is>
      </c>
      <c r="F154" s="1" t="inlineStr">
        <is>
          <t>m2</t>
        </is>
      </c>
      <c r="G154" s="1" t="inlineStr">
        <is>
          <t>Porcelain</t>
        </is>
      </c>
      <c r="H154" s="1" t="inlineStr">
        <is>
          <t>Matt</t>
        </is>
      </c>
      <c r="I154" t="n">
        <v>34</v>
      </c>
    </row>
    <row r="155">
      <c r="A155" s="1">
        <f>Hyperlink("https://www.tilemountain.co.uk/p/botticino-outdoor-grey-porcelain-slab.html","Product")</f>
        <v/>
      </c>
      <c r="B155" s="1" t="inlineStr">
        <is>
          <t>450260</t>
        </is>
      </c>
      <c r="C155" s="1" t="inlineStr">
        <is>
          <t>Botticino Outdoor Grey Porcelain Slab</t>
        </is>
      </c>
      <c r="D155" s="1" t="n">
        <v>26.99</v>
      </c>
      <c r="E155" s="1" t="inlineStr">
        <is>
          <t>600x600mm</t>
        </is>
      </c>
      <c r="F155" s="1" t="inlineStr">
        <is>
          <t>m2</t>
        </is>
      </c>
      <c r="G155" s="1" t="inlineStr">
        <is>
          <t>Porcelain</t>
        </is>
      </c>
      <c r="H155" s="1" t="inlineStr">
        <is>
          <t>Matt</t>
        </is>
      </c>
      <c r="I155" t="inlineStr">
        <is>
          <t>More Stock</t>
        </is>
      </c>
    </row>
    <row r="156">
      <c r="A156" s="1">
        <f>Hyperlink("https://www.tilemountain.co.uk/p/botticino-outdoor-natural-porcelain-slab.html","Product")</f>
        <v/>
      </c>
      <c r="B156" s="1" t="inlineStr">
        <is>
          <t>450255</t>
        </is>
      </c>
      <c r="C156" s="1" t="inlineStr">
        <is>
          <t>Botticino Outdoor Natural Porcelain Slab</t>
        </is>
      </c>
      <c r="D156" s="1" t="n">
        <v>26.99</v>
      </c>
      <c r="E156" s="1" t="inlineStr">
        <is>
          <t>600x600mm</t>
        </is>
      </c>
      <c r="F156" s="1" t="inlineStr">
        <is>
          <t>m2</t>
        </is>
      </c>
      <c r="G156" s="1" t="inlineStr">
        <is>
          <t>Porcelain</t>
        </is>
      </c>
      <c r="H156" s="1" t="inlineStr">
        <is>
          <t>Matt</t>
        </is>
      </c>
      <c r="I156" t="n">
        <v>528</v>
      </c>
    </row>
    <row r="157">
      <c r="A157" s="1">
        <f>Hyperlink("https://www.tilemountain.co.uk/p/botticino-outdoor-taupe-porcelain-slab.html","Product")</f>
        <v/>
      </c>
      <c r="B157" s="1" t="inlineStr">
        <is>
          <t>450250</t>
        </is>
      </c>
      <c r="C157" s="1" t="inlineStr">
        <is>
          <t>Botticino Outdoor Taupe Porcelain Slab</t>
        </is>
      </c>
      <c r="D157" s="1" t="n">
        <v>23.99</v>
      </c>
      <c r="E157" s="1" t="inlineStr">
        <is>
          <t>600x600mm</t>
        </is>
      </c>
      <c r="F157" s="1" t="inlineStr">
        <is>
          <t>m2</t>
        </is>
      </c>
      <c r="G157" s="1" t="inlineStr">
        <is>
          <t>Porcelain</t>
        </is>
      </c>
      <c r="H157" s="1" t="inlineStr">
        <is>
          <t>Matt</t>
        </is>
      </c>
      <c r="I157" t="n">
        <v>1659</v>
      </c>
    </row>
    <row r="158">
      <c r="A158" s="1">
        <f>Hyperlink("https://www.tilemountain.co.uk/p/bowers-rock-taupe-matt-porcelain-modular-floor-tile.html","Product")</f>
        <v/>
      </c>
      <c r="B158" s="1" t="inlineStr">
        <is>
          <t>442725</t>
        </is>
      </c>
      <c r="C158" s="1" t="inlineStr">
        <is>
          <t>Bowers Rock Taupe Matt Porcelain Modular Tiles</t>
        </is>
      </c>
      <c r="D158" s="1" t="n">
        <v>34.82</v>
      </c>
      <c r="E158" s="1" t="inlineStr">
        <is>
          <t>1000x1080mm</t>
        </is>
      </c>
      <c r="F158" s="1" t="inlineStr">
        <is>
          <t>m2</t>
        </is>
      </c>
      <c r="G158" s="1" t="inlineStr">
        <is>
          <t>Porcelain</t>
        </is>
      </c>
      <c r="H158" s="1" t="inlineStr">
        <is>
          <t>Matt</t>
        </is>
      </c>
      <c r="I158" t="n">
        <v>39</v>
      </c>
    </row>
    <row r="159">
      <c r="A159" s="1">
        <f>Hyperlink("https://www.tilemountain.co.uk/p/brancato-brown-matt-decor.html","Product")</f>
        <v/>
      </c>
      <c r="B159" s="1" t="inlineStr">
        <is>
          <t>434835</t>
        </is>
      </c>
      <c r="C159" s="1" t="inlineStr">
        <is>
          <t>Brancato Brown Matt Decor</t>
        </is>
      </c>
      <c r="D159" s="1" t="n">
        <v>24.48</v>
      </c>
      <c r="E159" s="1" t="inlineStr">
        <is>
          <t>300x900mm</t>
        </is>
      </c>
      <c r="F159" s="1" t="inlineStr">
        <is>
          <t>m2</t>
        </is>
      </c>
      <c r="G159" s="1" t="inlineStr">
        <is>
          <t>Ceramic</t>
        </is>
      </c>
      <c r="H159" s="1" t="inlineStr">
        <is>
          <t>Matt</t>
        </is>
      </c>
      <c r="I159" t="inlineStr">
        <is>
          <t>In Stock</t>
        </is>
      </c>
    </row>
    <row r="160">
      <c r="A160" s="1">
        <f>Hyperlink("https://www.tilemountain.co.uk/p/brancato-grey-matt-decor.html","Product")</f>
        <v/>
      </c>
      <c r="B160" s="1" t="inlineStr">
        <is>
          <t>434830</t>
        </is>
      </c>
      <c r="C160" s="1" t="inlineStr">
        <is>
          <t>Brancato Grey Matt Decor</t>
        </is>
      </c>
      <c r="D160" s="1" t="n">
        <v>24.48</v>
      </c>
      <c r="E160" s="1" t="inlineStr">
        <is>
          <t>300x900mm</t>
        </is>
      </c>
      <c r="F160" s="1" t="inlineStr">
        <is>
          <t>m2</t>
        </is>
      </c>
      <c r="G160" s="1" t="inlineStr">
        <is>
          <t>Ceramic</t>
        </is>
      </c>
      <c r="H160" s="1" t="inlineStr">
        <is>
          <t>Matt</t>
        </is>
      </c>
      <c r="I160" t="n">
        <v>59</v>
      </c>
    </row>
    <row r="161">
      <c r="A161" s="1">
        <f>Hyperlink("https://www.tilemountain.co.uk/p/breeze-cream-floor.html","Product")</f>
        <v/>
      </c>
      <c r="B161" s="1" t="inlineStr">
        <is>
          <t>448610</t>
        </is>
      </c>
      <c r="C161" s="1" t="inlineStr">
        <is>
          <t>Arkesia Cream Floor Tile</t>
        </is>
      </c>
      <c r="D161" s="1" t="n">
        <v>17.99</v>
      </c>
      <c r="E161" s="1" t="inlineStr">
        <is>
          <t>600x600mm</t>
        </is>
      </c>
      <c r="F161" s="1" t="inlineStr">
        <is>
          <t>m2</t>
        </is>
      </c>
      <c r="G161" s="1" t="inlineStr">
        <is>
          <t>Porcelain</t>
        </is>
      </c>
      <c r="H161" s="1" t="inlineStr">
        <is>
          <t>Matt</t>
        </is>
      </c>
      <c r="I161" t="n">
        <v>959</v>
      </c>
    </row>
    <row r="162">
      <c r="A162" s="1">
        <f>Hyperlink("https://www.tilemountain.co.uk/p/breeze-cream-rectified-wall-feature.html","Product")</f>
        <v/>
      </c>
      <c r="B162" s="1" t="inlineStr">
        <is>
          <t>448605</t>
        </is>
      </c>
      <c r="C162" s="1" t="inlineStr">
        <is>
          <t>Arkesia Cream Wall Tile</t>
        </is>
      </c>
      <c r="D162" s="1" t="n">
        <v>16.99</v>
      </c>
      <c r="E162" s="1" t="inlineStr">
        <is>
          <t>600x300mm</t>
        </is>
      </c>
      <c r="F162" s="1" t="inlineStr">
        <is>
          <t>m2</t>
        </is>
      </c>
      <c r="G162" s="1" t="inlineStr">
        <is>
          <t>Ceramic</t>
        </is>
      </c>
      <c r="H162" s="1" t="inlineStr">
        <is>
          <t>Matt</t>
        </is>
      </c>
      <c r="I162" t="n">
        <v>112</v>
      </c>
    </row>
    <row r="163">
      <c r="A163" s="1">
        <f>Hyperlink("https://www.tilemountain.co.uk/p/breeze-cream-rectified-wall.html","Product")</f>
        <v/>
      </c>
      <c r="B163" s="1" t="inlineStr">
        <is>
          <t>448600</t>
        </is>
      </c>
      <c r="C163" s="1" t="inlineStr">
        <is>
          <t>Arkesia Ivory Wall Tile</t>
        </is>
      </c>
      <c r="D163" s="1" t="n">
        <v>16.99</v>
      </c>
      <c r="E163" s="1" t="inlineStr">
        <is>
          <t>600x300mm</t>
        </is>
      </c>
      <c r="F163" s="1" t="inlineStr">
        <is>
          <t>m2</t>
        </is>
      </c>
      <c r="G163" s="1" t="inlineStr">
        <is>
          <t>Ceramic</t>
        </is>
      </c>
      <c r="H163" s="1" t="inlineStr">
        <is>
          <t>Matt</t>
        </is>
      </c>
      <c r="I163" t="n">
        <v>230</v>
      </c>
    </row>
    <row r="164">
      <c r="A164" s="1">
        <f>Hyperlink("https://www.tilemountain.co.uk/p/brighton-blue-pattern-porcelain-floor-tile.html","Product")</f>
        <v/>
      </c>
      <c r="B164" s="1" t="inlineStr">
        <is>
          <t>445475</t>
        </is>
      </c>
      <c r="C164" s="1" t="inlineStr">
        <is>
          <t>Brighton Blue Pattern Porcelain Floor Tiles</t>
        </is>
      </c>
      <c r="D164" s="1" t="n">
        <v>17.99</v>
      </c>
      <c r="E164" s="1" t="inlineStr">
        <is>
          <t>450x450mm</t>
        </is>
      </c>
      <c r="F164" s="1" t="inlineStr">
        <is>
          <t>m2</t>
        </is>
      </c>
      <c r="G164" s="1" t="inlineStr">
        <is>
          <t>Porcelain</t>
        </is>
      </c>
      <c r="H164" s="1" t="inlineStr">
        <is>
          <t>Matt</t>
        </is>
      </c>
      <c r="I164" t="n">
        <v>434</v>
      </c>
    </row>
    <row r="165">
      <c r="A165" s="1">
        <f>Hyperlink("https://www.tilemountain.co.uk/p/brighton-grey-pattern-porcelain-floor-tile.html","Product")</f>
        <v/>
      </c>
      <c r="B165" s="1" t="inlineStr">
        <is>
          <t>445480</t>
        </is>
      </c>
      <c r="C165" s="1" t="inlineStr">
        <is>
          <t>Brighton Grey Pattern Porcelain Floor Tiles</t>
        </is>
      </c>
      <c r="D165" s="1" t="n">
        <v>17.99</v>
      </c>
      <c r="E165" s="1" t="inlineStr">
        <is>
          <t>450x450mm</t>
        </is>
      </c>
      <c r="F165" s="1" t="inlineStr">
        <is>
          <t>m2</t>
        </is>
      </c>
      <c r="G165" s="1" t="inlineStr">
        <is>
          <t>Porcelain</t>
        </is>
      </c>
      <c r="H165" s="1" t="inlineStr">
        <is>
          <t>Matt</t>
        </is>
      </c>
      <c r="I165" t="n">
        <v>630</v>
      </c>
    </row>
    <row r="166">
      <c r="A166" s="1">
        <f>Hyperlink("https://www.tilemountain.co.uk/p/broadway-grey-glossy-wall-tile.html","Product")</f>
        <v/>
      </c>
      <c r="B166" s="1" t="inlineStr">
        <is>
          <t>441160</t>
        </is>
      </c>
      <c r="C166" s="1" t="inlineStr">
        <is>
          <t>Broadway Grey Glossy Wall Tiles</t>
        </is>
      </c>
      <c r="D166" s="1" t="n">
        <v>9</v>
      </c>
      <c r="E166" s="1" t="inlineStr">
        <is>
          <t>600x200mm</t>
        </is>
      </c>
      <c r="F166" s="1" t="inlineStr">
        <is>
          <t>m2</t>
        </is>
      </c>
      <c r="G166" s="1" t="inlineStr">
        <is>
          <t>-</t>
        </is>
      </c>
      <c r="H166" s="1" t="inlineStr">
        <is>
          <t>-</t>
        </is>
      </c>
      <c r="I166" t="n">
        <v>202</v>
      </c>
    </row>
    <row r="167">
      <c r="A167" s="1">
        <f>Hyperlink("https://www.tilemountain.co.uk/p/broadway-pearl-glossy-wall-tile.html","Product")</f>
        <v/>
      </c>
      <c r="B167" s="1" t="inlineStr">
        <is>
          <t>441165</t>
        </is>
      </c>
      <c r="C167" s="1" t="inlineStr">
        <is>
          <t>Broadway Pearl Glossy Wall Tiles</t>
        </is>
      </c>
      <c r="D167" s="1" t="n">
        <v>9</v>
      </c>
      <c r="E167" s="1" t="inlineStr">
        <is>
          <t>600x200mm</t>
        </is>
      </c>
      <c r="F167" s="1" t="inlineStr">
        <is>
          <t>m2</t>
        </is>
      </c>
      <c r="G167" s="1" t="inlineStr">
        <is>
          <t>Ceramic</t>
        </is>
      </c>
      <c r="H167" s="1" t="inlineStr">
        <is>
          <t>Gloss</t>
        </is>
      </c>
      <c r="I167" t="n">
        <v>619</v>
      </c>
    </row>
    <row r="168">
      <c r="A168" s="1">
        <f>Hyperlink("https://www.tilemountain.co.uk/p/calacatta-gold-gloss-marble-effect-porcelain-floor-tile.html","Product")</f>
        <v/>
      </c>
      <c r="B168" s="1" t="inlineStr">
        <is>
          <t>448945</t>
        </is>
      </c>
      <c r="C168" s="1" t="inlineStr">
        <is>
          <t>Carrara Gold Gloss Marble Effect Porcelain Floor Tile</t>
        </is>
      </c>
      <c r="D168" s="1" t="n">
        <v>14.99</v>
      </c>
      <c r="E168" s="1" t="inlineStr">
        <is>
          <t>605x605mm</t>
        </is>
      </c>
      <c r="F168" s="1" t="inlineStr">
        <is>
          <t>m2</t>
        </is>
      </c>
      <c r="G168" s="1" t="inlineStr">
        <is>
          <t>Porcelain</t>
        </is>
      </c>
      <c r="H168" s="1" t="inlineStr">
        <is>
          <t>Gloss</t>
        </is>
      </c>
      <c r="I168" t="n">
        <v>1130</v>
      </c>
    </row>
    <row r="169">
      <c r="A169" s="1">
        <f>Hyperlink("https://www.tilemountain.co.uk/p/calacatta-gold-gloss-marble-effect-porcelain-wall-floor-tile.html","Product")</f>
        <v/>
      </c>
      <c r="B169" s="1" t="inlineStr">
        <is>
          <t>448935</t>
        </is>
      </c>
      <c r="C169" s="1" t="inlineStr">
        <is>
          <t>Carrara Gold Gloss Marble Effect Porcelain Wall &amp; Floor Tile</t>
        </is>
      </c>
      <c r="D169" s="1" t="n">
        <v>13.99</v>
      </c>
      <c r="E169" s="1" t="inlineStr">
        <is>
          <t>600x300mm</t>
        </is>
      </c>
      <c r="F169" s="1" t="inlineStr">
        <is>
          <t>m2</t>
        </is>
      </c>
      <c r="G169" s="1" t="inlineStr">
        <is>
          <t>Porcelain</t>
        </is>
      </c>
      <c r="H169" s="1" t="inlineStr">
        <is>
          <t>Gloss</t>
        </is>
      </c>
      <c r="I169" t="n">
        <v>340</v>
      </c>
    </row>
    <row r="170">
      <c r="A170" s="1">
        <f>Hyperlink("https://www.tilemountain.co.uk/p/calacatta-gold-gloss-wall-tile.html","Product")</f>
        <v/>
      </c>
      <c r="B170" s="1" t="inlineStr">
        <is>
          <t>451560</t>
        </is>
      </c>
      <c r="C170" s="1" t="inlineStr">
        <is>
          <t>Calacatta Gold Gloss Wall Tile</t>
        </is>
      </c>
      <c r="D170" s="1" t="n">
        <v>19.99</v>
      </c>
      <c r="E170" s="1" t="inlineStr">
        <is>
          <t>400x150mm</t>
        </is>
      </c>
      <c r="F170" s="1" t="inlineStr">
        <is>
          <t>m2</t>
        </is>
      </c>
      <c r="G170" s="1" t="inlineStr">
        <is>
          <t>Ceramic</t>
        </is>
      </c>
      <c r="H170" s="1" t="inlineStr">
        <is>
          <t>Gloss</t>
        </is>
      </c>
      <c r="I170" t="n">
        <v>120</v>
      </c>
    </row>
    <row r="171">
      <c r="A171" s="1">
        <f>Hyperlink("https://www.tilemountain.co.uk/p/calacatta-gold-matt-marble-effect-porcelain-floor-tile.html","Product")</f>
        <v/>
      </c>
      <c r="B171" s="1" t="inlineStr">
        <is>
          <t>448950</t>
        </is>
      </c>
      <c r="C171" s="1" t="inlineStr">
        <is>
          <t>Carrara Gold Matt Marble Effect Porcelain Floor Tile</t>
        </is>
      </c>
      <c r="D171" s="1" t="n">
        <v>14.99</v>
      </c>
      <c r="E171" s="1" t="inlineStr">
        <is>
          <t>605x605mm</t>
        </is>
      </c>
      <c r="F171" s="1" t="inlineStr">
        <is>
          <t>m2</t>
        </is>
      </c>
      <c r="G171" s="1" t="inlineStr">
        <is>
          <t>Porcelain</t>
        </is>
      </c>
      <c r="H171" s="1" t="inlineStr">
        <is>
          <t>Matt</t>
        </is>
      </c>
      <c r="I171" t="n">
        <v>1299</v>
      </c>
    </row>
    <row r="172">
      <c r="A172" s="1">
        <f>Hyperlink("https://www.tilemountain.co.uk/p/calacatta-gold-matt-marble-effect-porcelain-wall-floor-tile.html","Product")</f>
        <v/>
      </c>
      <c r="B172" s="1" t="inlineStr">
        <is>
          <t>448940</t>
        </is>
      </c>
      <c r="C172" s="1" t="inlineStr">
        <is>
          <t>Carrara Gold Matt Marble Effect Porcelain Wall &amp; Floor Tile</t>
        </is>
      </c>
      <c r="D172" s="1" t="n">
        <v>13.99</v>
      </c>
      <c r="E172" s="1" t="inlineStr">
        <is>
          <t>600x300mm</t>
        </is>
      </c>
      <c r="F172" s="1" t="inlineStr">
        <is>
          <t>m2</t>
        </is>
      </c>
      <c r="G172" s="1" t="inlineStr">
        <is>
          <t>Porcelain</t>
        </is>
      </c>
      <c r="H172" s="1" t="inlineStr">
        <is>
          <t>Matt</t>
        </is>
      </c>
      <c r="I172" t="n">
        <v>28</v>
      </c>
    </row>
    <row r="173">
      <c r="A173" s="1">
        <f>Hyperlink("https://www.tilemountain.co.uk/p/calacatta-gold-polished-marble-effect-xl-porcelain-floor-tile.html","Product")</f>
        <v/>
      </c>
      <c r="B173" s="1" t="inlineStr">
        <is>
          <t>449305</t>
        </is>
      </c>
      <c r="C173" s="1" t="inlineStr">
        <is>
          <t>Carrara Gold Polished Marble Effect Porcelain Floor Tile</t>
        </is>
      </c>
      <c r="D173" s="1" t="n">
        <v>21.99</v>
      </c>
      <c r="E173" s="1" t="inlineStr">
        <is>
          <t>800x800mm</t>
        </is>
      </c>
      <c r="F173" s="1" t="inlineStr">
        <is>
          <t>m2</t>
        </is>
      </c>
      <c r="G173" s="1" t="inlineStr">
        <is>
          <t>Porcelain</t>
        </is>
      </c>
      <c r="H173" s="1" t="inlineStr">
        <is>
          <t>Polished</t>
        </is>
      </c>
      <c r="I173" t="inlineStr">
        <is>
          <t>More Stock due 26/11/21</t>
        </is>
      </c>
    </row>
    <row r="174">
      <c r="A174" s="1">
        <f>Hyperlink("https://www.tilemountain.co.uk/p/calacatta-white-marble-effect-xl-matt-porcelain-floor-tile-800x800.html","Product")</f>
        <v/>
      </c>
      <c r="B174" s="1" t="inlineStr">
        <is>
          <t>449285</t>
        </is>
      </c>
      <c r="C174" s="1" t="inlineStr">
        <is>
          <t>Carrara White Marble Effect Matt Floor Tile</t>
        </is>
      </c>
      <c r="D174" s="1" t="n">
        <v>20.99</v>
      </c>
      <c r="E174" s="1" t="inlineStr">
        <is>
          <t>800x800mm</t>
        </is>
      </c>
      <c r="F174" s="1" t="inlineStr">
        <is>
          <t>m2</t>
        </is>
      </c>
      <c r="G174" s="1" t="inlineStr">
        <is>
          <t>Porcelain</t>
        </is>
      </c>
      <c r="H174" s="1" t="inlineStr">
        <is>
          <t>Matt</t>
        </is>
      </c>
      <c r="I174" t="n">
        <v>578</v>
      </c>
    </row>
    <row r="175">
      <c r="A175" s="1">
        <f>Hyperlink("https://www.tilemountain.co.uk/p/calacatta-white-marble-effect-xl-polished-porcelain-floor-tile-800x800.html","Product")</f>
        <v/>
      </c>
      <c r="B175" s="1" t="inlineStr">
        <is>
          <t>448960</t>
        </is>
      </c>
      <c r="C175" s="1" t="inlineStr">
        <is>
          <t>Carrara White Marble Effect Polished Floor Tile</t>
        </is>
      </c>
      <c r="D175" s="1" t="n">
        <v>21.99</v>
      </c>
      <c r="E175" s="1" t="inlineStr">
        <is>
          <t>800x800mm</t>
        </is>
      </c>
      <c r="F175" s="1" t="inlineStr">
        <is>
          <t>m2</t>
        </is>
      </c>
      <c r="G175" s="1" t="inlineStr">
        <is>
          <t>Porcelain</t>
        </is>
      </c>
      <c r="H175" s="1" t="inlineStr">
        <is>
          <t>Polished</t>
        </is>
      </c>
      <c r="I175" t="inlineStr">
        <is>
          <t>More Stock</t>
        </is>
      </c>
    </row>
    <row r="176">
      <c r="A176" s="1">
        <f>Hyperlink("https://www.tilemountain.co.uk/p/carrara-gloss-brick-75x150mm_1.html","Product")</f>
        <v/>
      </c>
      <c r="B176" s="1" t="inlineStr">
        <is>
          <t>454685</t>
        </is>
      </c>
      <c r="C176" s="1" t="inlineStr">
        <is>
          <t>Carrara White Marble Effect Gloss Brick Wall Tile</t>
        </is>
      </c>
      <c r="D176" s="1" t="n">
        <v>29.99</v>
      </c>
      <c r="E176" s="1" t="inlineStr">
        <is>
          <t>150x75mm</t>
        </is>
      </c>
      <c r="F176" s="1" t="inlineStr">
        <is>
          <t>m2</t>
        </is>
      </c>
      <c r="G176" s="1" t="inlineStr">
        <is>
          <t>Ceramic</t>
        </is>
      </c>
      <c r="H176" s="1" t="inlineStr">
        <is>
          <t>Gloss</t>
        </is>
      </c>
      <c r="I176" t="n">
        <v>146</v>
      </c>
    </row>
    <row r="177">
      <c r="A177" s="1">
        <f>Hyperlink("https://www.tilemountain.co.uk/p/carrara-gloss-brick-75x300mm.html","Product")</f>
        <v/>
      </c>
      <c r="B177" s="1" t="inlineStr">
        <is>
          <t>454695</t>
        </is>
      </c>
      <c r="C177" s="1" t="inlineStr">
        <is>
          <t>Carrara White Marble Effect Gloss Brick Wall Tile</t>
        </is>
      </c>
      <c r="D177" s="1" t="n">
        <v>28.99</v>
      </c>
      <c r="E177" s="1" t="inlineStr">
        <is>
          <t>300x75mm</t>
        </is>
      </c>
      <c r="F177" s="1" t="inlineStr">
        <is>
          <t>m2</t>
        </is>
      </c>
      <c r="G177" s="1" t="inlineStr">
        <is>
          <t>Ceramic</t>
        </is>
      </c>
      <c r="H177" s="1" t="inlineStr">
        <is>
          <t>Gloss</t>
        </is>
      </c>
      <c r="I177" t="n">
        <v>53</v>
      </c>
    </row>
    <row r="178">
      <c r="A178" s="1">
        <f>Hyperlink("https://www.tilemountain.co.uk/p/carrara-gloss-skirting_1.html","Product")</f>
        <v/>
      </c>
      <c r="B178" s="1" t="inlineStr">
        <is>
          <t>454715</t>
        </is>
      </c>
      <c r="C178" s="1" t="inlineStr">
        <is>
          <t>Carrara White Marble Effect Gloss Skirting Wall Tiles</t>
        </is>
      </c>
      <c r="D178" s="1" t="n">
        <v>4.99</v>
      </c>
      <c r="E178" s="1" t="inlineStr">
        <is>
          <t>150x150mm</t>
        </is>
      </c>
      <c r="F178" s="1" t="inlineStr">
        <is>
          <t>Qty</t>
        </is>
      </c>
      <c r="G178" s="1" t="inlineStr">
        <is>
          <t>Ceramic</t>
        </is>
      </c>
      <c r="H178" s="1" t="inlineStr">
        <is>
          <t>Gloss</t>
        </is>
      </c>
      <c r="I178" t="inlineStr"/>
    </row>
    <row r="179">
      <c r="A179" s="1">
        <f>Hyperlink("https://www.tilemountain.co.uk/p/carrara-gloss-wall-tile.html","Product")</f>
        <v/>
      </c>
      <c r="B179" s="1" t="inlineStr">
        <is>
          <t>451555</t>
        </is>
      </c>
      <c r="C179" s="1" t="inlineStr">
        <is>
          <t>Calacatta Grey Gloss Wall Tile</t>
        </is>
      </c>
      <c r="D179" s="1" t="n">
        <v>19.99</v>
      </c>
      <c r="E179" s="1" t="inlineStr">
        <is>
          <t>400x150mm</t>
        </is>
      </c>
      <c r="F179" s="1" t="inlineStr">
        <is>
          <t>m2</t>
        </is>
      </c>
      <c r="G179" s="1" t="inlineStr">
        <is>
          <t>Ceramic</t>
        </is>
      </c>
      <c r="H179" s="1" t="inlineStr">
        <is>
          <t>Gloss</t>
        </is>
      </c>
      <c r="I179" t="n">
        <v>221</v>
      </c>
    </row>
    <row r="180">
      <c r="A180" s="1">
        <f>Hyperlink("https://www.tilemountain.co.uk/p/carrara-london-dado-gloss_1.html","Product")</f>
        <v/>
      </c>
      <c r="B180" s="1" t="inlineStr">
        <is>
          <t>454705</t>
        </is>
      </c>
      <c r="C180" s="1" t="inlineStr">
        <is>
          <t>Carrara White Marble Effect London Dado Gloss Wall Tile</t>
        </is>
      </c>
      <c r="D180" s="1" t="n">
        <v>3.99</v>
      </c>
      <c r="E180" s="1" t="inlineStr">
        <is>
          <t>300x5mm</t>
        </is>
      </c>
      <c r="F180" s="1" t="inlineStr">
        <is>
          <t>Qty</t>
        </is>
      </c>
      <c r="G180" s="1" t="inlineStr">
        <is>
          <t>Ceramic</t>
        </is>
      </c>
      <c r="H180" s="1" t="inlineStr">
        <is>
          <t>Gloss</t>
        </is>
      </c>
      <c r="I180" t="inlineStr"/>
    </row>
    <row r="181">
      <c r="A181" s="1">
        <f>Hyperlink("https://www.tilemountain.co.uk/p/carrara-london-dado-matt_1.html","Product")</f>
        <v/>
      </c>
      <c r="B181" s="1" t="inlineStr">
        <is>
          <t>454710</t>
        </is>
      </c>
      <c r="C181" s="1" t="inlineStr">
        <is>
          <t>Carrara White Marble Effect London Dado Matt Wall Tile</t>
        </is>
      </c>
      <c r="D181" s="1" t="n">
        <v>3.99</v>
      </c>
      <c r="E181" s="1" t="inlineStr">
        <is>
          <t>300x5mm</t>
        </is>
      </c>
      <c r="F181" s="1" t="inlineStr">
        <is>
          <t>Qty</t>
        </is>
      </c>
      <c r="G181" s="1" t="inlineStr">
        <is>
          <t>Ceramic</t>
        </is>
      </c>
      <c r="H181" s="1" t="inlineStr">
        <is>
          <t>Matt</t>
        </is>
      </c>
      <c r="I181" t="inlineStr">
        <is>
          <t>In Stock</t>
        </is>
      </c>
    </row>
    <row r="182">
      <c r="A182" s="1">
        <f>Hyperlink("https://www.tilemountain.co.uk/p/carrara-marble-matt-wall-tile.html","Product")</f>
        <v/>
      </c>
      <c r="B182" s="1" t="inlineStr">
        <is>
          <t>439610</t>
        </is>
      </c>
      <c r="C182" s="1" t="inlineStr">
        <is>
          <t>Paros Marble Effect Matt Wall Tiles</t>
        </is>
      </c>
      <c r="D182" s="1" t="n">
        <v>39.99</v>
      </c>
      <c r="E182" s="1" t="inlineStr">
        <is>
          <t>150x75mm</t>
        </is>
      </c>
      <c r="F182" s="1" t="inlineStr">
        <is>
          <t>m2</t>
        </is>
      </c>
      <c r="G182" s="1" t="inlineStr">
        <is>
          <t>Porcelain</t>
        </is>
      </c>
      <c r="H182" s="1" t="inlineStr">
        <is>
          <t>Matt</t>
        </is>
      </c>
      <c r="I182" t="inlineStr">
        <is>
          <t xml:space="preserve">Out Of Stock </t>
        </is>
      </c>
    </row>
    <row r="183">
      <c r="A183" s="1">
        <f>Hyperlink("https://www.tilemountain.co.uk/p/carrara-matt-brick-75x150mm.html","Product")</f>
        <v/>
      </c>
      <c r="B183" s="1" t="inlineStr">
        <is>
          <t>454690</t>
        </is>
      </c>
      <c r="C183" s="1" t="inlineStr">
        <is>
          <t>Carrara White Marble Effect Matt Brick Wall Tile</t>
        </is>
      </c>
      <c r="D183" s="1" t="n">
        <v>29.99</v>
      </c>
      <c r="E183" s="1" t="inlineStr">
        <is>
          <t>150x75mm</t>
        </is>
      </c>
      <c r="F183" s="1" t="inlineStr">
        <is>
          <t>m2</t>
        </is>
      </c>
      <c r="G183" s="1" t="inlineStr">
        <is>
          <t>Ceramic</t>
        </is>
      </c>
      <c r="H183" s="1" t="inlineStr">
        <is>
          <t>Matt</t>
        </is>
      </c>
      <c r="I183" t="n">
        <v>187</v>
      </c>
    </row>
    <row r="184">
      <c r="A184" s="1">
        <f>Hyperlink("https://www.tilemountain.co.uk/p/carrara-matt-brick-75x300mm.html","Product")</f>
        <v/>
      </c>
      <c r="B184" s="1" t="inlineStr">
        <is>
          <t>454700</t>
        </is>
      </c>
      <c r="C184" s="1" t="inlineStr">
        <is>
          <t>Carrara White Marble Effect Matt Brick Wall Tile</t>
        </is>
      </c>
      <c r="D184" s="1" t="n">
        <v>28.99</v>
      </c>
      <c r="E184" s="1" t="inlineStr">
        <is>
          <t>300x75mm</t>
        </is>
      </c>
      <c r="F184" s="1" t="inlineStr">
        <is>
          <t>m2</t>
        </is>
      </c>
      <c r="G184" s="1" t="inlineStr">
        <is>
          <t>Ceramic</t>
        </is>
      </c>
      <c r="H184" s="1" t="inlineStr">
        <is>
          <t>Matt</t>
        </is>
      </c>
      <c r="I184" t="inlineStr">
        <is>
          <t>More Stock</t>
        </is>
      </c>
    </row>
    <row r="185">
      <c r="A185" s="1">
        <f>Hyperlink("https://www.tilemountain.co.uk/p/carrara-matt-skirting_1.html","Product")</f>
        <v/>
      </c>
      <c r="B185" s="1" t="inlineStr">
        <is>
          <t>454720</t>
        </is>
      </c>
      <c r="C185" s="1" t="inlineStr">
        <is>
          <t>Carrara White Marble Effect Matt Skirting Wall Tiles</t>
        </is>
      </c>
      <c r="D185" s="1" t="n">
        <v>4.99</v>
      </c>
      <c r="E185" s="1" t="inlineStr">
        <is>
          <t>150x150mm</t>
        </is>
      </c>
      <c r="F185" s="1" t="inlineStr">
        <is>
          <t>Qty</t>
        </is>
      </c>
      <c r="G185" s="1" t="inlineStr">
        <is>
          <t>Ceramic</t>
        </is>
      </c>
      <c r="H185" s="1" t="inlineStr">
        <is>
          <t>Matt</t>
        </is>
      </c>
      <c r="I185" t="inlineStr"/>
    </row>
    <row r="186">
      <c r="A186" s="1">
        <f>Hyperlink("https://www.tilemountain.co.uk/p/carrara-matt-white-wall-tile.html","Product")</f>
        <v/>
      </c>
      <c r="B186" s="1" t="inlineStr">
        <is>
          <t>445515</t>
        </is>
      </c>
      <c r="C186" s="1" t="inlineStr">
        <is>
          <t>Carrara White Matt Marble Porcelain Wall and Floor Tile</t>
        </is>
      </c>
      <c r="D186" s="1" t="n">
        <v>13.99</v>
      </c>
      <c r="E186" s="1" t="inlineStr">
        <is>
          <t>600x300mm</t>
        </is>
      </c>
      <c r="F186" s="1" t="inlineStr">
        <is>
          <t>m2</t>
        </is>
      </c>
      <c r="G186" s="1" t="inlineStr">
        <is>
          <t>Porcelain</t>
        </is>
      </c>
      <c r="H186" s="1" t="inlineStr">
        <is>
          <t>Matt</t>
        </is>
      </c>
      <c r="I186" t="n">
        <v>5060</v>
      </c>
    </row>
    <row r="187">
      <c r="A187" s="1">
        <f>Hyperlink("https://www.tilemountain.co.uk/p/carrara-white-gloss-ceramic-floor-tile.html","Product")</f>
        <v/>
      </c>
      <c r="B187" s="1" t="inlineStr">
        <is>
          <t>446235</t>
        </is>
      </c>
      <c r="C187" s="1" t="inlineStr">
        <is>
          <t>Carrara White Gloss Marble Effect  Ceramic Floor Tile</t>
        </is>
      </c>
      <c r="D187" s="1" t="n">
        <v>10.99</v>
      </c>
      <c r="E187" s="1" t="inlineStr">
        <is>
          <t>450x450mm</t>
        </is>
      </c>
      <c r="F187" s="1" t="inlineStr">
        <is>
          <t>m2</t>
        </is>
      </c>
      <c r="G187" s="1" t="inlineStr">
        <is>
          <t>Ceramic</t>
        </is>
      </c>
      <c r="H187" s="1" t="inlineStr">
        <is>
          <t>Gloss</t>
        </is>
      </c>
      <c r="I187" t="n">
        <v>1460</v>
      </c>
    </row>
    <row r="188">
      <c r="A188" s="1">
        <f>Hyperlink("https://www.tilemountain.co.uk/p/carrara-white-gloss-ceramic-wall-tile.html","Product")</f>
        <v/>
      </c>
      <c r="B188" s="1" t="inlineStr">
        <is>
          <t>453205</t>
        </is>
      </c>
      <c r="C188" s="1" t="inlineStr">
        <is>
          <t>Carrara White Gloss Ceramic Wall Tile</t>
        </is>
      </c>
      <c r="D188" s="1" t="n">
        <v>10.99</v>
      </c>
      <c r="E188" s="1" t="inlineStr">
        <is>
          <t>600x300mm</t>
        </is>
      </c>
      <c r="F188" s="1" t="inlineStr">
        <is>
          <t>m2</t>
        </is>
      </c>
      <c r="G188" s="1" t="inlineStr">
        <is>
          <t>Ceramic</t>
        </is>
      </c>
      <c r="H188" s="1" t="inlineStr">
        <is>
          <t>Gloss</t>
        </is>
      </c>
      <c r="I188" t="inlineStr">
        <is>
          <t>More Stock due 05/11/21</t>
        </is>
      </c>
    </row>
    <row r="189">
      <c r="A189" s="1">
        <f>Hyperlink("https://www.tilemountain.co.uk/p/carrara-white-gloss-floor-tile.html","Product")</f>
        <v/>
      </c>
      <c r="B189" s="1" t="inlineStr">
        <is>
          <t>441360</t>
        </is>
      </c>
      <c r="C189" s="1" t="inlineStr">
        <is>
          <t>Carrara White Gloss Marble Effect  Porcelain Floor Tile</t>
        </is>
      </c>
      <c r="D189" s="1" t="n">
        <v>14.99</v>
      </c>
      <c r="E189" s="1" t="inlineStr">
        <is>
          <t>600x600mm</t>
        </is>
      </c>
      <c r="F189" s="1" t="inlineStr">
        <is>
          <t>m2</t>
        </is>
      </c>
      <c r="G189" s="1" t="inlineStr">
        <is>
          <t>Porcelain</t>
        </is>
      </c>
      <c r="H189" s="1" t="inlineStr">
        <is>
          <t>Gloss</t>
        </is>
      </c>
      <c r="I189" t="n">
        <v>6809</v>
      </c>
    </row>
    <row r="190">
      <c r="A190" s="1">
        <f>Hyperlink("https://www.tilemountain.co.uk/p/carrara-white-matt-ceramic-wall-tile.html","Product")</f>
        <v/>
      </c>
      <c r="B190" s="1" t="inlineStr">
        <is>
          <t>453210</t>
        </is>
      </c>
      <c r="C190" s="1" t="inlineStr">
        <is>
          <t>Carrara White Matt Ceramic Wall Tile</t>
        </is>
      </c>
      <c r="D190" s="1" t="n">
        <v>10.99</v>
      </c>
      <c r="E190" s="1" t="inlineStr">
        <is>
          <t>300x600mm</t>
        </is>
      </c>
      <c r="F190" s="1" t="inlineStr">
        <is>
          <t>m2</t>
        </is>
      </c>
      <c r="G190" s="1" t="inlineStr">
        <is>
          <t>Ceramic</t>
        </is>
      </c>
      <c r="H190" s="1" t="inlineStr">
        <is>
          <t>Matt</t>
        </is>
      </c>
      <c r="I190" t="inlineStr">
        <is>
          <t>More Stock due 29/10/21</t>
        </is>
      </c>
    </row>
    <row r="191">
      <c r="A191" s="1">
        <f>Hyperlink("https://www.tilemountain.co.uk/p/carrara-white-matt-marble-porcelain-floor-tile-5366.html","Product")</f>
        <v/>
      </c>
      <c r="B191" s="1" t="inlineStr">
        <is>
          <t>450430</t>
        </is>
      </c>
      <c r="C191" s="1" t="inlineStr">
        <is>
          <t>Carrara White Matt Marble Porcelain Floor Tile</t>
        </is>
      </c>
      <c r="D191" s="1" t="n">
        <v>29.99</v>
      </c>
      <c r="E191" s="1" t="inlineStr">
        <is>
          <t>1200x1200mm</t>
        </is>
      </c>
      <c r="F191" s="1" t="inlineStr">
        <is>
          <t>m2</t>
        </is>
      </c>
      <c r="G191" s="1" t="inlineStr">
        <is>
          <t>Porcelain</t>
        </is>
      </c>
      <c r="H191" s="1" t="inlineStr">
        <is>
          <t>Matt</t>
        </is>
      </c>
      <c r="I191" t="n">
        <v>164</v>
      </c>
    </row>
    <row r="192">
      <c r="A192" s="1">
        <f>Hyperlink("https://www.tilemountain.co.uk/p/carrara-white-matt-marble-porcelain-floor-tile.html","Product")</f>
        <v/>
      </c>
      <c r="B192" s="1" t="inlineStr">
        <is>
          <t>450420</t>
        </is>
      </c>
      <c r="C192" s="1" t="inlineStr">
        <is>
          <t>Carrara White Matt Marble Porcelain Floor Tile</t>
        </is>
      </c>
      <c r="D192" s="1" t="n">
        <v>19.99</v>
      </c>
      <c r="E192" s="1" t="inlineStr">
        <is>
          <t>1200x600mm</t>
        </is>
      </c>
      <c r="F192" s="1" t="inlineStr">
        <is>
          <t>m2</t>
        </is>
      </c>
      <c r="G192" s="1" t="inlineStr">
        <is>
          <t>Porcelain</t>
        </is>
      </c>
      <c r="H192" s="1" t="inlineStr">
        <is>
          <t>Matt</t>
        </is>
      </c>
      <c r="I192" t="n">
        <v>496</v>
      </c>
    </row>
    <row r="193">
      <c r="A193" s="1">
        <f>Hyperlink("https://www.tilemountain.co.uk/p/carrara-white-polished-marble-porcelain-floor-tile-5367.html","Product")</f>
        <v/>
      </c>
      <c r="B193" s="1" t="inlineStr">
        <is>
          <t>450435</t>
        </is>
      </c>
      <c r="C193" s="1" t="inlineStr">
        <is>
          <t>Carrara White Polished Marble Porcelain Floor Tile</t>
        </is>
      </c>
      <c r="D193" s="1" t="n">
        <v>29.99</v>
      </c>
      <c r="E193" s="1" t="inlineStr">
        <is>
          <t>1200x1200mm</t>
        </is>
      </c>
      <c r="F193" s="1" t="inlineStr">
        <is>
          <t>m2</t>
        </is>
      </c>
      <c r="G193" s="1" t="inlineStr">
        <is>
          <t>Porcelain</t>
        </is>
      </c>
      <c r="H193" s="1" t="inlineStr">
        <is>
          <t>Polished</t>
        </is>
      </c>
      <c r="I193" t="inlineStr">
        <is>
          <t>More Stock due 29/10/21</t>
        </is>
      </c>
    </row>
    <row r="194">
      <c r="A194" s="1">
        <f>Hyperlink("https://www.tilemountain.co.uk/p/carrara-white-polished-marble-porcelain-floor-tile.html","Product")</f>
        <v/>
      </c>
      <c r="B194" s="1" t="inlineStr">
        <is>
          <t>450425</t>
        </is>
      </c>
      <c r="C194" s="1" t="inlineStr">
        <is>
          <t>Carrara White Polished Marble Porcelain Floor Tile</t>
        </is>
      </c>
      <c r="D194" s="1" t="n">
        <v>22.99</v>
      </c>
      <c r="E194" s="1" t="inlineStr">
        <is>
          <t>1200x600mm</t>
        </is>
      </c>
      <c r="F194" s="1" t="inlineStr">
        <is>
          <t>m2</t>
        </is>
      </c>
      <c r="G194" s="1" t="inlineStr">
        <is>
          <t>Porcelain</t>
        </is>
      </c>
      <c r="H194" s="1" t="inlineStr">
        <is>
          <t>Polished</t>
        </is>
      </c>
      <c r="I194" t="inlineStr">
        <is>
          <t>More Stock due 22/10/21</t>
        </is>
      </c>
    </row>
    <row r="195">
      <c r="A195" s="1">
        <f>Hyperlink("https://www.tilemountain.co.uk/p/castilla-teja-floor-tile.html","Product")</f>
        <v/>
      </c>
      <c r="B195" s="1" t="inlineStr">
        <is>
          <t>443105</t>
        </is>
      </c>
      <c r="C195" s="1" t="inlineStr">
        <is>
          <t>Castilla Teja Floor Tiles</t>
        </is>
      </c>
      <c r="D195" s="1" t="n">
        <v>9.99</v>
      </c>
      <c r="E195" s="1" t="inlineStr">
        <is>
          <t>333x333mm</t>
        </is>
      </c>
      <c r="F195" s="1" t="inlineStr">
        <is>
          <t>m2</t>
        </is>
      </c>
      <c r="G195" s="1" t="inlineStr">
        <is>
          <t>Porcelain</t>
        </is>
      </c>
      <c r="H195" s="1" t="inlineStr">
        <is>
          <t>Matt</t>
        </is>
      </c>
      <c r="I195" t="n">
        <v>185</v>
      </c>
    </row>
    <row r="196">
      <c r="A196" s="1">
        <f>Hyperlink("https://www.tilemountain.co.uk/p/chess-black-floor-tile.html","Product")</f>
        <v/>
      </c>
      <c r="B196" s="1" t="inlineStr">
        <is>
          <t>433320</t>
        </is>
      </c>
      <c r="C196" s="1" t="inlineStr">
        <is>
          <t>Chess Black Floor Tiles</t>
        </is>
      </c>
      <c r="D196" s="1" t="n">
        <v>9.99</v>
      </c>
      <c r="E196" s="1" t="inlineStr">
        <is>
          <t>338x338mm</t>
        </is>
      </c>
      <c r="F196" s="1" t="inlineStr">
        <is>
          <t>m2</t>
        </is>
      </c>
      <c r="G196" s="1" t="inlineStr">
        <is>
          <t>Ceramic</t>
        </is>
      </c>
      <c r="H196" s="1" t="inlineStr">
        <is>
          <t>Matt</t>
        </is>
      </c>
      <c r="I196" t="n">
        <v>424</v>
      </c>
    </row>
    <row r="197">
      <c r="A197" s="1">
        <f>Hyperlink("https://www.tilemountain.co.uk/p/chess-white-floor-tile.html","Product")</f>
        <v/>
      </c>
      <c r="B197" s="1" t="inlineStr">
        <is>
          <t>433315</t>
        </is>
      </c>
      <c r="C197" s="1" t="inlineStr">
        <is>
          <t>Chess White Floor Tiles</t>
        </is>
      </c>
      <c r="D197" s="1" t="n">
        <v>9.99</v>
      </c>
      <c r="E197" s="1" t="inlineStr">
        <is>
          <t>338x338mm</t>
        </is>
      </c>
      <c r="F197" s="1" t="inlineStr">
        <is>
          <t>m2</t>
        </is>
      </c>
      <c r="G197" s="1" t="inlineStr">
        <is>
          <t>Ceramic</t>
        </is>
      </c>
      <c r="H197" s="1" t="inlineStr">
        <is>
          <t>Matt</t>
        </is>
      </c>
      <c r="I197" t="n">
        <v>657</v>
      </c>
    </row>
    <row r="198">
      <c r="A198" s="1">
        <f>Hyperlink("https://www.tilemountain.co.uk/p/chevron-wood-walnut-wall-and-floor-tiles-11x54cm.html","Product")</f>
        <v/>
      </c>
      <c r="B198" s="1" t="inlineStr">
        <is>
          <t>400095</t>
        </is>
      </c>
      <c r="C198" s="1" t="inlineStr">
        <is>
          <t>Chevron Wood Walnut Wall and Floor Tiles</t>
        </is>
      </c>
      <c r="D198" s="1" t="n">
        <v>26.99</v>
      </c>
      <c r="E198" s="1" t="inlineStr">
        <is>
          <t>540x110mm</t>
        </is>
      </c>
      <c r="F198" s="1" t="inlineStr">
        <is>
          <t>m2</t>
        </is>
      </c>
      <c r="G198" s="1" t="inlineStr">
        <is>
          <t>Porcelain</t>
        </is>
      </c>
      <c r="H198" s="1" t="inlineStr">
        <is>
          <t>Matt</t>
        </is>
      </c>
      <c r="I198" t="n">
        <v>27</v>
      </c>
    </row>
    <row r="199">
      <c r="A199" s="1">
        <f>Hyperlink("https://www.tilemountain.co.uk/p/chic-blanco-decor-tile.html","Product")</f>
        <v/>
      </c>
      <c r="B199" s="1" t="inlineStr">
        <is>
          <t>446145</t>
        </is>
      </c>
      <c r="C199" s="1" t="inlineStr">
        <is>
          <t>Chic Blanco Decor Wall Tiles</t>
        </is>
      </c>
      <c r="D199" s="1" t="n">
        <v>25.99</v>
      </c>
      <c r="E199" s="1" t="inlineStr">
        <is>
          <t>900x300mm</t>
        </is>
      </c>
      <c r="F199" s="1" t="inlineStr">
        <is>
          <t>m2</t>
        </is>
      </c>
      <c r="G199" s="1" t="inlineStr">
        <is>
          <t>Ceramic</t>
        </is>
      </c>
      <c r="H199" s="1" t="inlineStr">
        <is>
          <t>Matt</t>
        </is>
      </c>
      <c r="I199" t="n">
        <v>38</v>
      </c>
    </row>
    <row r="200">
      <c r="A200" s="1">
        <f>Hyperlink("https://www.tilemountain.co.uk/p/chic-blanco-matt-wall-tile.html","Product")</f>
        <v/>
      </c>
      <c r="B200" s="1" t="inlineStr">
        <is>
          <t>446140</t>
        </is>
      </c>
      <c r="C200" s="1" t="inlineStr">
        <is>
          <t>Chic Blanco Matt Wall Tiles</t>
        </is>
      </c>
      <c r="D200" s="1" t="n">
        <v>23.99</v>
      </c>
      <c r="E200" s="1" t="inlineStr">
        <is>
          <t>900x300mm</t>
        </is>
      </c>
      <c r="F200" s="1" t="inlineStr">
        <is>
          <t>m2</t>
        </is>
      </c>
      <c r="G200" s="1" t="inlineStr">
        <is>
          <t>Ceramic</t>
        </is>
      </c>
      <c r="H200" s="1" t="inlineStr">
        <is>
          <t>Matt</t>
        </is>
      </c>
      <c r="I200" t="n">
        <v>84</v>
      </c>
    </row>
    <row r="201">
      <c r="A201" s="1">
        <f>Hyperlink("https://www.tilemountain.co.uk/p/chic-blue-decor-tile.html","Product")</f>
        <v/>
      </c>
      <c r="B201" s="1" t="inlineStr">
        <is>
          <t>446155</t>
        </is>
      </c>
      <c r="C201" s="1" t="inlineStr">
        <is>
          <t>Chic Blue Decor Wall Tiles</t>
        </is>
      </c>
      <c r="D201" s="1" t="n">
        <v>25.99</v>
      </c>
      <c r="E201" s="1" t="inlineStr">
        <is>
          <t>900x300mm</t>
        </is>
      </c>
      <c r="F201" s="1" t="inlineStr">
        <is>
          <t>m2</t>
        </is>
      </c>
      <c r="G201" s="1" t="inlineStr">
        <is>
          <t>Ceramic</t>
        </is>
      </c>
      <c r="H201" s="1" t="inlineStr">
        <is>
          <t>Matt</t>
        </is>
      </c>
      <c r="I201" t="n">
        <v>133</v>
      </c>
    </row>
    <row r="202">
      <c r="A202" s="1">
        <f>Hyperlink("https://www.tilemountain.co.uk/p/chic-grey-decor-tile.html","Product")</f>
        <v/>
      </c>
      <c r="B202" s="1" t="inlineStr">
        <is>
          <t>446150</t>
        </is>
      </c>
      <c r="C202" s="1" t="inlineStr">
        <is>
          <t>Chic Grey Decor Wall Tiles</t>
        </is>
      </c>
      <c r="D202" s="1" t="n">
        <v>25.99</v>
      </c>
      <c r="E202" s="1" t="inlineStr">
        <is>
          <t>900x300mm</t>
        </is>
      </c>
      <c r="F202" s="1" t="inlineStr">
        <is>
          <t>m2</t>
        </is>
      </c>
      <c r="G202" s="1" t="inlineStr">
        <is>
          <t>Ceramic</t>
        </is>
      </c>
      <c r="H202" s="1" t="inlineStr">
        <is>
          <t>Matt</t>
        </is>
      </c>
      <c r="I202" t="n">
        <v>106</v>
      </c>
    </row>
    <row r="203">
      <c r="A203" s="1">
        <f>Hyperlink("https://www.tilemountain.co.uk/p/clay-blossom.html","Product")</f>
        <v/>
      </c>
      <c r="B203" s="1" t="inlineStr">
        <is>
          <t>454465</t>
        </is>
      </c>
      <c r="C203" s="1" t="inlineStr">
        <is>
          <t>Clay Blossom Floor Tile</t>
        </is>
      </c>
      <c r="D203" s="1" t="n">
        <v>22.99</v>
      </c>
      <c r="E203" s="1" t="inlineStr">
        <is>
          <t>450x450mm</t>
        </is>
      </c>
      <c r="F203" s="1" t="inlineStr">
        <is>
          <t>m2</t>
        </is>
      </c>
      <c r="G203" s="1" t="inlineStr">
        <is>
          <t>Ceramic</t>
        </is>
      </c>
      <c r="H203" s="1" t="inlineStr">
        <is>
          <t>Matt</t>
        </is>
      </c>
      <c r="I203" t="n">
        <v>85</v>
      </c>
    </row>
    <row r="204">
      <c r="A204" s="1">
        <f>Hyperlink("https://www.tilemountain.co.uk/p/clay-chequer-silver.html","Product")</f>
        <v/>
      </c>
      <c r="B204" s="1" t="inlineStr">
        <is>
          <t>454480</t>
        </is>
      </c>
      <c r="C204" s="1" t="inlineStr">
        <is>
          <t>Clay Chequer Silver Floor Tile</t>
        </is>
      </c>
      <c r="D204" s="1" t="n">
        <v>22.99</v>
      </c>
      <c r="E204" s="1" t="inlineStr">
        <is>
          <t>450x450mm</t>
        </is>
      </c>
      <c r="F204" s="1" t="inlineStr">
        <is>
          <t>m2</t>
        </is>
      </c>
      <c r="G204" s="1" t="inlineStr">
        <is>
          <t>Ceramic</t>
        </is>
      </c>
      <c r="H204" s="1" t="inlineStr">
        <is>
          <t>Matt</t>
        </is>
      </c>
      <c r="I204" t="n">
        <v>142</v>
      </c>
    </row>
    <row r="205">
      <c r="A205" s="1">
        <f>Hyperlink("https://www.tilemountain.co.uk/p/clay-cocoa.html","Product")</f>
        <v/>
      </c>
      <c r="B205" s="1" t="inlineStr">
        <is>
          <t>454460</t>
        </is>
      </c>
      <c r="C205" s="1" t="inlineStr">
        <is>
          <t>Clay Cocoa Wall Tile</t>
        </is>
      </c>
      <c r="D205" s="1" t="n">
        <v>26.99</v>
      </c>
      <c r="E205" s="1" t="inlineStr">
        <is>
          <t>400x200mm</t>
        </is>
      </c>
      <c r="F205" s="1" t="inlineStr">
        <is>
          <t>m2</t>
        </is>
      </c>
      <c r="G205" s="1" t="inlineStr">
        <is>
          <t>Ceramic</t>
        </is>
      </c>
      <c r="H205" s="1" t="inlineStr">
        <is>
          <t>Matt</t>
        </is>
      </c>
      <c r="I205" t="n">
        <v>153</v>
      </c>
    </row>
    <row r="206">
      <c r="A206" s="1">
        <f>Hyperlink("https://www.tilemountain.co.uk/p/clay-seal.html","Product")</f>
        <v/>
      </c>
      <c r="B206" s="1" t="inlineStr">
        <is>
          <t>454470</t>
        </is>
      </c>
      <c r="C206" s="1" t="inlineStr">
        <is>
          <t>Clay Seal Floor Tile</t>
        </is>
      </c>
      <c r="D206" s="1" t="n">
        <v>22.99</v>
      </c>
      <c r="E206" s="1" t="inlineStr">
        <is>
          <t>450x450mm</t>
        </is>
      </c>
      <c r="F206" s="1" t="inlineStr">
        <is>
          <t>m2</t>
        </is>
      </c>
      <c r="G206" s="1" t="inlineStr">
        <is>
          <t>Ceramic</t>
        </is>
      </c>
      <c r="H206" s="1" t="inlineStr">
        <is>
          <t>Matt</t>
        </is>
      </c>
      <c r="I206" t="n">
        <v>112</v>
      </c>
    </row>
    <row r="207">
      <c r="A207" s="1">
        <f>Hyperlink("https://www.tilemountain.co.uk/p/cleveland-oak.html","Product")</f>
        <v/>
      </c>
      <c r="B207" s="1" t="inlineStr">
        <is>
          <t>445330</t>
        </is>
      </c>
      <c r="C207" s="1" t="inlineStr">
        <is>
          <t>Cleveland Oak Luxury Vinyl Tiles</t>
        </is>
      </c>
      <c r="D207" s="1" t="n">
        <v>20.99</v>
      </c>
      <c r="E207" s="1" t="inlineStr">
        <is>
          <t>1316x191x4mm</t>
        </is>
      </c>
      <c r="F207" s="1" t="inlineStr">
        <is>
          <t>m2</t>
        </is>
      </c>
      <c r="G207" s="1" t="inlineStr">
        <is>
          <t>LVT</t>
        </is>
      </c>
      <c r="H207" s="1" t="inlineStr">
        <is>
          <t>Matt</t>
        </is>
      </c>
      <c r="I207" t="n">
        <v>442</v>
      </c>
    </row>
    <row r="208">
      <c r="A208" s="1">
        <f>Hyperlink("https://www.tilemountain.co.uk/p/cliff-beige_1.html","Product")</f>
        <v/>
      </c>
      <c r="B208" s="1" t="inlineStr">
        <is>
          <t>446840</t>
        </is>
      </c>
      <c r="C208" s="1" t="inlineStr">
        <is>
          <t>Cliff Grafite Grey Porcelain Wall And Floor Tiles</t>
        </is>
      </c>
      <c r="D208" s="1" t="n">
        <v>13.99</v>
      </c>
      <c r="E208" s="1" t="inlineStr">
        <is>
          <t>600x300mm</t>
        </is>
      </c>
      <c r="F208" s="1" t="inlineStr">
        <is>
          <t>m2</t>
        </is>
      </c>
      <c r="G208" s="1" t="inlineStr">
        <is>
          <t>Porcelain</t>
        </is>
      </c>
      <c r="H208" s="1" t="inlineStr">
        <is>
          <t>Matt</t>
        </is>
      </c>
      <c r="I208" t="n">
        <v>1693</v>
      </c>
    </row>
    <row r="209">
      <c r="A209" s="1">
        <f>Hyperlink("https://www.tilemountain.co.uk/p/cliff-grafito_1.html","Product")</f>
        <v/>
      </c>
      <c r="B209" s="1" t="inlineStr">
        <is>
          <t>446845</t>
        </is>
      </c>
      <c r="C209" s="1" t="inlineStr">
        <is>
          <t>Cliff Grey Porcelain Wall And Floor Tiles</t>
        </is>
      </c>
      <c r="D209" s="1" t="n">
        <v>13.99</v>
      </c>
      <c r="E209" s="1" t="inlineStr">
        <is>
          <t>600x300mm</t>
        </is>
      </c>
      <c r="F209" s="1" t="inlineStr">
        <is>
          <t>m2</t>
        </is>
      </c>
      <c r="G209" s="1" t="inlineStr">
        <is>
          <t>Porcelain</t>
        </is>
      </c>
      <c r="H209" s="1" t="inlineStr">
        <is>
          <t>Matt</t>
        </is>
      </c>
      <c r="I209" t="n">
        <v>113</v>
      </c>
    </row>
    <row r="210">
      <c r="A210" s="1">
        <f>Hyperlink("https://www.tilemountain.co.uk/p/cliff-gris_1.html","Product")</f>
        <v/>
      </c>
      <c r="B210" s="1" t="inlineStr">
        <is>
          <t>446850</t>
        </is>
      </c>
      <c r="C210" s="1" t="inlineStr">
        <is>
          <t>Cliff Grey Decor Porcelain Wall Tile</t>
        </is>
      </c>
      <c r="D210" s="1" t="n">
        <v>13.99</v>
      </c>
      <c r="E210" s="1" t="inlineStr">
        <is>
          <t>600x300mm</t>
        </is>
      </c>
      <c r="F210" s="1" t="inlineStr">
        <is>
          <t>m2</t>
        </is>
      </c>
      <c r="G210" s="1" t="inlineStr">
        <is>
          <t>Porcelain</t>
        </is>
      </c>
      <c r="H210" s="1" t="inlineStr">
        <is>
          <t>Matt</t>
        </is>
      </c>
      <c r="I210" t="n">
        <v>427</v>
      </c>
    </row>
    <row r="211">
      <c r="A211" s="1">
        <f>Hyperlink("https://www.tilemountain.co.uk/p/coast-ondas-perla-gloss-wave-feature-wall-tile.html","Product")</f>
        <v/>
      </c>
      <c r="B211" s="1" t="inlineStr">
        <is>
          <t>448835</t>
        </is>
      </c>
      <c r="C211" s="1" t="inlineStr">
        <is>
          <t>Coast Ondas Perla Gloss Wave Feature Wall Tile</t>
        </is>
      </c>
      <c r="D211" s="1" t="n">
        <v>12.99</v>
      </c>
      <c r="E211" s="1" t="inlineStr">
        <is>
          <t>550x330mm</t>
        </is>
      </c>
      <c r="F211" s="1" t="inlineStr">
        <is>
          <t>m2</t>
        </is>
      </c>
      <c r="G211" s="1" t="inlineStr">
        <is>
          <t>Ceramic</t>
        </is>
      </c>
      <c r="H211" s="1" t="inlineStr">
        <is>
          <t>Gloss</t>
        </is>
      </c>
      <c r="I211" t="n">
        <v>50</v>
      </c>
    </row>
    <row r="212">
      <c r="A212" s="1">
        <f>Hyperlink("https://www.tilemountain.co.uk/p/coast-ondas-taupe-gloss-wave-feature-wall-tile.html","Product")</f>
        <v/>
      </c>
      <c r="B212" s="1" t="inlineStr">
        <is>
          <t>448855</t>
        </is>
      </c>
      <c r="C212" s="1" t="inlineStr">
        <is>
          <t>Coast Ondas Taupe Gloss Wave Feature Wall Tile</t>
        </is>
      </c>
      <c r="D212" s="1" t="n">
        <v>12.99</v>
      </c>
      <c r="E212" s="1" t="inlineStr">
        <is>
          <t>550x330mm</t>
        </is>
      </c>
      <c r="F212" s="1" t="inlineStr">
        <is>
          <t>m2</t>
        </is>
      </c>
      <c r="G212" s="1" t="inlineStr">
        <is>
          <t>Ceramic</t>
        </is>
      </c>
      <c r="H212" s="1" t="inlineStr">
        <is>
          <t>Gloss</t>
        </is>
      </c>
      <c r="I212" t="n">
        <v>96</v>
      </c>
    </row>
    <row r="213">
      <c r="A213" s="1">
        <f>Hyperlink("https://www.tilemountain.co.uk/p/coast-perla-gloss-floor-tile_1.html","Product")</f>
        <v/>
      </c>
      <c r="B213" s="1" t="inlineStr">
        <is>
          <t>448860</t>
        </is>
      </c>
      <c r="C213" s="1" t="inlineStr">
        <is>
          <t>Coast Perla Gloss Floor Tile</t>
        </is>
      </c>
      <c r="D213" s="1" t="n">
        <v>10.99</v>
      </c>
      <c r="E213" s="1" t="inlineStr">
        <is>
          <t>450x450mm</t>
        </is>
      </c>
      <c r="F213" s="1" t="inlineStr">
        <is>
          <t>m2</t>
        </is>
      </c>
      <c r="G213" s="1" t="inlineStr">
        <is>
          <t>Ceramic</t>
        </is>
      </c>
      <c r="H213" s="1" t="inlineStr">
        <is>
          <t>Gloss</t>
        </is>
      </c>
      <c r="I213" t="n">
        <v>17</v>
      </c>
    </row>
    <row r="214">
      <c r="A214" s="1">
        <f>Hyperlink("https://www.tilemountain.co.uk/p/coast-perla-gloss-wall-tile.html","Product")</f>
        <v/>
      </c>
      <c r="B214" s="1" t="inlineStr">
        <is>
          <t>448830</t>
        </is>
      </c>
      <c r="C214" s="1" t="inlineStr">
        <is>
          <t>Coast Perla Gloss Wall Tile</t>
        </is>
      </c>
      <c r="D214" s="1" t="n">
        <v>10.99</v>
      </c>
      <c r="E214" s="1" t="inlineStr">
        <is>
          <t>550x330mm</t>
        </is>
      </c>
      <c r="F214" s="1" t="inlineStr">
        <is>
          <t>m2</t>
        </is>
      </c>
      <c r="G214" s="1" t="inlineStr">
        <is>
          <t>Ceramic</t>
        </is>
      </c>
      <c r="H214" s="1" t="inlineStr">
        <is>
          <t>Gloss</t>
        </is>
      </c>
      <c r="I214" t="n">
        <v>60</v>
      </c>
    </row>
    <row r="215">
      <c r="A215" s="1">
        <f>Hyperlink("https://www.tilemountain.co.uk/p/coast-taupe-gloss-floor-tile.html","Product")</f>
        <v/>
      </c>
      <c r="B215" s="1" t="inlineStr">
        <is>
          <t>448870</t>
        </is>
      </c>
      <c r="C215" s="1" t="inlineStr">
        <is>
          <t>Coast Taupe Gloss Floor Tile</t>
        </is>
      </c>
      <c r="D215" s="1" t="n">
        <v>10.99</v>
      </c>
      <c r="E215" s="1" t="inlineStr">
        <is>
          <t>450x450mm</t>
        </is>
      </c>
      <c r="F215" s="1" t="inlineStr">
        <is>
          <t>m2</t>
        </is>
      </c>
      <c r="G215" s="1" t="inlineStr">
        <is>
          <t>Ceramic</t>
        </is>
      </c>
      <c r="H215" s="1" t="inlineStr">
        <is>
          <t>Gloss</t>
        </is>
      </c>
      <c r="I215" t="n">
        <v>128</v>
      </c>
    </row>
    <row r="216">
      <c r="A216" s="1">
        <f>Hyperlink("https://www.tilemountain.co.uk/p/coast-taupe-gloss-wall-tile.html","Product")</f>
        <v/>
      </c>
      <c r="B216" s="1" t="inlineStr">
        <is>
          <t>448850</t>
        </is>
      </c>
      <c r="C216" s="1" t="inlineStr">
        <is>
          <t>Coast Taupe Gloss Wall Tile</t>
        </is>
      </c>
      <c r="D216" s="1" t="n">
        <v>10.99</v>
      </c>
      <c r="E216" s="1" t="inlineStr">
        <is>
          <t>550x330mm</t>
        </is>
      </c>
      <c r="F216" s="1" t="inlineStr">
        <is>
          <t>m2</t>
        </is>
      </c>
      <c r="G216" s="1" t="inlineStr">
        <is>
          <t>Ceramic</t>
        </is>
      </c>
      <c r="H216" s="1" t="inlineStr">
        <is>
          <t>Gloss</t>
        </is>
      </c>
      <c r="I216" t="n">
        <v>172</v>
      </c>
    </row>
    <row r="217">
      <c r="A217" s="1">
        <f>Hyperlink("https://www.tilemountain.co.uk/p/coda-black-decor-tile.html","Product")</f>
        <v/>
      </c>
      <c r="B217" s="1" t="inlineStr">
        <is>
          <t>444355</t>
        </is>
      </c>
      <c r="C217" s="1" t="inlineStr">
        <is>
          <t>Coda Black Decor Tiles</t>
        </is>
      </c>
      <c r="D217" s="1" t="n">
        <v>21.99</v>
      </c>
      <c r="E217" s="1" t="inlineStr">
        <is>
          <t>310x560mm</t>
        </is>
      </c>
      <c r="F217" s="1" t="inlineStr">
        <is>
          <t>m2</t>
        </is>
      </c>
      <c r="G217" s="1" t="inlineStr">
        <is>
          <t>Porcelain</t>
        </is>
      </c>
      <c r="H217" s="1" t="inlineStr">
        <is>
          <t>Matt</t>
        </is>
      </c>
      <c r="I217" t="n">
        <v>194</v>
      </c>
    </row>
    <row r="218">
      <c r="A218" s="1">
        <f>Hyperlink("https://www.tilemountain.co.uk/p/coda-black-wall-and-floor-tile.html","Product")</f>
        <v/>
      </c>
      <c r="B218" s="1" t="inlineStr">
        <is>
          <t>444340</t>
        </is>
      </c>
      <c r="C218" s="1" t="inlineStr">
        <is>
          <t>Coda Black Wall And Floor Tiles</t>
        </is>
      </c>
      <c r="D218" s="1" t="n">
        <v>18.99</v>
      </c>
      <c r="E218" s="1" t="inlineStr">
        <is>
          <t>310x560mm</t>
        </is>
      </c>
      <c r="F218" s="1" t="inlineStr">
        <is>
          <t>m2</t>
        </is>
      </c>
      <c r="G218" s="1" t="inlineStr">
        <is>
          <t>Porcelain</t>
        </is>
      </c>
      <c r="H218" s="1" t="inlineStr">
        <is>
          <t>Matt</t>
        </is>
      </c>
      <c r="I218" t="n">
        <v>345</v>
      </c>
    </row>
    <row r="219">
      <c r="A219" s="1">
        <f>Hyperlink("https://www.tilemountain.co.uk/p/coda-grey-decor-tile.html","Product")</f>
        <v/>
      </c>
      <c r="B219" s="1" t="inlineStr">
        <is>
          <t>444350</t>
        </is>
      </c>
      <c r="C219" s="1" t="inlineStr">
        <is>
          <t>Coda Grey Decor Tiles</t>
        </is>
      </c>
      <c r="D219" s="1" t="n">
        <v>21.99</v>
      </c>
      <c r="E219" s="1" t="inlineStr">
        <is>
          <t>310x560mm</t>
        </is>
      </c>
      <c r="F219" s="1" t="inlineStr">
        <is>
          <t>m2</t>
        </is>
      </c>
      <c r="G219" s="1" t="inlineStr">
        <is>
          <t>Porcelain</t>
        </is>
      </c>
      <c r="H219" s="1" t="inlineStr">
        <is>
          <t>Matt</t>
        </is>
      </c>
      <c r="I219" t="n">
        <v>31</v>
      </c>
    </row>
    <row r="220">
      <c r="A220" s="1">
        <f>Hyperlink("https://www.tilemountain.co.uk/p/coda-grey-wall-and-floor-tile.html","Product")</f>
        <v/>
      </c>
      <c r="B220" s="1" t="inlineStr">
        <is>
          <t>444335</t>
        </is>
      </c>
      <c r="C220" s="1" t="inlineStr">
        <is>
          <t>Coda Grey Wall And Floor Tiles</t>
        </is>
      </c>
      <c r="D220" s="1" t="n">
        <v>18.99</v>
      </c>
      <c r="E220" s="1" t="inlineStr">
        <is>
          <t>310x560mm</t>
        </is>
      </c>
      <c r="F220" s="1" t="inlineStr">
        <is>
          <t>m2</t>
        </is>
      </c>
      <c r="G220" s="1" t="inlineStr">
        <is>
          <t>Porcelain</t>
        </is>
      </c>
      <c r="H220" s="1" t="inlineStr">
        <is>
          <t>Matt</t>
        </is>
      </c>
      <c r="I220" t="n">
        <v>374</v>
      </c>
    </row>
    <row r="221">
      <c r="A221" s="1">
        <f>Hyperlink("https://www.tilemountain.co.uk/p/coda-ivory-wall-and-floor-tile.html","Product")</f>
        <v/>
      </c>
      <c r="B221" s="1" t="inlineStr">
        <is>
          <t>444330</t>
        </is>
      </c>
      <c r="C221" s="1" t="inlineStr">
        <is>
          <t>Coda Ivory Wall And Floor Tiles</t>
        </is>
      </c>
      <c r="D221" s="1" t="n">
        <v>18.99</v>
      </c>
      <c r="E221" s="1" t="inlineStr">
        <is>
          <t>310x560mm</t>
        </is>
      </c>
      <c r="F221" s="1" t="inlineStr">
        <is>
          <t>m2</t>
        </is>
      </c>
      <c r="G221" s="1" t="inlineStr">
        <is>
          <t>Porcelain</t>
        </is>
      </c>
      <c r="H221" s="1" t="inlineStr">
        <is>
          <t>Matt</t>
        </is>
      </c>
      <c r="I221" t="n">
        <v>31</v>
      </c>
    </row>
    <row r="222">
      <c r="A222" s="1">
        <f>Hyperlink("https://www.tilemountain.co.uk/p/coda-steel-decor-tile.html","Product")</f>
        <v/>
      </c>
      <c r="B222" s="1" t="inlineStr">
        <is>
          <t>446635</t>
        </is>
      </c>
      <c r="C222" s="1" t="inlineStr">
        <is>
          <t>Coda Steel Decor Tiles</t>
        </is>
      </c>
      <c r="D222" s="1" t="n">
        <v>21.99</v>
      </c>
      <c r="E222" s="1" t="inlineStr">
        <is>
          <t>560x310mm</t>
        </is>
      </c>
      <c r="F222" s="1" t="inlineStr">
        <is>
          <t>m2</t>
        </is>
      </c>
      <c r="G222" s="1" t="inlineStr">
        <is>
          <t>-</t>
        </is>
      </c>
      <c r="H222" s="1" t="inlineStr">
        <is>
          <t>-</t>
        </is>
      </c>
      <c r="I222" t="n">
        <v>86</v>
      </c>
    </row>
    <row r="223">
      <c r="A223" s="1">
        <f>Hyperlink("https://www.tilemountain.co.uk/p/colorado-oak-3823.html","Product")</f>
        <v/>
      </c>
      <c r="B223" s="1" t="inlineStr">
        <is>
          <t>445345</t>
        </is>
      </c>
      <c r="C223" s="1" t="inlineStr">
        <is>
          <t>Colorado Oak Luxury Vinyl Tiles</t>
        </is>
      </c>
      <c r="D223" s="1" t="n">
        <v>20.99</v>
      </c>
      <c r="E223" s="1" t="inlineStr">
        <is>
          <t>1316x191x4mm</t>
        </is>
      </c>
      <c r="F223" s="1" t="inlineStr">
        <is>
          <t>m2</t>
        </is>
      </c>
      <c r="G223" s="1" t="inlineStr">
        <is>
          <t>LVT</t>
        </is>
      </c>
      <c r="H223" s="1" t="inlineStr">
        <is>
          <t>Matt</t>
        </is>
      </c>
      <c r="I223" t="n">
        <v>148</v>
      </c>
    </row>
    <row r="224">
      <c r="A224" s="1">
        <f>Hyperlink("https://www.tilemountain.co.uk/p/comet-grey-square-stone-mosaic.html","Product")</f>
        <v/>
      </c>
      <c r="B224" s="1" t="inlineStr">
        <is>
          <t>450040</t>
        </is>
      </c>
      <c r="C224" s="1" t="inlineStr">
        <is>
          <t>Comet Grey Square Stone Mosaic 300x300</t>
        </is>
      </c>
      <c r="D224" s="1" t="n">
        <v>15.49</v>
      </c>
      <c r="E224" s="1" t="inlineStr">
        <is>
          <t>300x300mm</t>
        </is>
      </c>
      <c r="F224" s="1" t="inlineStr">
        <is>
          <t>sheet</t>
        </is>
      </c>
      <c r="G224" s="1" t="inlineStr">
        <is>
          <t>Stone</t>
        </is>
      </c>
      <c r="H224" s="1" t="inlineStr">
        <is>
          <t>Gloss</t>
        </is>
      </c>
      <c r="I224" t="inlineStr">
        <is>
          <t>In Stock</t>
        </is>
      </c>
    </row>
    <row r="225">
      <c r="A225" s="1">
        <f>Hyperlink("https://www.tilemountain.co.uk/p/comet-rose-square-stone-mosaic.html","Product")</f>
        <v/>
      </c>
      <c r="B225" s="1" t="inlineStr">
        <is>
          <t>450045</t>
        </is>
      </c>
      <c r="C225" s="1" t="inlineStr">
        <is>
          <t>Comet Rose Square Stone Mosaic 300x300</t>
        </is>
      </c>
      <c r="D225" s="1" t="n">
        <v>15.49</v>
      </c>
      <c r="E225" s="1" t="inlineStr">
        <is>
          <t>300x300mm</t>
        </is>
      </c>
      <c r="F225" s="1" t="inlineStr">
        <is>
          <t>sheet</t>
        </is>
      </c>
      <c r="G225" s="1" t="inlineStr">
        <is>
          <t>Stone</t>
        </is>
      </c>
      <c r="H225" s="1" t="inlineStr">
        <is>
          <t>Gloss</t>
        </is>
      </c>
      <c r="I225" t="n">
        <v>56</v>
      </c>
    </row>
    <row r="226">
      <c r="A226" s="1">
        <f>Hyperlink("https://www.tilemountain.co.uk/p/comet-white-square-stone-mosaic.html","Product")</f>
        <v/>
      </c>
      <c r="B226" s="1" t="inlineStr">
        <is>
          <t>450050</t>
        </is>
      </c>
      <c r="C226" s="1" t="inlineStr">
        <is>
          <t>Comet White Square Stone Mosaic 300x300</t>
        </is>
      </c>
      <c r="D226" s="1" t="n">
        <v>15.49</v>
      </c>
      <c r="E226" s="1" t="inlineStr">
        <is>
          <t>300x300mm</t>
        </is>
      </c>
      <c r="F226" s="1" t="inlineStr">
        <is>
          <t>sheet</t>
        </is>
      </c>
      <c r="G226" s="1" t="inlineStr">
        <is>
          <t>Stone</t>
        </is>
      </c>
      <c r="H226" s="1" t="inlineStr">
        <is>
          <t>Gloss</t>
        </is>
      </c>
      <c r="I226" t="inlineStr">
        <is>
          <t>In Stock</t>
        </is>
      </c>
    </row>
    <row r="227">
      <c r="A227" s="1">
        <f>Hyperlink("https://www.tilemountain.co.uk/p/comfort-grip-tile-nippers.html","Product")</f>
        <v/>
      </c>
      <c r="B227" s="1" t="inlineStr">
        <is>
          <t>434200</t>
        </is>
      </c>
      <c r="C227" s="1" t="inlineStr">
        <is>
          <t>Comfort Grip Tile Nippers</t>
        </is>
      </c>
      <c r="D227" s="1" t="n">
        <v>13.99</v>
      </c>
      <c r="E227" s="1" t="inlineStr">
        <is>
          <t>-</t>
        </is>
      </c>
      <c r="F227" s="1" t="inlineStr">
        <is>
          <t>Qty</t>
        </is>
      </c>
      <c r="G227" s="1" t="inlineStr">
        <is>
          <t>-</t>
        </is>
      </c>
      <c r="H227" s="1" t="inlineStr">
        <is>
          <t>-</t>
        </is>
      </c>
      <c r="I227" t="inlineStr">
        <is>
          <t xml:space="preserve">Out Of Stock </t>
        </is>
      </c>
    </row>
    <row r="228">
      <c r="A228" s="1">
        <f>Hyperlink("https://www.tilemountain.co.uk/p/concrete-black-decor-tile.html","Product")</f>
        <v/>
      </c>
      <c r="B228" s="1" t="inlineStr">
        <is>
          <t>446515</t>
        </is>
      </c>
      <c r="C228" s="1" t="inlineStr">
        <is>
          <t>Concretia Grey Decor Outdoor Slab Tiles</t>
        </is>
      </c>
      <c r="D228" s="1" t="n">
        <v>42.99</v>
      </c>
      <c r="E228" s="1" t="inlineStr">
        <is>
          <t>600x600mm</t>
        </is>
      </c>
      <c r="F228" s="1" t="inlineStr">
        <is>
          <t>m2</t>
        </is>
      </c>
      <c r="G228" s="1" t="inlineStr">
        <is>
          <t>Porcelain</t>
        </is>
      </c>
      <c r="H228" s="1" t="inlineStr">
        <is>
          <t>Matt</t>
        </is>
      </c>
      <c r="I228" t="n">
        <v>341</v>
      </c>
    </row>
    <row r="229">
      <c r="A229" s="1">
        <f>Hyperlink("https://www.tilemountain.co.uk/p/concrete-black.html","Product")</f>
        <v/>
      </c>
      <c r="B229" s="1" t="inlineStr">
        <is>
          <t>446500</t>
        </is>
      </c>
      <c r="C229" s="1" t="inlineStr">
        <is>
          <t>Concretia Black Outdoor Slab Tiles</t>
        </is>
      </c>
      <c r="D229" s="1" t="n">
        <v>39.99</v>
      </c>
      <c r="E229" s="1" t="inlineStr">
        <is>
          <t>600x600mm</t>
        </is>
      </c>
      <c r="F229" s="1" t="inlineStr">
        <is>
          <t>m2</t>
        </is>
      </c>
      <c r="G229" s="1" t="inlineStr">
        <is>
          <t>Porcelain</t>
        </is>
      </c>
      <c r="H229" s="1" t="inlineStr">
        <is>
          <t>Matt</t>
        </is>
      </c>
      <c r="I229" t="n">
        <v>106</v>
      </c>
    </row>
    <row r="230">
      <c r="A230" s="1">
        <f>Hyperlink("https://www.tilemountain.co.uk/p/concrete-grey-decor-tile.html","Product")</f>
        <v/>
      </c>
      <c r="B230" s="1" t="inlineStr">
        <is>
          <t>446510</t>
        </is>
      </c>
      <c r="C230" s="1" t="inlineStr">
        <is>
          <t>Concretia Black Decor Outdoor Slab Tiles</t>
        </is>
      </c>
      <c r="D230" s="1" t="n">
        <v>42.99</v>
      </c>
      <c r="E230" s="1" t="inlineStr">
        <is>
          <t>600x600mm</t>
        </is>
      </c>
      <c r="F230" s="1" t="inlineStr">
        <is>
          <t>m2</t>
        </is>
      </c>
      <c r="G230" s="1" t="inlineStr">
        <is>
          <t>Porcelain</t>
        </is>
      </c>
      <c r="H230" s="1" t="inlineStr">
        <is>
          <t>Matt</t>
        </is>
      </c>
      <c r="I230" t="n">
        <v>134</v>
      </c>
    </row>
    <row r="231">
      <c r="A231" s="1">
        <f>Hyperlink("https://www.tilemountain.co.uk/p/concrete-grey.html","Product")</f>
        <v/>
      </c>
      <c r="B231" s="1" t="inlineStr">
        <is>
          <t>446495</t>
        </is>
      </c>
      <c r="C231" s="1" t="inlineStr">
        <is>
          <t>Concretia Grey Outdoor Slab Tiles</t>
        </is>
      </c>
      <c r="D231" s="1" t="n">
        <v>39.99</v>
      </c>
      <c r="E231" s="1" t="inlineStr">
        <is>
          <t>600x600mm</t>
        </is>
      </c>
      <c r="F231" s="1" t="inlineStr">
        <is>
          <t>m2</t>
        </is>
      </c>
      <c r="G231" s="1" t="inlineStr">
        <is>
          <t>Porcelain</t>
        </is>
      </c>
      <c r="H231" s="1" t="inlineStr">
        <is>
          <t>Matt</t>
        </is>
      </c>
      <c r="I231" t="n">
        <v>396</v>
      </c>
    </row>
    <row r="232">
      <c r="A232" s="1">
        <f>Hyperlink("https://www.tilemountain.co.uk/p/concrete-project-conproj-36dg.html","Product")</f>
        <v/>
      </c>
      <c r="B232" s="1" t="inlineStr">
        <is>
          <t>441600</t>
        </is>
      </c>
      <c r="C232" s="1" t="inlineStr">
        <is>
          <t>Concrete Dark Grey Matt Floor Tiles</t>
        </is>
      </c>
      <c r="D232" s="1" t="n">
        <v>36.99</v>
      </c>
      <c r="E232" s="1" t="inlineStr">
        <is>
          <t>600x300mm</t>
        </is>
      </c>
      <c r="F232" s="1" t="inlineStr">
        <is>
          <t>m2</t>
        </is>
      </c>
      <c r="G232" s="1" t="inlineStr">
        <is>
          <t>Porcelain</t>
        </is>
      </c>
      <c r="H232" s="1" t="inlineStr">
        <is>
          <t>Matt</t>
        </is>
      </c>
      <c r="I232" t="n">
        <v>202</v>
      </c>
    </row>
    <row r="233">
      <c r="A233" s="1">
        <f>Hyperlink("https://www.tilemountain.co.uk/p/concrete-project-conproj-36g.html","Product")</f>
        <v/>
      </c>
      <c r="B233" s="1" t="inlineStr">
        <is>
          <t>441605</t>
        </is>
      </c>
      <c r="C233" s="1" t="inlineStr">
        <is>
          <t>Concrete Grey Matt Floor Tiles</t>
        </is>
      </c>
      <c r="D233" s="1" t="n">
        <v>36.99</v>
      </c>
      <c r="E233" s="1" t="inlineStr">
        <is>
          <t>600x300mm</t>
        </is>
      </c>
      <c r="F233" s="1" t="inlineStr">
        <is>
          <t>m2</t>
        </is>
      </c>
      <c r="G233" s="1" t="inlineStr">
        <is>
          <t>Porcelain</t>
        </is>
      </c>
      <c r="H233" s="1" t="inlineStr">
        <is>
          <t>Matt</t>
        </is>
      </c>
      <c r="I233" t="n">
        <v>44</v>
      </c>
    </row>
    <row r="234">
      <c r="A234" s="1">
        <f>Hyperlink("https://www.tilemountain.co.uk/p/concrete-project-conproj-60dg.html","Product")</f>
        <v/>
      </c>
      <c r="B234" s="1" t="inlineStr">
        <is>
          <t>441510</t>
        </is>
      </c>
      <c r="C234" s="1" t="inlineStr">
        <is>
          <t>Concrete Dark Grey Matt Floor Tiles</t>
        </is>
      </c>
      <c r="D234" s="1" t="n">
        <v>39.99</v>
      </c>
      <c r="E234" s="1" t="inlineStr">
        <is>
          <t>600x600mm</t>
        </is>
      </c>
      <c r="F234" s="1" t="inlineStr">
        <is>
          <t>m2</t>
        </is>
      </c>
      <c r="G234" s="1" t="inlineStr">
        <is>
          <t>Porcelain</t>
        </is>
      </c>
      <c r="H234" s="1" t="inlineStr">
        <is>
          <t>Matt</t>
        </is>
      </c>
      <c r="I234" t="n">
        <v>56</v>
      </c>
    </row>
    <row r="235">
      <c r="A235" s="1">
        <f>Hyperlink("https://www.tilemountain.co.uk/p/concrete-project-conproj-60g.html","Product")</f>
        <v/>
      </c>
      <c r="B235" s="1" t="inlineStr">
        <is>
          <t>441515</t>
        </is>
      </c>
      <c r="C235" s="1" t="inlineStr">
        <is>
          <t>Concrete Grey Matt Floor Tiles</t>
        </is>
      </c>
      <c r="D235" s="1" t="n">
        <v>39.99</v>
      </c>
      <c r="E235" s="1" t="inlineStr">
        <is>
          <t>600x600mm</t>
        </is>
      </c>
      <c r="F235" s="1" t="inlineStr">
        <is>
          <t>m2</t>
        </is>
      </c>
      <c r="G235" s="1" t="inlineStr">
        <is>
          <t>Porcelain</t>
        </is>
      </c>
      <c r="H235" s="1" t="inlineStr">
        <is>
          <t>Matt</t>
        </is>
      </c>
      <c r="I235" t="n">
        <v>218</v>
      </c>
    </row>
    <row r="236">
      <c r="A236" s="1">
        <f>Hyperlink("https://www.tilemountain.co.uk/p/concrete-white-decor-tile.html","Product")</f>
        <v/>
      </c>
      <c r="B236" s="1" t="inlineStr">
        <is>
          <t>446505</t>
        </is>
      </c>
      <c r="C236" s="1" t="inlineStr">
        <is>
          <t>Concretia White Decor Outdoor Slab Tiles</t>
        </is>
      </c>
      <c r="D236" s="1" t="n">
        <v>42.99</v>
      </c>
      <c r="E236" s="1" t="inlineStr">
        <is>
          <t>600x600mm</t>
        </is>
      </c>
      <c r="F236" s="1" t="inlineStr">
        <is>
          <t>m2</t>
        </is>
      </c>
      <c r="G236" s="1" t="inlineStr">
        <is>
          <t>Porcelain</t>
        </is>
      </c>
      <c r="H236" s="1" t="inlineStr">
        <is>
          <t>Matt</t>
        </is>
      </c>
      <c r="I236" t="n">
        <v>27</v>
      </c>
    </row>
    <row r="237">
      <c r="A237" s="1">
        <f>Hyperlink("https://www.tilemountain.co.uk/p/contemporary-wood-classic-wall-floor-tile-22-5x120cm.html","Product")</f>
        <v/>
      </c>
      <c r="B237" s="1" t="inlineStr">
        <is>
          <t>300410</t>
        </is>
      </c>
      <c r="C237" s="1" t="inlineStr">
        <is>
          <t>Contemporary Wood Classic Wall &amp; Floor Tiles</t>
        </is>
      </c>
      <c r="D237" s="1" t="n">
        <v>23</v>
      </c>
      <c r="E237" s="1" t="inlineStr">
        <is>
          <t>1200x225mm</t>
        </is>
      </c>
      <c r="F237" s="1" t="inlineStr">
        <is>
          <t>m2</t>
        </is>
      </c>
      <c r="G237" s="1" t="inlineStr">
        <is>
          <t>Porcelain</t>
        </is>
      </c>
      <c r="H237" s="1" t="inlineStr">
        <is>
          <t>Matt</t>
        </is>
      </c>
      <c r="I237" t="n">
        <v>121</v>
      </c>
    </row>
    <row r="238">
      <c r="A238" s="1">
        <f>Hyperlink("https://www.tilemountain.co.uk/p/coolwood-grey-wood-effect-rectified-porcelain-tile.html","Product")</f>
        <v/>
      </c>
      <c r="B238" s="1" t="inlineStr">
        <is>
          <t>449785</t>
        </is>
      </c>
      <c r="C238" s="1" t="inlineStr">
        <is>
          <t>Coolwood Grey Wood Effect Rectified Porcelain Floor Tile</t>
        </is>
      </c>
      <c r="D238" s="1" t="n">
        <v>17.99</v>
      </c>
      <c r="E238" s="1" t="inlineStr">
        <is>
          <t>1200x230mm</t>
        </is>
      </c>
      <c r="F238" s="1" t="inlineStr">
        <is>
          <t>m2</t>
        </is>
      </c>
      <c r="G238" s="1" t="inlineStr">
        <is>
          <t>Porcelain</t>
        </is>
      </c>
      <c r="H238" s="1" t="inlineStr">
        <is>
          <t>Matt</t>
        </is>
      </c>
      <c r="I238" t="n">
        <v>156</v>
      </c>
    </row>
    <row r="239">
      <c r="A239" s="1">
        <f>Hyperlink("https://www.tilemountain.co.uk/p/coolwood-natural-wood-effect-rectified-porcelain-tile.html","Product")</f>
        <v/>
      </c>
      <c r="B239" s="1" t="inlineStr">
        <is>
          <t>449790</t>
        </is>
      </c>
      <c r="C239" s="1" t="inlineStr">
        <is>
          <t>Coolwood Natural Wood Effect Rectified Porcelain Floor Tile</t>
        </is>
      </c>
      <c r="D239" s="1" t="n">
        <v>17.99</v>
      </c>
      <c r="E239" s="1" t="inlineStr">
        <is>
          <t>1200x230mm</t>
        </is>
      </c>
      <c r="F239" s="1" t="inlineStr">
        <is>
          <t>m2</t>
        </is>
      </c>
      <c r="G239" s="1" t="inlineStr">
        <is>
          <t>Porcelain</t>
        </is>
      </c>
      <c r="H239" s="1" t="inlineStr">
        <is>
          <t>Matt</t>
        </is>
      </c>
      <c r="I239" t="n">
        <v>170</v>
      </c>
    </row>
    <row r="240">
      <c r="A240" s="1">
        <f>Hyperlink("https://www.tilemountain.co.uk/p/country-honey-floor-tile.html","Product")</f>
        <v/>
      </c>
      <c r="B240" s="1" t="inlineStr">
        <is>
          <t>435315</t>
        </is>
      </c>
      <c r="C240" s="1" t="inlineStr">
        <is>
          <t>Country Honey Wood Effect Wall and Floor Tiles</t>
        </is>
      </c>
      <c r="D240" s="1" t="n">
        <v>20.99</v>
      </c>
      <c r="E240" s="1" t="inlineStr">
        <is>
          <t>900x147mm</t>
        </is>
      </c>
      <c r="F240" s="1" t="inlineStr">
        <is>
          <t>m2</t>
        </is>
      </c>
      <c r="G240" s="1" t="inlineStr">
        <is>
          <t>Porcelain</t>
        </is>
      </c>
      <c r="H240" s="1" t="inlineStr">
        <is>
          <t>Matt</t>
        </is>
      </c>
      <c r="I240" t="n">
        <v>624</v>
      </c>
    </row>
    <row r="241">
      <c r="A241" s="1">
        <f>Hyperlink("https://www.tilemountain.co.uk/p/crackle-biscuit-liso-gloss-cream-75x150.html","Product")</f>
        <v/>
      </c>
      <c r="B241" s="1" t="inlineStr">
        <is>
          <t>449630</t>
        </is>
      </c>
      <c r="C241" s="1" t="inlineStr">
        <is>
          <t>Crackle Biscuit Liso Gloss Cream</t>
        </is>
      </c>
      <c r="D241" s="1" t="n">
        <v>32.89</v>
      </c>
      <c r="E241" s="1" t="inlineStr">
        <is>
          <t>150x75mm</t>
        </is>
      </c>
      <c r="F241" s="1" t="inlineStr">
        <is>
          <t>m2</t>
        </is>
      </c>
      <c r="G241" s="1" t="inlineStr">
        <is>
          <t>Ceramic</t>
        </is>
      </c>
      <c r="H241" s="1" t="inlineStr">
        <is>
          <t>Gloss</t>
        </is>
      </c>
      <c r="I241" t="inlineStr">
        <is>
          <t xml:space="preserve">Out Of Stock </t>
        </is>
      </c>
    </row>
    <row r="242">
      <c r="A242" s="1">
        <f>Hyperlink("https://www.tilemountain.co.uk/p/crackle-glaze-abbey-road-wall-floor-tiles-7-5x15cm.html","Product")</f>
        <v/>
      </c>
      <c r="B242" s="1" t="inlineStr">
        <is>
          <t>200785</t>
        </is>
      </c>
      <c r="C242" s="1" t="inlineStr">
        <is>
          <t>Crackle Glaze Abbey Road Wall Tiles</t>
        </is>
      </c>
      <c r="D242" s="1" t="n">
        <v>34.67</v>
      </c>
      <c r="E242" s="1" t="inlineStr">
        <is>
          <t>150x75mm</t>
        </is>
      </c>
      <c r="F242" s="1" t="inlineStr">
        <is>
          <t>m2</t>
        </is>
      </c>
      <c r="G242" s="1" t="inlineStr">
        <is>
          <t>Ceramic</t>
        </is>
      </c>
      <c r="H242" s="1" t="inlineStr">
        <is>
          <t>Gloss</t>
        </is>
      </c>
      <c r="I242" t="n">
        <v>90</v>
      </c>
    </row>
    <row r="243">
      <c r="A243" s="1">
        <f>Hyperlink("https://www.tilemountain.co.uk/p/crackle-glaze-camberwell-wall-tiles-7-5x15cm.html","Product")</f>
        <v/>
      </c>
      <c r="B243" s="1" t="inlineStr">
        <is>
          <t>200790</t>
        </is>
      </c>
      <c r="C243" s="1" t="inlineStr">
        <is>
          <t>Crackle Glaze Camberwell Wall Tiles</t>
        </is>
      </c>
      <c r="D243" s="1" t="n">
        <v>34.67</v>
      </c>
      <c r="E243" s="1" t="inlineStr">
        <is>
          <t>150x75mm</t>
        </is>
      </c>
      <c r="F243" s="1" t="inlineStr">
        <is>
          <t>m2</t>
        </is>
      </c>
      <c r="G243" s="1" t="inlineStr">
        <is>
          <t>Ceramic</t>
        </is>
      </c>
      <c r="H243" s="1" t="inlineStr">
        <is>
          <t>Gloss</t>
        </is>
      </c>
      <c r="I243" t="n">
        <v>19</v>
      </c>
    </row>
    <row r="244">
      <c r="A244" s="1">
        <f>Hyperlink("https://www.tilemountain.co.uk/p/crackle-glaze-greenwich-park-subway-wall-tiles-7-5x15cm.html","Product")</f>
        <v/>
      </c>
      <c r="B244" s="1" t="inlineStr">
        <is>
          <t>1000340</t>
        </is>
      </c>
      <c r="C244" s="1" t="inlineStr">
        <is>
          <t>Crackle Glaze Greenwich Park subway Wall Tiles</t>
        </is>
      </c>
      <c r="D244" s="1" t="n">
        <v>51.56</v>
      </c>
      <c r="E244" s="1" t="inlineStr">
        <is>
          <t>150x75mm</t>
        </is>
      </c>
      <c r="F244" s="1" t="inlineStr">
        <is>
          <t>m2</t>
        </is>
      </c>
      <c r="G244" s="1" t="inlineStr">
        <is>
          <t>Ceramic</t>
        </is>
      </c>
      <c r="H244" s="1" t="inlineStr">
        <is>
          <t>Gloss</t>
        </is>
      </c>
      <c r="I244" t="n">
        <v>208</v>
      </c>
    </row>
    <row r="245">
      <c r="A245" s="1">
        <f>Hyperlink("https://www.tilemountain.co.uk/p/crackle-glaze-hyde-park-green-subway-wall-tiles-7-5x15cm_1.html","Product")</f>
        <v/>
      </c>
      <c r="B245" s="1" t="inlineStr">
        <is>
          <t>1000360</t>
        </is>
      </c>
      <c r="C245" s="1" t="inlineStr">
        <is>
          <t>Crackle Glaze Hyde Park Green subway Wall Tiles</t>
        </is>
      </c>
      <c r="D245" s="1" t="n">
        <v>42.99</v>
      </c>
      <c r="E245" s="1" t="inlineStr">
        <is>
          <t>150x75mm</t>
        </is>
      </c>
      <c r="F245" s="1" t="inlineStr">
        <is>
          <t>m2</t>
        </is>
      </c>
      <c r="G245" s="1" t="inlineStr">
        <is>
          <t>Ceramic</t>
        </is>
      </c>
      <c r="H245" s="1" t="inlineStr">
        <is>
          <t>Gloss</t>
        </is>
      </c>
      <c r="I245" t="n">
        <v>36</v>
      </c>
    </row>
    <row r="246">
      <c r="A246" s="1">
        <f>Hyperlink("https://www.tilemountain.co.uk/p/crackle-glaze-maida-vale-xl-wall-tiles-10x30cm.html","Product")</f>
        <v/>
      </c>
      <c r="B246" s="1" t="inlineStr">
        <is>
          <t>1006410</t>
        </is>
      </c>
      <c r="C246" s="1" t="inlineStr">
        <is>
          <t>Crackle Glaze Maida Vale XL Wall Tiles</t>
        </is>
      </c>
      <c r="D246" s="1" t="n">
        <v>45</v>
      </c>
      <c r="E246" s="1" t="inlineStr">
        <is>
          <t>300x100mm</t>
        </is>
      </c>
      <c r="F246" s="1" t="inlineStr">
        <is>
          <t>m2</t>
        </is>
      </c>
      <c r="G246" s="1" t="inlineStr">
        <is>
          <t>Ceramic</t>
        </is>
      </c>
      <c r="H246" s="1" t="inlineStr">
        <is>
          <t>Gloss</t>
        </is>
      </c>
      <c r="I246" t="inlineStr">
        <is>
          <t>In Stock</t>
        </is>
      </c>
    </row>
    <row r="247">
      <c r="A247" s="1">
        <f>Hyperlink("https://www.tilemountain.co.uk/p/crackle-glaze-peacock-subway-wall-tiles-7-5x15cm.html","Product")</f>
        <v/>
      </c>
      <c r="B247" s="1" t="inlineStr">
        <is>
          <t>1008175</t>
        </is>
      </c>
      <c r="C247" s="1" t="inlineStr">
        <is>
          <t>Crackle Glaze Peacock Subway Wall Tiles</t>
        </is>
      </c>
      <c r="D247" s="1" t="n">
        <v>51.56</v>
      </c>
      <c r="E247" s="1" t="inlineStr">
        <is>
          <t>150x75mm</t>
        </is>
      </c>
      <c r="F247" s="1" t="inlineStr">
        <is>
          <t>m2</t>
        </is>
      </c>
      <c r="G247" s="1" t="inlineStr">
        <is>
          <t>Ceramic</t>
        </is>
      </c>
      <c r="H247" s="1" t="inlineStr">
        <is>
          <t>Gloss</t>
        </is>
      </c>
      <c r="I247" t="n">
        <v>86</v>
      </c>
    </row>
    <row r="248">
      <c r="A248" s="1">
        <f>Hyperlink("https://www.tilemountain.co.uk/p/crackle-glaze-snow-subway-wall-tiles-7-5x15cm.html","Product")</f>
        <v/>
      </c>
      <c r="B248" s="1" t="inlineStr">
        <is>
          <t>1008245</t>
        </is>
      </c>
      <c r="C248" s="1" t="inlineStr">
        <is>
          <t>Crackle Glaze Snow Subway Wall Tiles</t>
        </is>
      </c>
      <c r="D248" s="1" t="n">
        <v>34.67</v>
      </c>
      <c r="E248" s="1" t="inlineStr">
        <is>
          <t>150x75mm</t>
        </is>
      </c>
      <c r="F248" s="1" t="inlineStr">
        <is>
          <t>m2</t>
        </is>
      </c>
      <c r="G248" s="1" t="inlineStr">
        <is>
          <t>Ceramic</t>
        </is>
      </c>
      <c r="H248" s="1" t="inlineStr">
        <is>
          <t>Gloss</t>
        </is>
      </c>
      <c r="I248" t="n">
        <v>54</v>
      </c>
    </row>
    <row r="249">
      <c r="A249" s="1">
        <f>Hyperlink("https://www.tilemountain.co.uk/p/crackle-glaze-white-chapel-subway-wall-tiles-7-5x15cm.html","Product")</f>
        <v/>
      </c>
      <c r="B249" s="1" t="inlineStr">
        <is>
          <t>1000390</t>
        </is>
      </c>
      <c r="C249" s="1" t="inlineStr">
        <is>
          <t>Crackle Glaze White Chapel subway Wall Tiles</t>
        </is>
      </c>
      <c r="D249" s="1" t="n">
        <v>51.56</v>
      </c>
      <c r="E249" s="1" t="inlineStr">
        <is>
          <t>150x75mm</t>
        </is>
      </c>
      <c r="F249" s="1" t="inlineStr">
        <is>
          <t>m2</t>
        </is>
      </c>
      <c r="G249" s="1" t="inlineStr">
        <is>
          <t>Ceramic</t>
        </is>
      </c>
      <c r="H249" s="1" t="inlineStr">
        <is>
          <t>Gloss</t>
        </is>
      </c>
      <c r="I249" t="n">
        <v>107</v>
      </c>
    </row>
    <row r="250">
      <c r="A250" s="1">
        <f>Hyperlink("https://www.tilemountain.co.uk/p/crackle-glaze-white-chapel-xl-wall-tile-10x30cm_1.html","Product")</f>
        <v/>
      </c>
      <c r="B250" s="1" t="inlineStr">
        <is>
          <t>1006405</t>
        </is>
      </c>
      <c r="C250" s="1" t="inlineStr">
        <is>
          <t>Crackle Glaze White Chapel XL Wall Tiles</t>
        </is>
      </c>
      <c r="D250" s="1" t="n">
        <v>48</v>
      </c>
      <c r="E250" s="1" t="inlineStr">
        <is>
          <t>300x100mm</t>
        </is>
      </c>
      <c r="F250" s="1" t="inlineStr">
        <is>
          <t>m2</t>
        </is>
      </c>
      <c r="G250" s="1" t="inlineStr">
        <is>
          <t>Ceramic</t>
        </is>
      </c>
      <c r="H250" s="1" t="inlineStr">
        <is>
          <t>Gloss</t>
        </is>
      </c>
      <c r="I250" t="inlineStr">
        <is>
          <t>In Stock</t>
        </is>
      </c>
    </row>
    <row r="251">
      <c r="A251" s="1">
        <f>Hyperlink("https://www.tilemountain.co.uk/p/cracovia-grey.html","Product")</f>
        <v/>
      </c>
      <c r="B251" s="1" t="inlineStr">
        <is>
          <t>454795</t>
        </is>
      </c>
      <c r="C251" s="1" t="inlineStr">
        <is>
          <t>Cracovia Grey Outdoor Matt Porcelain Slab Tiles</t>
        </is>
      </c>
      <c r="D251" s="1" t="n">
        <v>28.99</v>
      </c>
      <c r="E251" s="1" t="inlineStr">
        <is>
          <t>600x600mm</t>
        </is>
      </c>
      <c r="F251" s="1" t="inlineStr">
        <is>
          <t>m2</t>
        </is>
      </c>
      <c r="G251" s="1" t="inlineStr">
        <is>
          <t>Porcelain</t>
        </is>
      </c>
      <c r="H251" s="1" t="inlineStr">
        <is>
          <t>Matt</t>
        </is>
      </c>
      <c r="I251" t="n">
        <v>581</v>
      </c>
    </row>
    <row r="252">
      <c r="A252" s="1">
        <f>Hyperlink("https://www.tilemountain.co.uk/p/craquele-bone-wall-tile.html","Product")</f>
        <v/>
      </c>
      <c r="B252" s="1" t="inlineStr">
        <is>
          <t>436180</t>
        </is>
      </c>
      <c r="C252" s="1" t="inlineStr">
        <is>
          <t>Craquele Bone Wall Tiles</t>
        </is>
      </c>
      <c r="D252" s="1" t="n">
        <v>34.99</v>
      </c>
      <c r="E252" s="1" t="inlineStr">
        <is>
          <t>150x75mm</t>
        </is>
      </c>
      <c r="F252" s="1" t="inlineStr">
        <is>
          <t>m2</t>
        </is>
      </c>
      <c r="G252" s="1" t="inlineStr">
        <is>
          <t>Ceramic</t>
        </is>
      </c>
      <c r="H252" s="1" t="inlineStr">
        <is>
          <t>Gloss</t>
        </is>
      </c>
      <c r="I252" t="n">
        <v>314</v>
      </c>
    </row>
    <row r="253">
      <c r="A253" s="1">
        <f>Hyperlink("https://www.tilemountain.co.uk/p/craquele-cream-wall-tile.html","Product")</f>
        <v/>
      </c>
      <c r="B253" s="1" t="inlineStr">
        <is>
          <t>436175</t>
        </is>
      </c>
      <c r="C253" s="1" t="inlineStr">
        <is>
          <t>Craquele Cream Wall Tiles</t>
        </is>
      </c>
      <c r="D253" s="1" t="n">
        <v>34.99</v>
      </c>
      <c r="E253" s="1" t="inlineStr">
        <is>
          <t>150x75mm</t>
        </is>
      </c>
      <c r="F253" s="1" t="inlineStr">
        <is>
          <t>m2</t>
        </is>
      </c>
      <c r="G253" s="1" t="inlineStr">
        <is>
          <t>Ceramic</t>
        </is>
      </c>
      <c r="H253" s="1" t="inlineStr">
        <is>
          <t>Gloss</t>
        </is>
      </c>
      <c r="I253" t="n">
        <v>217</v>
      </c>
    </row>
    <row r="254">
      <c r="A254" s="1">
        <f>Hyperlink("https://www.tilemountain.co.uk/p/craquele-dove-wall-tile.html","Product")</f>
        <v/>
      </c>
      <c r="B254" s="1" t="inlineStr">
        <is>
          <t>439540</t>
        </is>
      </c>
      <c r="C254" s="1" t="inlineStr">
        <is>
          <t>Craquele Dove Wall Tiles</t>
        </is>
      </c>
      <c r="D254" s="1" t="n">
        <v>34.99</v>
      </c>
      <c r="E254" s="1" t="inlineStr">
        <is>
          <t>150x75mm</t>
        </is>
      </c>
      <c r="F254" s="1" t="inlineStr">
        <is>
          <t>m2</t>
        </is>
      </c>
      <c r="G254" s="1" t="inlineStr">
        <is>
          <t>Ceramic</t>
        </is>
      </c>
      <c r="H254" s="1" t="inlineStr">
        <is>
          <t>Gloss</t>
        </is>
      </c>
      <c r="I254" t="n">
        <v>73</v>
      </c>
    </row>
    <row r="255">
      <c r="A255" s="1">
        <f>Hyperlink("https://www.tilemountain.co.uk/p/craquele-grey-wall-tile.html","Product")</f>
        <v/>
      </c>
      <c r="B255" s="1" t="inlineStr">
        <is>
          <t>436185</t>
        </is>
      </c>
      <c r="C255" s="1" t="inlineStr">
        <is>
          <t>Craquele Grey Wall Tiles</t>
        </is>
      </c>
      <c r="D255" s="1" t="n">
        <v>34.99</v>
      </c>
      <c r="E255" s="1" t="inlineStr">
        <is>
          <t>150x75mm</t>
        </is>
      </c>
      <c r="F255" s="1" t="inlineStr">
        <is>
          <t>m2</t>
        </is>
      </c>
      <c r="G255" s="1" t="inlineStr">
        <is>
          <t>Ceramic</t>
        </is>
      </c>
      <c r="H255" s="1" t="inlineStr">
        <is>
          <t>Gloss</t>
        </is>
      </c>
      <c r="I255" t="n">
        <v>185</v>
      </c>
    </row>
    <row r="256">
      <c r="A256" s="1">
        <f>Hyperlink("https://www.tilemountain.co.uk/p/craquele-mint-wall-tile.html","Product")</f>
        <v/>
      </c>
      <c r="B256" s="1" t="inlineStr">
        <is>
          <t>439530</t>
        </is>
      </c>
      <c r="C256" s="1" t="inlineStr">
        <is>
          <t>Craquele Mint Wall Tiles</t>
        </is>
      </c>
      <c r="D256" s="1" t="n">
        <v>34.99</v>
      </c>
      <c r="E256" s="1" t="inlineStr">
        <is>
          <t>150x75mm</t>
        </is>
      </c>
      <c r="F256" s="1" t="inlineStr">
        <is>
          <t>m2</t>
        </is>
      </c>
      <c r="G256" s="1" t="inlineStr">
        <is>
          <t>Ceramic</t>
        </is>
      </c>
      <c r="H256" s="1" t="inlineStr">
        <is>
          <t>Gloss</t>
        </is>
      </c>
      <c r="I256" t="n">
        <v>81</v>
      </c>
    </row>
    <row r="257">
      <c r="A257" s="1">
        <f>Hyperlink("https://www.tilemountain.co.uk/p/craquele-olive-wall-tile.html","Product")</f>
        <v/>
      </c>
      <c r="B257" s="1" t="inlineStr">
        <is>
          <t>439535</t>
        </is>
      </c>
      <c r="C257" s="1" t="inlineStr">
        <is>
          <t>Craquele Olive Wall Tiles</t>
        </is>
      </c>
      <c r="D257" s="1" t="n">
        <v>34.99</v>
      </c>
      <c r="E257" s="1" t="inlineStr">
        <is>
          <t>150x75mm</t>
        </is>
      </c>
      <c r="F257" s="1" t="inlineStr">
        <is>
          <t>m2</t>
        </is>
      </c>
      <c r="G257" s="1" t="inlineStr">
        <is>
          <t>Ceramic</t>
        </is>
      </c>
      <c r="H257" s="1" t="inlineStr">
        <is>
          <t>Gloss</t>
        </is>
      </c>
      <c r="I257" t="n">
        <v>248</v>
      </c>
    </row>
    <row r="258">
      <c r="A258" s="1">
        <f>Hyperlink("https://www.tilemountain.co.uk/p/craquele-white-wall-tile.html","Product")</f>
        <v/>
      </c>
      <c r="B258" s="1" t="inlineStr">
        <is>
          <t>436190</t>
        </is>
      </c>
      <c r="C258" s="1" t="inlineStr">
        <is>
          <t>Craquele White Wall Tiles</t>
        </is>
      </c>
      <c r="D258" s="1" t="n">
        <v>34.99</v>
      </c>
      <c r="E258" s="1" t="inlineStr">
        <is>
          <t>150x75mm</t>
        </is>
      </c>
      <c r="F258" s="1" t="inlineStr">
        <is>
          <t>m2</t>
        </is>
      </c>
      <c r="G258" s="1" t="inlineStr">
        <is>
          <t>Ceramic</t>
        </is>
      </c>
      <c r="H258" s="1" t="inlineStr">
        <is>
          <t>Gloss</t>
        </is>
      </c>
      <c r="I258" t="n">
        <v>308</v>
      </c>
    </row>
    <row r="259">
      <c r="A259" s="1">
        <f>Hyperlink("https://www.tilemountain.co.uk/p/cumulus-grey-matt-porcelain-floor-tile_1.html","Product")</f>
        <v/>
      </c>
      <c r="B259" s="1" t="inlineStr">
        <is>
          <t>448430</t>
        </is>
      </c>
      <c r="C259" s="1" t="inlineStr">
        <is>
          <t>Cumulus Grey Matt Porcelain Floor Tile</t>
        </is>
      </c>
      <c r="D259" s="1" t="n">
        <v>20.99</v>
      </c>
      <c r="E259" s="1" t="inlineStr">
        <is>
          <t>800x800mm</t>
        </is>
      </c>
      <c r="F259" s="1" t="inlineStr">
        <is>
          <t>m2</t>
        </is>
      </c>
      <c r="G259" s="1" t="inlineStr">
        <is>
          <t>Porcelain</t>
        </is>
      </c>
      <c r="H259" s="1" t="inlineStr">
        <is>
          <t>Matt</t>
        </is>
      </c>
      <c r="I259" t="inlineStr">
        <is>
          <t>More Stock</t>
        </is>
      </c>
    </row>
    <row r="260">
      <c r="A260" s="1">
        <f>Hyperlink("https://www.tilemountain.co.uk/p/cupid-cream-polished-wall-and-floor-tile_1.html","Product")</f>
        <v/>
      </c>
      <c r="B260" s="1" t="inlineStr">
        <is>
          <t>455465</t>
        </is>
      </c>
      <c r="C260" s="1" t="inlineStr">
        <is>
          <t>Cupid Cream Polished Wall and Floor Tile</t>
        </is>
      </c>
      <c r="D260" s="1" t="n">
        <v>29.99</v>
      </c>
      <c r="E260" s="1" t="inlineStr">
        <is>
          <t>1200x600mm</t>
        </is>
      </c>
      <c r="F260" s="1" t="inlineStr">
        <is>
          <t>m2</t>
        </is>
      </c>
      <c r="G260" s="1" t="inlineStr">
        <is>
          <t>Porcelain</t>
        </is>
      </c>
      <c r="H260" s="1" t="inlineStr">
        <is>
          <t>Polished</t>
        </is>
      </c>
      <c r="I260" t="n">
        <v>368</v>
      </c>
    </row>
    <row r="261">
      <c r="A261" s="1">
        <f>Hyperlink("https://www.tilemountain.co.uk/p/cupid-pearl-polished-wall-and-floor-tile_1.html","Product")</f>
        <v/>
      </c>
      <c r="B261" s="1" t="inlineStr">
        <is>
          <t>455470</t>
        </is>
      </c>
      <c r="C261" s="1" t="inlineStr">
        <is>
          <t>Cupid Pearl Polished Wall and Floor Tile</t>
        </is>
      </c>
      <c r="D261" s="1" t="n">
        <v>29.99</v>
      </c>
      <c r="E261" s="1" t="inlineStr">
        <is>
          <t>1200x600mm</t>
        </is>
      </c>
      <c r="F261" s="1" t="inlineStr">
        <is>
          <t>m2</t>
        </is>
      </c>
      <c r="G261" s="1" t="inlineStr">
        <is>
          <t>Porcelain</t>
        </is>
      </c>
      <c r="H261" s="1" t="inlineStr">
        <is>
          <t>Polished</t>
        </is>
      </c>
      <c r="I261" t="n">
        <v>419</v>
      </c>
    </row>
    <row r="262">
      <c r="A262" s="1">
        <f>Hyperlink("https://www.tilemountain.co.uk/p/dakota-dark-grey-outdoor-riven-porcelain-slab-tile.html","Product")</f>
        <v/>
      </c>
      <c r="B262" s="1" t="inlineStr">
        <is>
          <t>442870</t>
        </is>
      </c>
      <c r="C262" s="1" t="inlineStr">
        <is>
          <t>Dakota Dark Grey Outdoor Riven Porcelain Slab Tiles</t>
        </is>
      </c>
      <c r="D262" s="1" t="n">
        <v>30.99</v>
      </c>
      <c r="E262" s="1" t="inlineStr">
        <is>
          <t>600x600mm</t>
        </is>
      </c>
      <c r="F262" s="1" t="inlineStr">
        <is>
          <t>m2</t>
        </is>
      </c>
      <c r="G262" s="1" t="inlineStr">
        <is>
          <t>Porcelain</t>
        </is>
      </c>
      <c r="H262" s="1" t="inlineStr">
        <is>
          <t>Riven</t>
        </is>
      </c>
      <c r="I262" t="n">
        <v>1862</v>
      </c>
    </row>
    <row r="263">
      <c r="A263" s="1">
        <f>Hyperlink("https://www.tilemountain.co.uk/p/dakota-light-grey-outdoor-riven-porcelain-slab-tile.html","Product")</f>
        <v/>
      </c>
      <c r="B263" s="1" t="inlineStr">
        <is>
          <t>442875</t>
        </is>
      </c>
      <c r="C263" s="1" t="inlineStr">
        <is>
          <t>Dakota Light Grey Outdoor Riven Porcelain Slab Tiles</t>
        </is>
      </c>
      <c r="D263" s="1" t="n">
        <v>30.99</v>
      </c>
      <c r="E263" s="1" t="inlineStr">
        <is>
          <t>600x600mm</t>
        </is>
      </c>
      <c r="F263" s="1" t="inlineStr">
        <is>
          <t>m2</t>
        </is>
      </c>
      <c r="G263" s="1" t="inlineStr">
        <is>
          <t>Porcelain</t>
        </is>
      </c>
      <c r="H263" s="1" t="inlineStr">
        <is>
          <t>Riven</t>
        </is>
      </c>
      <c r="I263" t="n">
        <v>595</v>
      </c>
    </row>
    <row r="264">
      <c r="A264" s="1">
        <f>Hyperlink("https://www.tilemountain.co.uk/p/decape-dark-brick-wall-and-floor-tile.html","Product")</f>
        <v/>
      </c>
      <c r="B264" s="1" t="inlineStr">
        <is>
          <t>440130</t>
        </is>
      </c>
      <c r="C264" s="1" t="inlineStr">
        <is>
          <t>Decape Dark Brick Wall And Floor Tiles</t>
        </is>
      </c>
      <c r="D264" s="1" t="n">
        <v>24.99</v>
      </c>
      <c r="E264" s="1" t="inlineStr">
        <is>
          <t>75x280mm</t>
        </is>
      </c>
      <c r="F264" s="1" t="inlineStr">
        <is>
          <t>m2</t>
        </is>
      </c>
      <c r="G264" s="1" t="inlineStr">
        <is>
          <t>Porcelain</t>
        </is>
      </c>
      <c r="H264" s="1" t="inlineStr">
        <is>
          <t>Matt</t>
        </is>
      </c>
      <c r="I264" t="inlineStr">
        <is>
          <t>More Stock due 19/10/21</t>
        </is>
      </c>
    </row>
    <row r="265">
      <c r="A265" s="1">
        <f>Hyperlink("https://www.tilemountain.co.uk/p/decape-rustic-brick-wall-and-floor-tile.html","Product")</f>
        <v/>
      </c>
      <c r="B265" s="1" t="inlineStr">
        <is>
          <t>440135</t>
        </is>
      </c>
      <c r="C265" s="1" t="inlineStr">
        <is>
          <t>Decape Rustic Brick Wall And Floor Tiles</t>
        </is>
      </c>
      <c r="D265" s="1" t="n">
        <v>24.99</v>
      </c>
      <c r="E265" s="1" t="inlineStr">
        <is>
          <t>75x280mm</t>
        </is>
      </c>
      <c r="F265" s="1" t="inlineStr">
        <is>
          <t>m2</t>
        </is>
      </c>
      <c r="G265" s="1" t="inlineStr">
        <is>
          <t>Porcelain</t>
        </is>
      </c>
      <c r="H265" s="1" t="inlineStr">
        <is>
          <t>Matt</t>
        </is>
      </c>
      <c r="I265" t="n">
        <v>28</v>
      </c>
    </row>
    <row r="266">
      <c r="A266" s="1">
        <f>Hyperlink("https://www.tilemountain.co.uk/p/demi-bullnose-white-listello.html","Product")</f>
        <v/>
      </c>
      <c r="B266" s="1" t="inlineStr">
        <is>
          <t>453185</t>
        </is>
      </c>
      <c r="C266" s="1" t="inlineStr">
        <is>
          <t>Bella White Pencil Border 15x300</t>
        </is>
      </c>
      <c r="D266" s="1" t="n">
        <v>2.99</v>
      </c>
      <c r="E266" s="1" t="inlineStr">
        <is>
          <t>15x300mm</t>
        </is>
      </c>
      <c r="F266" s="1" t="inlineStr">
        <is>
          <t>Qty</t>
        </is>
      </c>
      <c r="G266" s="1" t="inlineStr">
        <is>
          <t>Ceramic</t>
        </is>
      </c>
      <c r="H266" s="1" t="inlineStr">
        <is>
          <t>Gloss</t>
        </is>
      </c>
      <c r="I266" t="n">
        <v>217</v>
      </c>
    </row>
    <row r="267">
      <c r="A267" s="1">
        <f>Hyperlink("https://www.tilemountain.co.uk/p/derby-pattern-porcelain-floor-tile.html","Product")</f>
        <v/>
      </c>
      <c r="B267" s="1" t="inlineStr">
        <is>
          <t>445470</t>
        </is>
      </c>
      <c r="C267" s="1" t="inlineStr">
        <is>
          <t>Derby Pattern Porcelain Floor Tiles</t>
        </is>
      </c>
      <c r="D267" s="1" t="n">
        <v>17.99</v>
      </c>
      <c r="E267" s="1" t="inlineStr">
        <is>
          <t>450x450mm</t>
        </is>
      </c>
      <c r="F267" s="1" t="inlineStr">
        <is>
          <t>m2</t>
        </is>
      </c>
      <c r="G267" s="1" t="inlineStr">
        <is>
          <t>-</t>
        </is>
      </c>
      <c r="H267" s="1" t="inlineStr">
        <is>
          <t>-</t>
        </is>
      </c>
      <c r="I267" t="n">
        <v>236</v>
      </c>
    </row>
    <row r="268">
      <c r="A268" s="1">
        <f>Hyperlink("https://www.tilemountain.co.uk/p/derwent.html","Product")</f>
        <v/>
      </c>
      <c r="B268" s="1" t="inlineStr">
        <is>
          <t>443175</t>
        </is>
      </c>
      <c r="C268" s="1" t="inlineStr">
        <is>
          <t>Derwent Beige Matt Wall And Floor Tiles</t>
        </is>
      </c>
      <c r="D268" s="1" t="n">
        <v>13.99</v>
      </c>
      <c r="E268" s="1" t="inlineStr">
        <is>
          <t>600x400mm</t>
        </is>
      </c>
      <c r="F268" s="1" t="inlineStr">
        <is>
          <t>m2</t>
        </is>
      </c>
      <c r="G268" s="1" t="inlineStr">
        <is>
          <t>Porcelain</t>
        </is>
      </c>
      <c r="H268" s="1" t="inlineStr">
        <is>
          <t>Matt</t>
        </is>
      </c>
      <c r="I268" t="n">
        <v>1186</v>
      </c>
    </row>
    <row r="269">
      <c r="A269" s="1">
        <f>Hyperlink("https://www.tilemountain.co.uk/p/deterdek-residue-remover-5-litre.html","Product")</f>
        <v/>
      </c>
      <c r="B269" s="1" t="inlineStr">
        <is>
          <t>442855</t>
        </is>
      </c>
      <c r="C269" s="1" t="inlineStr">
        <is>
          <t>Deterdek Pro 5 Ltr - End of Work Cleaning</t>
        </is>
      </c>
      <c r="D269" s="1" t="n">
        <v>34.99</v>
      </c>
      <c r="E269" s="1" t="inlineStr">
        <is>
          <t>-</t>
        </is>
      </c>
      <c r="F269" s="1" t="inlineStr">
        <is>
          <t>Qty</t>
        </is>
      </c>
      <c r="G269" s="1" t="inlineStr">
        <is>
          <t>-</t>
        </is>
      </c>
      <c r="H269" s="1" t="inlineStr">
        <is>
          <t>-</t>
        </is>
      </c>
      <c r="I269" t="inlineStr">
        <is>
          <t>In Stock</t>
        </is>
      </c>
    </row>
    <row r="270">
      <c r="A270" s="1">
        <f>Hyperlink("https://www.tilemountain.co.uk/p/devonstyle-black-pattern-wall-and-floor-tile.html","Product")</f>
        <v/>
      </c>
      <c r="B270" s="1" t="inlineStr">
        <is>
          <t>448990</t>
        </is>
      </c>
      <c r="C270" s="1" t="inlineStr">
        <is>
          <t>Devonstyle Black Pattern Wall and Floor Tile</t>
        </is>
      </c>
      <c r="D270" s="1" t="n">
        <v>13.99</v>
      </c>
      <c r="E270" s="1" t="inlineStr">
        <is>
          <t>330x330mm</t>
        </is>
      </c>
      <c r="F270" s="1" t="inlineStr">
        <is>
          <t>m2</t>
        </is>
      </c>
      <c r="G270" s="1" t="inlineStr">
        <is>
          <t>Porcelain</t>
        </is>
      </c>
      <c r="H270" s="1" t="inlineStr">
        <is>
          <t>Matt</t>
        </is>
      </c>
      <c r="I270" t="n">
        <v>309</v>
      </c>
    </row>
    <row r="271">
      <c r="A271" s="1">
        <f>Hyperlink("https://www.tilemountain.co.uk/p/devonstyle-grey-pattern-wall-and-floor-tile_1.html","Product")</f>
        <v/>
      </c>
      <c r="B271" s="1" t="inlineStr">
        <is>
          <t>448985</t>
        </is>
      </c>
      <c r="C271" s="1" t="inlineStr">
        <is>
          <t>Devonstyle Grey Pattern Wall and Floor Tile</t>
        </is>
      </c>
      <c r="D271" s="1" t="n">
        <v>13.99</v>
      </c>
      <c r="E271" s="1" t="inlineStr">
        <is>
          <t>330x330mm</t>
        </is>
      </c>
      <c r="F271" s="1" t="inlineStr">
        <is>
          <t>m2</t>
        </is>
      </c>
      <c r="G271" s="1" t="inlineStr">
        <is>
          <t>Porcelain</t>
        </is>
      </c>
      <c r="H271" s="1" t="inlineStr">
        <is>
          <t>Matt</t>
        </is>
      </c>
      <c r="I271" t="n">
        <v>2148</v>
      </c>
    </row>
    <row r="272">
      <c r="A272" s="1">
        <f>Hyperlink("https://www.tilemountain.co.uk/p/diesel-brick-glass-mosaic-438515.html","Product")</f>
        <v/>
      </c>
      <c r="B272" s="1" t="inlineStr">
        <is>
          <t>438515</t>
        </is>
      </c>
      <c r="C272" s="1" t="inlineStr">
        <is>
          <t>Diesel Brick Glass Mosaic</t>
        </is>
      </c>
      <c r="D272" s="1" t="n">
        <v>6.99</v>
      </c>
      <c r="E272" s="1" t="inlineStr">
        <is>
          <t>306x306mm</t>
        </is>
      </c>
      <c r="F272" s="1" t="inlineStr">
        <is>
          <t>sheet</t>
        </is>
      </c>
      <c r="G272" s="1" t="inlineStr">
        <is>
          <t>Glass</t>
        </is>
      </c>
      <c r="H272" s="1" t="inlineStr">
        <is>
          <t>Gloss</t>
        </is>
      </c>
      <c r="I272" t="n">
        <v>986</v>
      </c>
    </row>
    <row r="273">
      <c r="A273" s="1">
        <f>Hyperlink("https://www.tilemountain.co.uk/p/diesel-glass-mosaic-40x40mm.html","Product")</f>
        <v/>
      </c>
      <c r="B273" s="1" t="inlineStr">
        <is>
          <t>430825</t>
        </is>
      </c>
      <c r="C273" s="1" t="inlineStr">
        <is>
          <t>Diesel Glass Mosaic 40x40mm</t>
        </is>
      </c>
      <c r="D273" s="1" t="n">
        <v>6.99</v>
      </c>
      <c r="E273" s="1" t="inlineStr">
        <is>
          <t>306x306mm</t>
        </is>
      </c>
      <c r="F273" s="1" t="inlineStr">
        <is>
          <t>sheet</t>
        </is>
      </c>
      <c r="G273" s="1" t="inlineStr">
        <is>
          <t>Glass</t>
        </is>
      </c>
      <c r="H273" s="1" t="inlineStr">
        <is>
          <t>Gloss</t>
        </is>
      </c>
      <c r="I273" t="n">
        <v>316</v>
      </c>
    </row>
    <row r="274">
      <c r="A274" s="1">
        <f>Hyperlink("https://www.tilemountain.co.uk/p/digital-art-ecru-300x600.html","Product")</f>
        <v/>
      </c>
      <c r="B274" s="1" t="inlineStr">
        <is>
          <t>449530</t>
        </is>
      </c>
      <c r="C274" s="1" t="inlineStr">
        <is>
          <t>Digital Art Ecru</t>
        </is>
      </c>
      <c r="D274" s="1" t="n">
        <v>25</v>
      </c>
      <c r="E274" s="1" t="inlineStr">
        <is>
          <t>600x300mm</t>
        </is>
      </c>
      <c r="F274" s="1" t="inlineStr">
        <is>
          <t>m2</t>
        </is>
      </c>
      <c r="G274" s="1" t="inlineStr">
        <is>
          <t>Porcelain</t>
        </is>
      </c>
      <c r="H274" s="1" t="inlineStr">
        <is>
          <t>Matt</t>
        </is>
      </c>
      <c r="I274" t="n">
        <v>48</v>
      </c>
    </row>
    <row r="275">
      <c r="A275" s="1">
        <f>Hyperlink("https://www.tilemountain.co.uk/p/dk-briana-maine-floor-tile.html","Product")</f>
        <v/>
      </c>
      <c r="B275" s="1" t="inlineStr">
        <is>
          <t>446450</t>
        </is>
      </c>
      <c r="C275" s="1" t="inlineStr">
        <is>
          <t>Briana Marine Floor Tiles</t>
        </is>
      </c>
      <c r="D275" s="1" t="n">
        <v>16.99</v>
      </c>
      <c r="E275" s="1" t="inlineStr">
        <is>
          <t>450x450mm</t>
        </is>
      </c>
      <c r="F275" s="1" t="inlineStr">
        <is>
          <t>m2</t>
        </is>
      </c>
      <c r="G275" s="1" t="inlineStr">
        <is>
          <t>Porcelain</t>
        </is>
      </c>
      <c r="H275" s="1" t="inlineStr">
        <is>
          <t>Matt</t>
        </is>
      </c>
      <c r="I275" t="n">
        <v>306</v>
      </c>
    </row>
    <row r="276">
      <c r="A276" s="1">
        <f>Hyperlink("https://www.tilemountain.co.uk/p/dk-briana-rose-floor-tile.html","Product")</f>
        <v/>
      </c>
      <c r="B276" s="1" t="inlineStr">
        <is>
          <t>446455</t>
        </is>
      </c>
      <c r="C276" s="1" t="inlineStr">
        <is>
          <t>Briana Rose Floor Tiles</t>
        </is>
      </c>
      <c r="D276" s="1" t="n">
        <v>16.99</v>
      </c>
      <c r="E276" s="1" t="inlineStr">
        <is>
          <t>450x450mm</t>
        </is>
      </c>
      <c r="F276" s="1" t="inlineStr">
        <is>
          <t>m2</t>
        </is>
      </c>
      <c r="G276" s="1" t="inlineStr">
        <is>
          <t>Porcelain</t>
        </is>
      </c>
      <c r="H276" s="1" t="inlineStr">
        <is>
          <t>Matt</t>
        </is>
      </c>
      <c r="I276" t="n">
        <v>263</v>
      </c>
    </row>
    <row r="277">
      <c r="A277" s="1">
        <f>Hyperlink("https://www.tilemountain.co.uk/p/dk-lester-blue-floor-tile.html","Product")</f>
        <v/>
      </c>
      <c r="B277" s="1" t="inlineStr">
        <is>
          <t>446440</t>
        </is>
      </c>
      <c r="C277" s="1" t="inlineStr">
        <is>
          <t>Lester Blue Floor Tiles</t>
        </is>
      </c>
      <c r="D277" s="1" t="n">
        <v>16.99</v>
      </c>
      <c r="E277" s="1" t="inlineStr">
        <is>
          <t>450x450mm</t>
        </is>
      </c>
      <c r="F277" s="1" t="inlineStr">
        <is>
          <t>m2</t>
        </is>
      </c>
      <c r="G277" s="1" t="inlineStr">
        <is>
          <t>Porcelain</t>
        </is>
      </c>
      <c r="H277" s="1" t="inlineStr">
        <is>
          <t>Matt</t>
        </is>
      </c>
      <c r="I277" t="n">
        <v>451</v>
      </c>
    </row>
    <row r="278">
      <c r="A278" s="1">
        <f>Hyperlink("https://www.tilemountain.co.uk/p/dk-leyton-terra-floor-tile.html","Product")</f>
        <v/>
      </c>
      <c r="B278" s="1" t="inlineStr">
        <is>
          <t>446445</t>
        </is>
      </c>
      <c r="C278" s="1" t="inlineStr">
        <is>
          <t>Leyton Terra Floor Tiles</t>
        </is>
      </c>
      <c r="D278" s="1" t="n">
        <v>16.99</v>
      </c>
      <c r="E278" s="1" t="inlineStr">
        <is>
          <t>450x450mm</t>
        </is>
      </c>
      <c r="F278" s="1" t="inlineStr">
        <is>
          <t>m2</t>
        </is>
      </c>
      <c r="G278" s="1" t="inlineStr">
        <is>
          <t>Porcelain</t>
        </is>
      </c>
      <c r="H278" s="1" t="inlineStr">
        <is>
          <t>Matt</t>
        </is>
      </c>
      <c r="I278" t="n">
        <v>261</v>
      </c>
    </row>
    <row r="279">
      <c r="A279" s="1">
        <f>Hyperlink("https://www.tilemountain.co.uk/p/doblo-black-polished-porcelain.html","Product")</f>
        <v/>
      </c>
      <c r="B279" s="1" t="inlineStr">
        <is>
          <t>434695</t>
        </is>
      </c>
      <c r="C279" s="1" t="inlineStr">
        <is>
          <t>Doblo Black Polished Porcelain Wall and Floor Tile</t>
        </is>
      </c>
      <c r="D279" s="1" t="n">
        <v>24.99</v>
      </c>
      <c r="E279" s="1" t="inlineStr">
        <is>
          <t>298x598mm</t>
        </is>
      </c>
      <c r="F279" s="1" t="inlineStr">
        <is>
          <t>m2</t>
        </is>
      </c>
      <c r="G279" s="1" t="inlineStr">
        <is>
          <t>Porcelain</t>
        </is>
      </c>
      <c r="H279" s="1" t="inlineStr">
        <is>
          <t>Polished</t>
        </is>
      </c>
      <c r="I279" t="n">
        <v>230</v>
      </c>
    </row>
    <row r="280">
      <c r="A280" s="1">
        <f>Hyperlink("https://www.tilemountain.co.uk/p/doblo-cream-polished-porcelain-1591.html","Product")</f>
        <v/>
      </c>
      <c r="B280" s="1" t="inlineStr">
        <is>
          <t>434675</t>
        </is>
      </c>
      <c r="C280" s="1" t="inlineStr">
        <is>
          <t>Doblo Cream Polished Porcelain Wall and Floor Tile</t>
        </is>
      </c>
      <c r="D280" s="1" t="n">
        <v>24.99</v>
      </c>
      <c r="E280" s="1" t="inlineStr">
        <is>
          <t>298x598mm</t>
        </is>
      </c>
      <c r="F280" s="1" t="inlineStr">
        <is>
          <t>m2</t>
        </is>
      </c>
      <c r="G280" s="1" t="inlineStr">
        <is>
          <t>Polished Porcelain</t>
        </is>
      </c>
      <c r="H280" s="1" t="inlineStr">
        <is>
          <t>Polished</t>
        </is>
      </c>
      <c r="I280" t="n">
        <v>134</v>
      </c>
    </row>
    <row r="281">
      <c r="A281" s="1">
        <f>Hyperlink("https://www.tilemountain.co.uk/p/doblo-cream-polished-porcelain-1592.html","Product")</f>
        <v/>
      </c>
      <c r="B281" s="1" t="inlineStr">
        <is>
          <t>434680</t>
        </is>
      </c>
      <c r="C281" s="1" t="inlineStr">
        <is>
          <t>Doblo Cream Polished Porcelain Floor Tile</t>
        </is>
      </c>
      <c r="D281" s="1" t="n">
        <v>25.99</v>
      </c>
      <c r="E281" s="1" t="inlineStr">
        <is>
          <t>598x598mm</t>
        </is>
      </c>
      <c r="F281" s="1" t="inlineStr">
        <is>
          <t>m2</t>
        </is>
      </c>
      <c r="G281" s="1" t="inlineStr">
        <is>
          <t>-</t>
        </is>
      </c>
      <c r="H281" s="1" t="inlineStr">
        <is>
          <t>Polished</t>
        </is>
      </c>
      <c r="I281" t="n">
        <v>645</v>
      </c>
    </row>
    <row r="282">
      <c r="A282" s="1">
        <f>Hyperlink("https://www.tilemountain.co.uk/p/doblo-grey-polished-porcelain-1594.html","Product")</f>
        <v/>
      </c>
      <c r="B282" s="1" t="inlineStr">
        <is>
          <t>434690</t>
        </is>
      </c>
      <c r="C282" s="1" t="inlineStr">
        <is>
          <t>Doblo Grey Polished Porcelain Floor Tile</t>
        </is>
      </c>
      <c r="D282" s="1" t="n">
        <v>25.99</v>
      </c>
      <c r="E282" s="1" t="inlineStr">
        <is>
          <t>598x598mm</t>
        </is>
      </c>
      <c r="F282" s="1" t="inlineStr">
        <is>
          <t>m2</t>
        </is>
      </c>
      <c r="G282" s="1" t="inlineStr">
        <is>
          <t>Polished Porcelain</t>
        </is>
      </c>
      <c r="H282" s="1" t="inlineStr">
        <is>
          <t>Polished</t>
        </is>
      </c>
      <c r="I282" t="n">
        <v>709</v>
      </c>
    </row>
    <row r="283">
      <c r="A283" s="1">
        <f>Hyperlink("https://www.tilemountain.co.uk/p/doblo-grey-polished-porcelain.html","Product")</f>
        <v/>
      </c>
      <c r="B283" s="1" t="inlineStr">
        <is>
          <t>434685</t>
        </is>
      </c>
      <c r="C283" s="1" t="inlineStr">
        <is>
          <t>Doblo Grey Polished Porcelain Wall and Floor Tile</t>
        </is>
      </c>
      <c r="D283" s="1" t="n">
        <v>24.99</v>
      </c>
      <c r="E283" s="1" t="inlineStr">
        <is>
          <t>298x598mm</t>
        </is>
      </c>
      <c r="F283" s="1" t="inlineStr">
        <is>
          <t>m2</t>
        </is>
      </c>
      <c r="G283" s="1" t="inlineStr">
        <is>
          <t>Polished Porcelain</t>
        </is>
      </c>
      <c r="H283" s="1" t="inlineStr">
        <is>
          <t>Polished</t>
        </is>
      </c>
      <c r="I283" t="n">
        <v>337</v>
      </c>
    </row>
    <row r="284">
      <c r="A284" s="1">
        <f>Hyperlink("https://www.tilemountain.co.uk/p/doblo-light-grey-polished-porcelain-1923.html","Product")</f>
        <v/>
      </c>
      <c r="B284" s="1" t="inlineStr">
        <is>
          <t>436040</t>
        </is>
      </c>
      <c r="C284" s="1" t="inlineStr">
        <is>
          <t>Doblo Light Grey Polished Porcelain Floor Tile</t>
        </is>
      </c>
      <c r="D284" s="1" t="n">
        <v>25.99</v>
      </c>
      <c r="E284" s="1" t="inlineStr">
        <is>
          <t>598x598mm</t>
        </is>
      </c>
      <c r="F284" s="1" t="inlineStr">
        <is>
          <t>m2</t>
        </is>
      </c>
      <c r="G284" s="1" t="inlineStr">
        <is>
          <t>Polished Porcelain</t>
        </is>
      </c>
      <c r="H284" s="1" t="inlineStr">
        <is>
          <t>Polished</t>
        </is>
      </c>
      <c r="I284" t="n">
        <v>962</v>
      </c>
    </row>
    <row r="285">
      <c r="A285" s="1">
        <f>Hyperlink("https://www.tilemountain.co.uk/p/doblo-light-grey-polished-porcelain.html","Product")</f>
        <v/>
      </c>
      <c r="B285" s="1" t="inlineStr">
        <is>
          <t>436035</t>
        </is>
      </c>
      <c r="C285" s="1" t="inlineStr">
        <is>
          <t>Doblo Light Grey Polished Porcelain Wall and Floor Tile</t>
        </is>
      </c>
      <c r="D285" s="1" t="n">
        <v>24.99</v>
      </c>
      <c r="E285" s="1" t="inlineStr">
        <is>
          <t>298x598mm</t>
        </is>
      </c>
      <c r="F285" s="1" t="inlineStr">
        <is>
          <t>m2</t>
        </is>
      </c>
      <c r="G285" s="1" t="inlineStr">
        <is>
          <t>Polished Porcelain</t>
        </is>
      </c>
      <c r="H285" s="1" t="inlineStr">
        <is>
          <t>Polished</t>
        </is>
      </c>
      <c r="I285" t="n">
        <v>683</v>
      </c>
    </row>
    <row r="286">
      <c r="A286" s="1">
        <f>Hyperlink("https://www.tilemountain.co.uk/p/doblo-matt-black-porcelain.html","Product")</f>
        <v/>
      </c>
      <c r="B286" s="1" t="inlineStr">
        <is>
          <t>435570</t>
        </is>
      </c>
      <c r="C286" s="1" t="inlineStr">
        <is>
          <t>Doblo Matt Black Porcelain Wall and Floor Tile</t>
        </is>
      </c>
      <c r="D286" s="1" t="n">
        <v>23.99</v>
      </c>
      <c r="E286" s="1" t="inlineStr">
        <is>
          <t>598x298mm</t>
        </is>
      </c>
      <c r="F286" s="1" t="inlineStr">
        <is>
          <t>m2</t>
        </is>
      </c>
      <c r="G286" s="1" t="inlineStr">
        <is>
          <t>Porcelain</t>
        </is>
      </c>
      <c r="H286" s="1" t="inlineStr">
        <is>
          <t>Matt</t>
        </is>
      </c>
      <c r="I286" t="n">
        <v>176</v>
      </c>
    </row>
    <row r="287">
      <c r="A287" s="1">
        <f>Hyperlink("https://www.tilemountain.co.uk/p/doblo-matt-cream-porcelain-1788.html","Product")</f>
        <v/>
      </c>
      <c r="B287" s="1" t="inlineStr">
        <is>
          <t>435555</t>
        </is>
      </c>
      <c r="C287" s="1" t="inlineStr">
        <is>
          <t>Doblo Matt Cream Porcelain Floor Tile</t>
        </is>
      </c>
      <c r="D287" s="1" t="n">
        <v>24.99</v>
      </c>
      <c r="E287" s="1" t="inlineStr">
        <is>
          <t>598x598mm</t>
        </is>
      </c>
      <c r="F287" s="1" t="inlineStr">
        <is>
          <t>m2</t>
        </is>
      </c>
      <c r="G287" s="1" t="inlineStr">
        <is>
          <t>Porcelain</t>
        </is>
      </c>
      <c r="H287" s="1" t="inlineStr">
        <is>
          <t>Matt</t>
        </is>
      </c>
      <c r="I287" t="n">
        <v>296</v>
      </c>
    </row>
    <row r="288">
      <c r="A288" s="1">
        <f>Hyperlink("https://www.tilemountain.co.uk/p/doblo-matt-cream-porcelain.html","Product")</f>
        <v/>
      </c>
      <c r="B288" s="1" t="inlineStr">
        <is>
          <t>435440</t>
        </is>
      </c>
      <c r="C288" s="1" t="inlineStr">
        <is>
          <t>Doblo Matt Cream Porcelain Wall and Floor Tile</t>
        </is>
      </c>
      <c r="D288" s="1" t="n">
        <v>23.99</v>
      </c>
      <c r="E288" s="1" t="inlineStr">
        <is>
          <t>598x298mm</t>
        </is>
      </c>
      <c r="F288" s="1" t="inlineStr">
        <is>
          <t>m2</t>
        </is>
      </c>
      <c r="G288" s="1" t="inlineStr">
        <is>
          <t>Porcelain</t>
        </is>
      </c>
      <c r="H288" s="1" t="inlineStr">
        <is>
          <t>Matt</t>
        </is>
      </c>
      <c r="I288" t="n">
        <v>347</v>
      </c>
    </row>
    <row r="289">
      <c r="A289" s="1">
        <f>Hyperlink("https://www.tilemountain.co.uk/p/doblo-matt-grey-porcelain.html","Product")</f>
        <v/>
      </c>
      <c r="B289" s="1" t="inlineStr">
        <is>
          <t>435560</t>
        </is>
      </c>
      <c r="C289" s="1" t="inlineStr">
        <is>
          <t>Doblo Matt Grey Porcelain Wall and Floor Tile</t>
        </is>
      </c>
      <c r="D289" s="1" t="n">
        <v>23.99</v>
      </c>
      <c r="E289" s="1" t="inlineStr">
        <is>
          <t>598x298mm</t>
        </is>
      </c>
      <c r="F289" s="1" t="inlineStr">
        <is>
          <t>m2</t>
        </is>
      </c>
      <c r="G289" s="1" t="inlineStr">
        <is>
          <t>Porcelain</t>
        </is>
      </c>
      <c r="H289" s="1" t="inlineStr">
        <is>
          <t>Matt</t>
        </is>
      </c>
      <c r="I289" t="n">
        <v>544</v>
      </c>
    </row>
    <row r="290">
      <c r="A290" s="1">
        <f>Hyperlink("https://www.tilemountain.co.uk/p/doblo-matt-light-grey-porcelain-1756.html","Product")</f>
        <v/>
      </c>
      <c r="B290" s="1" t="inlineStr">
        <is>
          <t>435435</t>
        </is>
      </c>
      <c r="C290" s="1" t="inlineStr">
        <is>
          <t>Doblo Matt Light Grey Porcelain Floor Tile</t>
        </is>
      </c>
      <c r="D290" s="1" t="n">
        <v>24.99</v>
      </c>
      <c r="E290" s="1" t="inlineStr">
        <is>
          <t>598x598mm</t>
        </is>
      </c>
      <c r="F290" s="1" t="inlineStr">
        <is>
          <t>m2</t>
        </is>
      </c>
      <c r="G290" s="1" t="inlineStr">
        <is>
          <t>Porcelain</t>
        </is>
      </c>
      <c r="H290" s="1" t="inlineStr">
        <is>
          <t>Matt</t>
        </is>
      </c>
      <c r="I290" t="n">
        <v>902</v>
      </c>
    </row>
    <row r="291">
      <c r="A291" s="1">
        <f>Hyperlink("https://www.tilemountain.co.uk/p/doblo-matt-light-grey-porcelain.html","Product")</f>
        <v/>
      </c>
      <c r="B291" s="1" t="inlineStr">
        <is>
          <t>435430</t>
        </is>
      </c>
      <c r="C291" s="1" t="inlineStr">
        <is>
          <t>Doblo Matt Light Grey Porcelain Wall and Floor Tile</t>
        </is>
      </c>
      <c r="D291" s="1" t="n">
        <v>23.99</v>
      </c>
      <c r="E291" s="1" t="inlineStr">
        <is>
          <t>598x298mm</t>
        </is>
      </c>
      <c r="F291" s="1" t="inlineStr">
        <is>
          <t>m2</t>
        </is>
      </c>
      <c r="G291" s="1" t="inlineStr">
        <is>
          <t>Porcelain</t>
        </is>
      </c>
      <c r="H291" s="1" t="inlineStr">
        <is>
          <t>Matt</t>
        </is>
      </c>
      <c r="I291" t="n">
        <v>338</v>
      </c>
    </row>
    <row r="292">
      <c r="A292" s="1">
        <f>Hyperlink("https://www.tilemountain.co.uk/p/doblo-rock-black-porcelain-2843.html","Product")</f>
        <v/>
      </c>
      <c r="B292" s="1" t="inlineStr">
        <is>
          <t>440675</t>
        </is>
      </c>
      <c r="C292" s="1" t="inlineStr">
        <is>
          <t>Doblo Rock Black Porcelain Wall and Floor Tile</t>
        </is>
      </c>
      <c r="D292" s="1" t="n">
        <v>23.99</v>
      </c>
      <c r="E292" s="1" t="inlineStr">
        <is>
          <t>598x298mm</t>
        </is>
      </c>
      <c r="F292" s="1" t="inlineStr">
        <is>
          <t>m2</t>
        </is>
      </c>
      <c r="G292" s="1" t="inlineStr">
        <is>
          <t>Porcelain</t>
        </is>
      </c>
      <c r="H292" s="1" t="inlineStr">
        <is>
          <t>Riven</t>
        </is>
      </c>
      <c r="I292" t="n">
        <v>83</v>
      </c>
    </row>
    <row r="293">
      <c r="A293" s="1">
        <f>Hyperlink("https://www.tilemountain.co.uk/p/doblo-rock-black-porcelain.html","Product")</f>
        <v/>
      </c>
      <c r="B293" s="1" t="inlineStr">
        <is>
          <t>440670</t>
        </is>
      </c>
      <c r="C293" s="1" t="inlineStr">
        <is>
          <t>Doblo Rock Black Porcelain Floor Tile</t>
        </is>
      </c>
      <c r="D293" s="1" t="n">
        <v>24.99</v>
      </c>
      <c r="E293" s="1" t="inlineStr">
        <is>
          <t>598x598mm</t>
        </is>
      </c>
      <c r="F293" s="1" t="inlineStr">
        <is>
          <t>m2</t>
        </is>
      </c>
      <c r="G293" s="1" t="inlineStr">
        <is>
          <t>Porcelain</t>
        </is>
      </c>
      <c r="H293" s="1" t="inlineStr">
        <is>
          <t>Riven</t>
        </is>
      </c>
      <c r="I293" t="n">
        <v>257</v>
      </c>
    </row>
    <row r="294">
      <c r="A294" s="1">
        <f>Hyperlink("https://www.tilemountain.co.uk/p/doblo-rock-cream-porcelain-598x298.html","Product")</f>
        <v/>
      </c>
      <c r="B294" s="1" t="inlineStr">
        <is>
          <t>437265</t>
        </is>
      </c>
      <c r="C294" s="1" t="inlineStr">
        <is>
          <t>Doblo Rock Cream Porcelain Wall and Floor Tile</t>
        </is>
      </c>
      <c r="D294" s="1" t="n">
        <v>23.99</v>
      </c>
      <c r="E294" s="1" t="inlineStr">
        <is>
          <t>298x598mm</t>
        </is>
      </c>
      <c r="F294" s="1" t="inlineStr">
        <is>
          <t>m2</t>
        </is>
      </c>
      <c r="G294" s="1" t="inlineStr">
        <is>
          <t>Porcelain</t>
        </is>
      </c>
      <c r="H294" s="1" t="inlineStr">
        <is>
          <t>Riven</t>
        </is>
      </c>
      <c r="I294" t="n">
        <v>239</v>
      </c>
    </row>
    <row r="295">
      <c r="A295" s="1">
        <f>Hyperlink("https://www.tilemountain.co.uk/p/doblo-rock-cream-porcelain-598x598.html","Product")</f>
        <v/>
      </c>
      <c r="B295" s="1" t="inlineStr">
        <is>
          <t>437260</t>
        </is>
      </c>
      <c r="C295" s="1" t="inlineStr">
        <is>
          <t>Doblo Rock Cream Porcelain Floor Tile</t>
        </is>
      </c>
      <c r="D295" s="1" t="n">
        <v>24.99</v>
      </c>
      <c r="E295" s="1" t="inlineStr">
        <is>
          <t>598x598mm</t>
        </is>
      </c>
      <c r="F295" s="1" t="inlineStr">
        <is>
          <t>m2</t>
        </is>
      </c>
      <c r="G295" s="1" t="inlineStr">
        <is>
          <t>Porcelain</t>
        </is>
      </c>
      <c r="H295" s="1" t="inlineStr">
        <is>
          <t>Riven</t>
        </is>
      </c>
      <c r="I295" t="n">
        <v>312</v>
      </c>
    </row>
    <row r="296">
      <c r="A296" s="1">
        <f>Hyperlink("https://www.tilemountain.co.uk/p/doblo-rock-grey-porcelain-598x298.html","Product")</f>
        <v/>
      </c>
      <c r="B296" s="1" t="inlineStr">
        <is>
          <t>437275</t>
        </is>
      </c>
      <c r="C296" s="1" t="inlineStr">
        <is>
          <t>Doblo Rock Grey Porcelain Wall and Floor Tile</t>
        </is>
      </c>
      <c r="D296" s="1" t="n">
        <v>23.99</v>
      </c>
      <c r="E296" s="1" t="inlineStr">
        <is>
          <t>298x598mm</t>
        </is>
      </c>
      <c r="F296" s="1" t="inlineStr">
        <is>
          <t>m2</t>
        </is>
      </c>
      <c r="G296" s="1" t="inlineStr">
        <is>
          <t>Porcelain</t>
        </is>
      </c>
      <c r="H296" s="1" t="inlineStr">
        <is>
          <t>Riven</t>
        </is>
      </c>
      <c r="I296" t="inlineStr">
        <is>
          <t>More Stock due 05/11/21</t>
        </is>
      </c>
    </row>
    <row r="297">
      <c r="A297" s="1">
        <f>Hyperlink("https://www.tilemountain.co.uk/p/doblo-rock-ligh-grey.html","Product")</f>
        <v/>
      </c>
      <c r="B297" s="1" t="inlineStr">
        <is>
          <t>439650</t>
        </is>
      </c>
      <c r="C297" s="1" t="inlineStr">
        <is>
          <t>Doblo Rock Light Grey Porcelain Wall and Floor Tile</t>
        </is>
      </c>
      <c r="D297" s="1" t="n">
        <v>23.99</v>
      </c>
      <c r="E297" s="1" t="inlineStr">
        <is>
          <t>598x298mm</t>
        </is>
      </c>
      <c r="F297" s="1" t="inlineStr">
        <is>
          <t>m2</t>
        </is>
      </c>
      <c r="G297" s="1" t="inlineStr">
        <is>
          <t>Porcelain</t>
        </is>
      </c>
      <c r="H297" s="1" t="inlineStr">
        <is>
          <t>Riven</t>
        </is>
      </c>
      <c r="I297" t="n">
        <v>237</v>
      </c>
    </row>
    <row r="298">
      <c r="A298" s="1">
        <f>Hyperlink("https://www.tilemountain.co.uk/p/doblo-rock-light-grey-porcelain_1.html","Product")</f>
        <v/>
      </c>
      <c r="B298" s="1" t="inlineStr">
        <is>
          <t>440665</t>
        </is>
      </c>
      <c r="C298" s="1" t="inlineStr">
        <is>
          <t>Doblo Rock Light Grey Porcelain Floor Tile</t>
        </is>
      </c>
      <c r="D298" s="1" t="n">
        <v>24.99</v>
      </c>
      <c r="E298" s="1" t="inlineStr">
        <is>
          <t>598x598mm</t>
        </is>
      </c>
      <c r="F298" s="1" t="inlineStr">
        <is>
          <t>m2</t>
        </is>
      </c>
      <c r="G298" s="1" t="inlineStr">
        <is>
          <t>Porcelain</t>
        </is>
      </c>
      <c r="H298" s="1" t="inlineStr">
        <is>
          <t>Riven</t>
        </is>
      </c>
      <c r="I298" t="n">
        <v>425</v>
      </c>
    </row>
    <row r="299">
      <c r="A299" s="1">
        <f>Hyperlink("https://www.tilemountain.co.uk/p/dolomite-grey-wall-and-floor-tile.html","Product")</f>
        <v/>
      </c>
      <c r="B299" s="1" t="inlineStr">
        <is>
          <t>430525</t>
        </is>
      </c>
      <c r="C299" s="1" t="inlineStr">
        <is>
          <t>Dolomite Grey Wall and Floor Tiles</t>
        </is>
      </c>
      <c r="D299" s="1" t="n">
        <v>24.99</v>
      </c>
      <c r="E299" s="1" t="inlineStr">
        <is>
          <t>300x600mm</t>
        </is>
      </c>
      <c r="F299" s="1" t="inlineStr">
        <is>
          <t>m2</t>
        </is>
      </c>
      <c r="G299" s="1" t="inlineStr">
        <is>
          <t>Glazed Porcelain</t>
        </is>
      </c>
      <c r="H299" s="1" t="inlineStr">
        <is>
          <t>Matt</t>
        </is>
      </c>
      <c r="I299" t="n">
        <v>979</v>
      </c>
    </row>
    <row r="300">
      <c r="A300" s="1">
        <f>Hyperlink("https://www.tilemountain.co.uk/p/dolomite-light-grey-wall-tile.html","Product")</f>
        <v/>
      </c>
      <c r="B300" s="1" t="inlineStr">
        <is>
          <t>430540</t>
        </is>
      </c>
      <c r="C300" s="1" t="inlineStr">
        <is>
          <t>Dolomite Light Grey Wall Tiles</t>
        </is>
      </c>
      <c r="D300" s="1" t="n">
        <v>12.99</v>
      </c>
      <c r="E300" s="1" t="inlineStr">
        <is>
          <t>200x500mm</t>
        </is>
      </c>
      <c r="F300" s="1" t="inlineStr">
        <is>
          <t>m2</t>
        </is>
      </c>
      <c r="G300" s="1" t="inlineStr">
        <is>
          <t>Ceramic</t>
        </is>
      </c>
      <c r="H300" s="1" t="inlineStr">
        <is>
          <t>Matt</t>
        </is>
      </c>
      <c r="I300" t="n">
        <v>1701</v>
      </c>
    </row>
    <row r="301">
      <c r="A301" s="1">
        <f>Hyperlink("https://www.tilemountain.co.uk/p/dorchester-matt-travertine-effect-light-grey-porcelain-floor-tile.html","Product")</f>
        <v/>
      </c>
      <c r="B301" s="1" t="inlineStr">
        <is>
          <t>449095</t>
        </is>
      </c>
      <c r="C301" s="1" t="inlineStr">
        <is>
          <t>Naples Gloss Travertine Effect Grey Floor Tile</t>
        </is>
      </c>
      <c r="D301" s="1" t="n">
        <v>12.99</v>
      </c>
      <c r="E301" s="1" t="inlineStr">
        <is>
          <t>450x450mm</t>
        </is>
      </c>
      <c r="F301" s="1" t="inlineStr">
        <is>
          <t>m2</t>
        </is>
      </c>
      <c r="G301" s="1" t="inlineStr">
        <is>
          <t>Porcelain</t>
        </is>
      </c>
      <c r="H301" s="1" t="inlineStr">
        <is>
          <t>Matt</t>
        </is>
      </c>
      <c r="I301" t="inlineStr">
        <is>
          <t>More Stock</t>
        </is>
      </c>
    </row>
    <row r="302">
      <c r="A302" s="1">
        <f>Hyperlink("https://www.tilemountain.co.uk/p/dorset-feature-black-wall-floor-tile-45x45cm.html","Product")</f>
        <v/>
      </c>
      <c r="B302" s="1" t="inlineStr">
        <is>
          <t>300115</t>
        </is>
      </c>
      <c r="C302" s="1" t="inlineStr">
        <is>
          <t>Dorset Feature Black Wall and Floor Tiles</t>
        </is>
      </c>
      <c r="D302" s="1" t="n">
        <v>19.99</v>
      </c>
      <c r="E302" s="1" t="inlineStr">
        <is>
          <t>450x450mm</t>
        </is>
      </c>
      <c r="F302" s="1" t="inlineStr">
        <is>
          <t>m2</t>
        </is>
      </c>
      <c r="G302" s="1" t="inlineStr">
        <is>
          <t>Ceramic</t>
        </is>
      </c>
      <c r="H302" s="1" t="inlineStr">
        <is>
          <t>Matt</t>
        </is>
      </c>
      <c r="I302" t="n">
        <v>100</v>
      </c>
    </row>
    <row r="303">
      <c r="A303" s="1">
        <f>Hyperlink("https://www.tilemountain.co.uk/p/dorset-feature-grey-wall-floor-tile-45x45cm.html","Product")</f>
        <v/>
      </c>
      <c r="B303" s="1" t="inlineStr">
        <is>
          <t>300110</t>
        </is>
      </c>
      <c r="C303" s="1" t="inlineStr">
        <is>
          <t>Dorset Feature Grey Wall and Floor Tiles</t>
        </is>
      </c>
      <c r="D303" s="1" t="n">
        <v>19.99</v>
      </c>
      <c r="E303" s="1" t="inlineStr">
        <is>
          <t>450x450mm</t>
        </is>
      </c>
      <c r="F303" s="1" t="inlineStr">
        <is>
          <t>m2</t>
        </is>
      </c>
      <c r="G303" s="1" t="inlineStr">
        <is>
          <t>Ceramic</t>
        </is>
      </c>
      <c r="H303" s="1" t="inlineStr">
        <is>
          <t>Matt</t>
        </is>
      </c>
      <c r="I303" t="n">
        <v>219</v>
      </c>
    </row>
    <row r="304">
      <c r="A304" s="1">
        <f>Hyperlink("https://www.tilemountain.co.uk/p/driftwood-beige-wood-effect-wall-and-floor-tile.html","Product")</f>
        <v/>
      </c>
      <c r="B304" s="1" t="inlineStr">
        <is>
          <t>439135</t>
        </is>
      </c>
      <c r="C304" s="1" t="inlineStr">
        <is>
          <t>Driftwood Beige Wood Effect Wall And Floor Tiles</t>
        </is>
      </c>
      <c r="D304" s="1" t="n">
        <v>24.99</v>
      </c>
      <c r="E304" s="1" t="inlineStr">
        <is>
          <t>985x215mm</t>
        </is>
      </c>
      <c r="F304" s="1" t="inlineStr">
        <is>
          <t>m2</t>
        </is>
      </c>
      <c r="G304" s="1" t="inlineStr">
        <is>
          <t>Porcelain</t>
        </is>
      </c>
      <c r="H304" s="1" t="inlineStr">
        <is>
          <t>Matt</t>
        </is>
      </c>
      <c r="I304" t="n">
        <v>606</v>
      </c>
    </row>
    <row r="305">
      <c r="A305" s="1">
        <f>Hyperlink("https://www.tilemountain.co.uk/p/driftwood-white-wood-effect-wall-and-floor-tile.html","Product")</f>
        <v/>
      </c>
      <c r="B305" s="1" t="inlineStr">
        <is>
          <t>442920</t>
        </is>
      </c>
      <c r="C305" s="1" t="inlineStr">
        <is>
          <t>Driftwood White Wood Effect Wall And Floor Tiles</t>
        </is>
      </c>
      <c r="D305" s="1" t="n">
        <v>24.99</v>
      </c>
      <c r="E305" s="1" t="inlineStr">
        <is>
          <t>985x215mm</t>
        </is>
      </c>
      <c r="F305" s="1" t="inlineStr">
        <is>
          <t>m2</t>
        </is>
      </c>
      <c r="G305" s="1" t="inlineStr">
        <is>
          <t>Porcelain</t>
        </is>
      </c>
      <c r="H305" s="1" t="inlineStr">
        <is>
          <t>Matt</t>
        </is>
      </c>
      <c r="I305" t="n">
        <v>254</v>
      </c>
    </row>
    <row r="306">
      <c r="A306" s="1">
        <f>Hyperlink("https://www.tilemountain.co.uk/p/dunsen-grey-anti-slip-floor-tile.html","Product")</f>
        <v/>
      </c>
      <c r="B306" s="1" t="inlineStr">
        <is>
          <t>439385</t>
        </is>
      </c>
      <c r="C306" s="1" t="inlineStr">
        <is>
          <t>Dunsen Grey Floor Tiles</t>
        </is>
      </c>
      <c r="D306" s="1" t="n">
        <v>22.99</v>
      </c>
      <c r="E306" s="1" t="inlineStr">
        <is>
          <t>800x800mm</t>
        </is>
      </c>
      <c r="F306" s="1" t="inlineStr">
        <is>
          <t>m2</t>
        </is>
      </c>
      <c r="G306" s="1" t="inlineStr">
        <is>
          <t>Full Body Porcelain</t>
        </is>
      </c>
      <c r="H306" s="1" t="inlineStr">
        <is>
          <t>Matt</t>
        </is>
      </c>
      <c r="I306" t="n">
        <v>4042</v>
      </c>
    </row>
    <row r="307">
      <c r="A307" s="1">
        <f>Hyperlink("https://www.tilemountain.co.uk/p/duomo-azul-polished-floor-tiles.html","Product")</f>
        <v/>
      </c>
      <c r="B307" s="1" t="inlineStr">
        <is>
          <t>452240</t>
        </is>
      </c>
      <c r="C307" s="1" t="inlineStr">
        <is>
          <t>Duomo Azul Polished Floor Tile</t>
        </is>
      </c>
      <c r="D307" s="1" t="n">
        <v>39.99</v>
      </c>
      <c r="E307" s="1" t="inlineStr">
        <is>
          <t>1200x600mm</t>
        </is>
      </c>
      <c r="F307" s="1" t="inlineStr">
        <is>
          <t>m2</t>
        </is>
      </c>
      <c r="G307" s="1" t="inlineStr">
        <is>
          <t>Porcelain</t>
        </is>
      </c>
      <c r="H307" s="1" t="inlineStr">
        <is>
          <t>Polished</t>
        </is>
      </c>
      <c r="I307" t="n">
        <v>363</v>
      </c>
    </row>
    <row r="308">
      <c r="A308" s="1">
        <f>Hyperlink("https://www.tilemountain.co.uk/p/duomo-monza-blue-floor-tile.html","Product")</f>
        <v/>
      </c>
      <c r="B308" s="1" t="inlineStr">
        <is>
          <t>440305</t>
        </is>
      </c>
      <c r="C308" s="1" t="inlineStr">
        <is>
          <t>Duomo Monza Blue Wall and Floor Tiles</t>
        </is>
      </c>
      <c r="D308" s="1" t="n">
        <v>24.99</v>
      </c>
      <c r="E308" s="1" t="inlineStr">
        <is>
          <t>200x200mm</t>
        </is>
      </c>
      <c r="F308" s="1" t="inlineStr">
        <is>
          <t>m2</t>
        </is>
      </c>
      <c r="G308" s="1" t="inlineStr">
        <is>
          <t>Ceramic</t>
        </is>
      </c>
      <c r="H308" s="1" t="inlineStr">
        <is>
          <t>Matt</t>
        </is>
      </c>
      <c r="I308" t="inlineStr">
        <is>
          <t>In Stock</t>
        </is>
      </c>
    </row>
    <row r="309">
      <c r="A309" s="1">
        <f>Hyperlink("https://www.tilemountain.co.uk/p/durham-pattern-porcelain-floor-tile.html","Product")</f>
        <v/>
      </c>
      <c r="B309" s="1" t="inlineStr">
        <is>
          <t>445485</t>
        </is>
      </c>
      <c r="C309" s="1" t="inlineStr">
        <is>
          <t>Durham Pattern Porcelain Floor Tiles</t>
        </is>
      </c>
      <c r="D309" s="1" t="n">
        <v>16.99</v>
      </c>
      <c r="E309" s="1" t="inlineStr">
        <is>
          <t>450x450mm</t>
        </is>
      </c>
      <c r="F309" s="1" t="inlineStr">
        <is>
          <t>m2</t>
        </is>
      </c>
      <c r="G309" s="1" t="inlineStr">
        <is>
          <t>Porcelain</t>
        </is>
      </c>
      <c r="H309" s="1" t="inlineStr">
        <is>
          <t>Matt</t>
        </is>
      </c>
      <c r="I309" t="n">
        <v>151</v>
      </c>
    </row>
    <row r="310">
      <c r="A310" s="1">
        <f>Hyperlink("https://www.tilemountain.co.uk/p/eco-prim-grip-5kg.html","Product")</f>
        <v/>
      </c>
      <c r="B310" s="1" t="inlineStr">
        <is>
          <t>1560005</t>
        </is>
      </c>
      <c r="C310" s="1" t="inlineStr">
        <is>
          <t>Eco Prim Grip 5kg</t>
        </is>
      </c>
      <c r="D310" s="1" t="n">
        <v>27.99</v>
      </c>
      <c r="E310" s="1" t="inlineStr">
        <is>
          <t>5kg</t>
        </is>
      </c>
      <c r="F310" s="1" t="inlineStr">
        <is>
          <t>Qty</t>
        </is>
      </c>
      <c r="G310" s="1" t="inlineStr">
        <is>
          <t>-</t>
        </is>
      </c>
      <c r="H310" s="1" t="inlineStr">
        <is>
          <t>-</t>
        </is>
      </c>
      <c r="I310" t="inlineStr">
        <is>
          <t>More Stock due 24/11/21</t>
        </is>
      </c>
    </row>
    <row r="311">
      <c r="A311" s="1">
        <f>Hyperlink("https://www.tilemountain.co.uk/p/edinburgh-grey-star-patterned-porcelain-wall-and-floor-tile.html","Product")</f>
        <v/>
      </c>
      <c r="B311" s="1" t="inlineStr">
        <is>
          <t>448670</t>
        </is>
      </c>
      <c r="C311" s="1" t="inlineStr">
        <is>
          <t>Edinburgh Grey Star Patterned Porcelain Wall and Floor Tile</t>
        </is>
      </c>
      <c r="D311" s="1" t="n">
        <v>17.99</v>
      </c>
      <c r="E311" s="1" t="inlineStr">
        <is>
          <t>450x450mm</t>
        </is>
      </c>
      <c r="F311" s="1" t="inlineStr">
        <is>
          <t>m2</t>
        </is>
      </c>
      <c r="G311" s="1" t="inlineStr">
        <is>
          <t>Porcelain</t>
        </is>
      </c>
      <c r="H311" s="1" t="inlineStr">
        <is>
          <t>Matt</t>
        </is>
      </c>
      <c r="I311" t="inlineStr">
        <is>
          <t>More Stock due 19/10/21</t>
        </is>
      </c>
    </row>
    <row r="312">
      <c r="A312" s="1">
        <f>Hyperlink("https://www.tilemountain.co.uk/p/egiptian-ash.html","Product")</f>
        <v/>
      </c>
      <c r="B312" s="1" t="inlineStr">
        <is>
          <t>446855</t>
        </is>
      </c>
      <c r="C312" s="1" t="inlineStr">
        <is>
          <t>Egyptian Ash Wood Effect Floor Tiles</t>
        </is>
      </c>
      <c r="D312" s="1" t="n">
        <v>18.99</v>
      </c>
      <c r="E312" s="1" t="inlineStr">
        <is>
          <t>1195x225mm</t>
        </is>
      </c>
      <c r="F312" s="1" t="inlineStr">
        <is>
          <t>m2</t>
        </is>
      </c>
      <c r="G312" s="1" t="inlineStr">
        <is>
          <t>Porcelain</t>
        </is>
      </c>
      <c r="H312" s="1" t="inlineStr">
        <is>
          <t>Matt</t>
        </is>
      </c>
      <c r="I312" t="n">
        <v>190</v>
      </c>
    </row>
    <row r="313">
      <c r="A313" s="1">
        <f>Hyperlink("https://www.tilemountain.co.uk/p/egiptian-gold.html","Product")</f>
        <v/>
      </c>
      <c r="B313" s="1" t="inlineStr">
        <is>
          <t>446860</t>
        </is>
      </c>
      <c r="C313" s="1" t="inlineStr">
        <is>
          <t>Egyptian Gold Wood Effect Floor Tiles</t>
        </is>
      </c>
      <c r="D313" s="1" t="n">
        <v>18.99</v>
      </c>
      <c r="E313" s="1" t="inlineStr">
        <is>
          <t>1195x225mm</t>
        </is>
      </c>
      <c r="F313" s="1" t="inlineStr">
        <is>
          <t>m2</t>
        </is>
      </c>
      <c r="G313" s="1" t="inlineStr">
        <is>
          <t>Porcelain</t>
        </is>
      </c>
      <c r="H313" s="1" t="inlineStr">
        <is>
          <t>Matt</t>
        </is>
      </c>
      <c r="I313" t="n">
        <v>608</v>
      </c>
    </row>
    <row r="314">
      <c r="A314" s="1">
        <f>Hyperlink("https://www.tilemountain.co.uk/p/eire-gris-cobbles-decor-outdoor-tile.html","Product")</f>
        <v/>
      </c>
      <c r="B314" s="1" t="inlineStr">
        <is>
          <t>454490</t>
        </is>
      </c>
      <c r="C314" s="1" t="inlineStr">
        <is>
          <t>Eire Gris Cobbles Decor Outdoor Slab</t>
        </is>
      </c>
      <c r="D314" s="1" t="n">
        <v>29.99</v>
      </c>
      <c r="E314" s="1" t="inlineStr">
        <is>
          <t>610x610mm</t>
        </is>
      </c>
      <c r="F314" s="1" t="inlineStr">
        <is>
          <t>m2</t>
        </is>
      </c>
      <c r="G314" s="1" t="inlineStr">
        <is>
          <t>Porcelain</t>
        </is>
      </c>
      <c r="H314" s="1" t="inlineStr">
        <is>
          <t>Riven</t>
        </is>
      </c>
      <c r="I314" t="n">
        <v>346</v>
      </c>
    </row>
    <row r="315">
      <c r="A315" s="1">
        <f>Hyperlink("https://www.tilemountain.co.uk/p/eire-gris-cobbles-outdoor-slab-tile.html","Product")</f>
        <v/>
      </c>
      <c r="B315" s="1" t="inlineStr">
        <is>
          <t>454485</t>
        </is>
      </c>
      <c r="C315" s="1" t="inlineStr">
        <is>
          <t>Eire Gris Cobbles Outdoor Slab</t>
        </is>
      </c>
      <c r="D315" s="1" t="n">
        <v>29.99</v>
      </c>
      <c r="E315" s="1" t="inlineStr">
        <is>
          <t>610x610mm</t>
        </is>
      </c>
      <c r="F315" s="1" t="inlineStr">
        <is>
          <t>m2</t>
        </is>
      </c>
      <c r="G315" s="1" t="inlineStr">
        <is>
          <t>Porcelain</t>
        </is>
      </c>
      <c r="H315" s="1" t="inlineStr">
        <is>
          <t>Riven</t>
        </is>
      </c>
      <c r="I315" t="n">
        <v>519</v>
      </c>
    </row>
    <row r="316">
      <c r="A316" s="1">
        <f>Hyperlink("https://www.tilemountain.co.uk/p/elements-antracite-10x30cm-wall-tiles.html","Product")</f>
        <v/>
      </c>
      <c r="B316" s="1" t="inlineStr">
        <is>
          <t>401380</t>
        </is>
      </c>
      <c r="C316" s="1" t="inlineStr">
        <is>
          <t>Elements Anthracite Wall Tiles</t>
        </is>
      </c>
      <c r="D316" s="1" t="n">
        <v>17</v>
      </c>
      <c r="E316" s="1" t="inlineStr">
        <is>
          <t>300x100mm</t>
        </is>
      </c>
      <c r="F316" s="1" t="inlineStr">
        <is>
          <t>m2</t>
        </is>
      </c>
      <c r="G316" s="1" t="inlineStr">
        <is>
          <t>Ceramic</t>
        </is>
      </c>
      <c r="H316" s="1" t="inlineStr">
        <is>
          <t>Gloss</t>
        </is>
      </c>
      <c r="I316" t="n">
        <v>108</v>
      </c>
    </row>
    <row r="317">
      <c r="A317" s="1">
        <f>Hyperlink("https://www.tilemountain.co.uk/p/elements-sabbia-10x20cm-wall-tiles.html","Product")</f>
        <v/>
      </c>
      <c r="B317" s="1" t="inlineStr">
        <is>
          <t>401350</t>
        </is>
      </c>
      <c r="C317" s="1" t="inlineStr">
        <is>
          <t>Elements Sabbia Wall Tiles</t>
        </is>
      </c>
      <c r="D317" s="1" t="n">
        <v>17</v>
      </c>
      <c r="E317" s="1" t="inlineStr">
        <is>
          <t>300x100mm</t>
        </is>
      </c>
      <c r="F317" s="1" t="inlineStr">
        <is>
          <t>m2</t>
        </is>
      </c>
      <c r="G317" s="1" t="inlineStr">
        <is>
          <t>Ceramic</t>
        </is>
      </c>
      <c r="H317" s="1" t="inlineStr">
        <is>
          <t>Gloss</t>
        </is>
      </c>
      <c r="I317" t="inlineStr">
        <is>
          <t>In Stock</t>
        </is>
      </c>
    </row>
    <row r="318">
      <c r="A318" s="1">
        <f>Hyperlink("https://www.tilemountain.co.uk/p/elven-beige-decor-wall-tile.html","Product")</f>
        <v/>
      </c>
      <c r="B318" s="1" t="inlineStr">
        <is>
          <t>446180</t>
        </is>
      </c>
      <c r="C318" s="1" t="inlineStr">
        <is>
          <t>Elven Beige Decor Wall Tiles</t>
        </is>
      </c>
      <c r="D318" s="1" t="n">
        <v>20.99</v>
      </c>
      <c r="E318" s="1" t="inlineStr">
        <is>
          <t>700x250mm</t>
        </is>
      </c>
      <c r="F318" s="1" t="inlineStr">
        <is>
          <t>m2</t>
        </is>
      </c>
      <c r="G318" s="1" t="inlineStr">
        <is>
          <t>Ceramic</t>
        </is>
      </c>
      <c r="H318" s="1" t="inlineStr">
        <is>
          <t>Matt</t>
        </is>
      </c>
      <c r="I318" t="n">
        <v>16</v>
      </c>
    </row>
    <row r="319">
      <c r="A319" s="1">
        <f>Hyperlink("https://www.tilemountain.co.uk/p/elven-beige-matt-floor-tile.html","Product")</f>
        <v/>
      </c>
      <c r="B319" s="1" t="inlineStr">
        <is>
          <t>446195</t>
        </is>
      </c>
      <c r="C319" s="1" t="inlineStr">
        <is>
          <t>Elven Beige Matt Floor Tiles</t>
        </is>
      </c>
      <c r="D319" s="1" t="n">
        <v>22.99</v>
      </c>
      <c r="E319" s="1" t="inlineStr">
        <is>
          <t>600x600mm</t>
        </is>
      </c>
      <c r="F319" s="1" t="inlineStr">
        <is>
          <t>m2</t>
        </is>
      </c>
      <c r="G319" s="1" t="inlineStr">
        <is>
          <t>Porcelain</t>
        </is>
      </c>
      <c r="H319" s="1" t="inlineStr">
        <is>
          <t>Matt</t>
        </is>
      </c>
      <c r="I319" t="n">
        <v>316</v>
      </c>
    </row>
    <row r="320">
      <c r="A320" s="1">
        <f>Hyperlink("https://www.tilemountain.co.uk/p/elven-beige-matt-wall-tile.html","Product")</f>
        <v/>
      </c>
      <c r="B320" s="1" t="inlineStr">
        <is>
          <t>446165</t>
        </is>
      </c>
      <c r="C320" s="1" t="inlineStr">
        <is>
          <t>Elven Beige Matt Wall Tiles</t>
        </is>
      </c>
      <c r="D320" s="1" t="n">
        <v>18.99</v>
      </c>
      <c r="E320" s="1" t="inlineStr">
        <is>
          <t>700x250mm</t>
        </is>
      </c>
      <c r="F320" s="1" t="inlineStr">
        <is>
          <t>m2</t>
        </is>
      </c>
      <c r="G320" s="1" t="inlineStr">
        <is>
          <t>Ceramic</t>
        </is>
      </c>
      <c r="H320" s="1" t="inlineStr">
        <is>
          <t>Matt</t>
        </is>
      </c>
      <c r="I320" t="n">
        <v>213</v>
      </c>
    </row>
    <row r="321">
      <c r="A321" s="1">
        <f>Hyperlink("https://www.tilemountain.co.uk/p/elven-blanco-decor-wall-tile.html","Product")</f>
        <v/>
      </c>
      <c r="B321" s="1" t="inlineStr">
        <is>
          <t>446175</t>
        </is>
      </c>
      <c r="C321" s="1" t="inlineStr">
        <is>
          <t>Elven Blanco Decor Wall Tiles</t>
        </is>
      </c>
      <c r="D321" s="1" t="n">
        <v>20.99</v>
      </c>
      <c r="E321" s="1" t="inlineStr">
        <is>
          <t>700x250mm</t>
        </is>
      </c>
      <c r="F321" s="1" t="inlineStr">
        <is>
          <t>m2</t>
        </is>
      </c>
      <c r="G321" s="1" t="inlineStr">
        <is>
          <t>Ceramic</t>
        </is>
      </c>
      <c r="H321" s="1" t="inlineStr">
        <is>
          <t>Matt</t>
        </is>
      </c>
      <c r="I321" t="n">
        <v>234</v>
      </c>
    </row>
    <row r="322">
      <c r="A322" s="1">
        <f>Hyperlink("https://www.tilemountain.co.uk/p/elven-blanco-matt-floor-tile.html","Product")</f>
        <v/>
      </c>
      <c r="B322" s="1" t="inlineStr">
        <is>
          <t>446190</t>
        </is>
      </c>
      <c r="C322" s="1" t="inlineStr">
        <is>
          <t>Elven Blanco Matt Floor Tiles</t>
        </is>
      </c>
      <c r="D322" s="1" t="n">
        <v>22.99</v>
      </c>
      <c r="E322" s="1" t="inlineStr">
        <is>
          <t>600x600mm</t>
        </is>
      </c>
      <c r="F322" s="1" t="inlineStr">
        <is>
          <t>m2</t>
        </is>
      </c>
      <c r="G322" s="1" t="inlineStr">
        <is>
          <t>Porcelain</t>
        </is>
      </c>
      <c r="H322" s="1" t="inlineStr">
        <is>
          <t>Matt</t>
        </is>
      </c>
      <c r="I322" t="n">
        <v>163</v>
      </c>
    </row>
    <row r="323">
      <c r="A323" s="1">
        <f>Hyperlink("https://www.tilemountain.co.uk/p/elven-blanco-matt-wall-tile.html","Product")</f>
        <v/>
      </c>
      <c r="B323" s="1" t="inlineStr">
        <is>
          <t>446160</t>
        </is>
      </c>
      <c r="C323" s="1" t="inlineStr">
        <is>
          <t>Elven Blanco Matt Wall Tiles</t>
        </is>
      </c>
      <c r="D323" s="1" t="n">
        <v>18.99</v>
      </c>
      <c r="E323" s="1" t="inlineStr">
        <is>
          <t>250x700</t>
        </is>
      </c>
      <c r="F323" s="1" t="inlineStr">
        <is>
          <t>m2</t>
        </is>
      </c>
      <c r="G323" s="1" t="inlineStr">
        <is>
          <t>Ceramic</t>
        </is>
      </c>
      <c r="H323" s="1" t="inlineStr">
        <is>
          <t>Matt</t>
        </is>
      </c>
      <c r="I323" t="n">
        <v>259</v>
      </c>
    </row>
    <row r="324">
      <c r="A324" s="1">
        <f>Hyperlink("https://www.tilemountain.co.uk/p/elven-grey-decor-wall-tile.html","Product")</f>
        <v/>
      </c>
      <c r="B324" s="1" t="inlineStr">
        <is>
          <t>446185</t>
        </is>
      </c>
      <c r="C324" s="1" t="inlineStr">
        <is>
          <t>Elven Grey Decor Wall Tiles</t>
        </is>
      </c>
      <c r="D324" s="1" t="n">
        <v>20.99</v>
      </c>
      <c r="E324" s="1" t="inlineStr">
        <is>
          <t>700x250mm</t>
        </is>
      </c>
      <c r="F324" s="1" t="inlineStr">
        <is>
          <t>m2</t>
        </is>
      </c>
      <c r="G324" s="1" t="inlineStr">
        <is>
          <t>Ceramic</t>
        </is>
      </c>
      <c r="H324" s="1" t="inlineStr">
        <is>
          <t>Matt</t>
        </is>
      </c>
      <c r="I324" t="n">
        <v>72</v>
      </c>
    </row>
    <row r="325">
      <c r="A325" s="1">
        <f>Hyperlink("https://www.tilemountain.co.uk/p/elven-grey-matt-floor-tile.html","Product")</f>
        <v/>
      </c>
      <c r="B325" s="1" t="inlineStr">
        <is>
          <t>446200</t>
        </is>
      </c>
      <c r="C325" s="1" t="inlineStr">
        <is>
          <t>Elven Grey Matt Floor Tiles</t>
        </is>
      </c>
      <c r="D325" s="1" t="n">
        <v>22.99</v>
      </c>
      <c r="E325" s="1" t="inlineStr">
        <is>
          <t>600x600mm</t>
        </is>
      </c>
      <c r="F325" s="1" t="inlineStr">
        <is>
          <t>m2</t>
        </is>
      </c>
      <c r="G325" s="1" t="inlineStr">
        <is>
          <t>Porcelain</t>
        </is>
      </c>
      <c r="H325" s="1" t="inlineStr">
        <is>
          <t>Matt</t>
        </is>
      </c>
      <c r="I325" t="n">
        <v>310</v>
      </c>
    </row>
    <row r="326">
      <c r="A326" s="1">
        <f>Hyperlink("https://www.tilemountain.co.uk/p/elven-grey-matt-wall-tile.html","Product")</f>
        <v/>
      </c>
      <c r="B326" s="1" t="inlineStr">
        <is>
          <t>446170</t>
        </is>
      </c>
      <c r="C326" s="1" t="inlineStr">
        <is>
          <t>Elven Grey Matt Wall Tiles</t>
        </is>
      </c>
      <c r="D326" s="1" t="n">
        <v>18.99</v>
      </c>
      <c r="E326" s="1" t="inlineStr">
        <is>
          <t>700x250mm</t>
        </is>
      </c>
      <c r="F326" s="1" t="inlineStr">
        <is>
          <t>m2</t>
        </is>
      </c>
      <c r="G326" s="1" t="inlineStr">
        <is>
          <t>Ceramic</t>
        </is>
      </c>
      <c r="H326" s="1" t="inlineStr">
        <is>
          <t>Matt</t>
        </is>
      </c>
      <c r="I326" t="n">
        <v>81</v>
      </c>
    </row>
    <row r="327">
      <c r="A327" s="1">
        <f>Hyperlink("https://www.tilemountain.co.uk/p/emulsifying-pad-white-25x11cm.html","Product")</f>
        <v/>
      </c>
      <c r="B327" s="1" t="inlineStr">
        <is>
          <t>LTPT37</t>
        </is>
      </c>
      <c r="C327" s="1" t="inlineStr">
        <is>
          <t>Emulsifying Pad White 25x11cm</t>
        </is>
      </c>
      <c r="D327" s="1" t="n">
        <v>2.95</v>
      </c>
      <c r="E327" s="1" t="inlineStr">
        <is>
          <t>-</t>
        </is>
      </c>
      <c r="F327" s="1" t="inlineStr">
        <is>
          <t>Qty</t>
        </is>
      </c>
      <c r="G327" s="1" t="inlineStr">
        <is>
          <t>-</t>
        </is>
      </c>
      <c r="H327" s="1" t="inlineStr">
        <is>
          <t>-</t>
        </is>
      </c>
      <c r="I327" t="inlineStr"/>
    </row>
    <row r="328">
      <c r="A328" s="1">
        <f>Hyperlink("https://www.tilemountain.co.uk/p/enstone-anthracite-outdoor-tile.html","Product")</f>
        <v/>
      </c>
      <c r="B328" s="1" t="inlineStr">
        <is>
          <t>442980</t>
        </is>
      </c>
      <c r="C328" s="1" t="inlineStr">
        <is>
          <t>Enstone Anthracite Outdoor Slab Tiles</t>
        </is>
      </c>
      <c r="D328" s="1" t="n">
        <v>29.99</v>
      </c>
      <c r="E328" s="1" t="inlineStr">
        <is>
          <t>600x600mm</t>
        </is>
      </c>
      <c r="F328" s="1" t="inlineStr">
        <is>
          <t>m2</t>
        </is>
      </c>
      <c r="G328" s="1" t="inlineStr">
        <is>
          <t>Porcelain</t>
        </is>
      </c>
      <c r="H328" s="1" t="inlineStr">
        <is>
          <t>Matt</t>
        </is>
      </c>
      <c r="I328" t="n">
        <v>488</v>
      </c>
    </row>
    <row r="329">
      <c r="A329" s="1">
        <f>Hyperlink("https://www.tilemountain.co.uk/p/enstone-grey-outdoor-tile.html","Product")</f>
        <v/>
      </c>
      <c r="B329" s="1" t="inlineStr">
        <is>
          <t>442975</t>
        </is>
      </c>
      <c r="C329" s="1" t="inlineStr">
        <is>
          <t>Enstone Grey Outdoor Slab Tiles</t>
        </is>
      </c>
      <c r="D329" s="1" t="n">
        <v>29.99</v>
      </c>
      <c r="E329" s="1" t="inlineStr">
        <is>
          <t>600x600mm</t>
        </is>
      </c>
      <c r="F329" s="1" t="inlineStr">
        <is>
          <t>m2</t>
        </is>
      </c>
      <c r="G329" s="1" t="inlineStr">
        <is>
          <t>Porcelain</t>
        </is>
      </c>
      <c r="H329" s="1" t="inlineStr">
        <is>
          <t>Matt</t>
        </is>
      </c>
      <c r="I329" t="n">
        <v>46</v>
      </c>
    </row>
    <row r="330">
      <c r="A330" s="1">
        <f>Hyperlink("https://www.tilemountain.co.uk/p/erebor-beige.html","Product")</f>
        <v/>
      </c>
      <c r="B330" s="1" t="inlineStr">
        <is>
          <t>454540</t>
        </is>
      </c>
      <c r="C330" s="1" t="inlineStr">
        <is>
          <t>Ebor Beige Outdoor Slab</t>
        </is>
      </c>
      <c r="D330" s="1" t="n">
        <v>25.99</v>
      </c>
      <c r="E330" s="1" t="inlineStr">
        <is>
          <t>595x595mm</t>
        </is>
      </c>
      <c r="F330" s="1" t="inlineStr">
        <is>
          <t>m2</t>
        </is>
      </c>
      <c r="G330" s="1" t="inlineStr">
        <is>
          <t>Porcelain</t>
        </is>
      </c>
      <c r="H330" s="1" t="inlineStr">
        <is>
          <t>Matt</t>
        </is>
      </c>
      <c r="I330" t="inlineStr">
        <is>
          <t>More Stock</t>
        </is>
      </c>
    </row>
    <row r="331">
      <c r="A331" s="1">
        <f>Hyperlink("https://www.tilemountain.co.uk/p/erebor-gris.html","Product")</f>
        <v/>
      </c>
      <c r="B331" s="1" t="inlineStr">
        <is>
          <t>454535</t>
        </is>
      </c>
      <c r="C331" s="1" t="inlineStr">
        <is>
          <t>Ebor Grey Outdoor Slab</t>
        </is>
      </c>
      <c r="D331" s="1" t="n">
        <v>25.99</v>
      </c>
      <c r="E331" s="1" t="inlineStr">
        <is>
          <t>595x595mm</t>
        </is>
      </c>
      <c r="F331" s="1" t="inlineStr">
        <is>
          <t>m2</t>
        </is>
      </c>
      <c r="G331" s="1" t="inlineStr">
        <is>
          <t>Porcelain</t>
        </is>
      </c>
      <c r="H331" s="1" t="inlineStr">
        <is>
          <t>Matt</t>
        </is>
      </c>
      <c r="I331" t="n">
        <v>424</v>
      </c>
    </row>
    <row r="332">
      <c r="A332" s="1">
        <f>Hyperlink("https://www.tilemountain.co.uk/p/erebor-natural-split-face-wall-tile.html","Product")</f>
        <v/>
      </c>
      <c r="B332" s="1" t="inlineStr">
        <is>
          <t>446670</t>
        </is>
      </c>
      <c r="C332" s="1" t="inlineStr">
        <is>
          <t>Erebor Natural Split Face Wall Tiles</t>
        </is>
      </c>
      <c r="D332" s="1" t="n">
        <v>25.99</v>
      </c>
      <c r="E332" s="1" t="inlineStr">
        <is>
          <t>660x440mm</t>
        </is>
      </c>
      <c r="F332" s="1" t="inlineStr">
        <is>
          <t>m2</t>
        </is>
      </c>
      <c r="G332" s="1" t="inlineStr">
        <is>
          <t>Porcelain</t>
        </is>
      </c>
      <c r="H332" s="1" t="inlineStr">
        <is>
          <t>Matt</t>
        </is>
      </c>
      <c r="I332" t="n">
        <v>175</v>
      </c>
    </row>
    <row r="333">
      <c r="A333" s="1">
        <f>Hyperlink("https://www.tilemountain.co.uk/p/erebor-steel-split-face-wall-tile.html","Product")</f>
        <v/>
      </c>
      <c r="B333" s="1" t="inlineStr">
        <is>
          <t>446660</t>
        </is>
      </c>
      <c r="C333" s="1" t="inlineStr">
        <is>
          <t>Erebor Steel Split Face Wall Tiles</t>
        </is>
      </c>
      <c r="D333" s="1" t="n">
        <v>25.99</v>
      </c>
      <c r="E333" s="1" t="inlineStr">
        <is>
          <t>660x440mm</t>
        </is>
      </c>
      <c r="F333" s="1" t="inlineStr">
        <is>
          <t>m2</t>
        </is>
      </c>
      <c r="G333" s="1" t="inlineStr">
        <is>
          <t>Porcelain</t>
        </is>
      </c>
      <c r="H333" s="1" t="inlineStr">
        <is>
          <t>Matt</t>
        </is>
      </c>
      <c r="I333" t="n">
        <v>226</v>
      </c>
    </row>
    <row r="334">
      <c r="A334" s="1">
        <f>Hyperlink("https://www.tilemountain.co.uk/p/erebor-white-split-face-wall-tile.html","Product")</f>
        <v/>
      </c>
      <c r="B334" s="1" t="inlineStr">
        <is>
          <t>446665</t>
        </is>
      </c>
      <c r="C334" s="1" t="inlineStr">
        <is>
          <t>Erebor White Split Face Wall Tiles</t>
        </is>
      </c>
      <c r="D334" s="1" t="n">
        <v>25.99</v>
      </c>
      <c r="E334" s="1" t="inlineStr">
        <is>
          <t>660x440mm</t>
        </is>
      </c>
      <c r="F334" s="1" t="inlineStr">
        <is>
          <t>m2</t>
        </is>
      </c>
      <c r="G334" s="1" t="inlineStr">
        <is>
          <t>Porcelain</t>
        </is>
      </c>
      <c r="H334" s="1" t="inlineStr">
        <is>
          <t>Matt</t>
        </is>
      </c>
      <c r="I334" t="n">
        <v>112</v>
      </c>
    </row>
    <row r="335">
      <c r="A335" s="1">
        <f>Hyperlink("https://www.tilemountain.co.uk/p/esenzia-fenice-patterened-wall-tile.html","Product")</f>
        <v/>
      </c>
      <c r="B335" s="1" t="inlineStr">
        <is>
          <t>440295</t>
        </is>
      </c>
      <c r="C335" s="1" t="inlineStr">
        <is>
          <t>Esenzia Fenice Patterned Wall Tiles</t>
        </is>
      </c>
      <c r="D335" s="1" t="n">
        <v>22.99</v>
      </c>
      <c r="E335" s="1" t="inlineStr">
        <is>
          <t>300x150mm</t>
        </is>
      </c>
      <c r="F335" s="1" t="inlineStr">
        <is>
          <t>m2</t>
        </is>
      </c>
      <c r="G335" s="1" t="inlineStr">
        <is>
          <t>Ceramic</t>
        </is>
      </c>
      <c r="H335" s="1" t="inlineStr">
        <is>
          <t>Gloss</t>
        </is>
      </c>
      <c r="I335" t="n">
        <v>17</v>
      </c>
    </row>
    <row r="336">
      <c r="A336" s="1">
        <f>Hyperlink("https://www.tilemountain.co.uk/p/esenzia-gondola-patterned-wall-tile.html","Product")</f>
        <v/>
      </c>
      <c r="B336" s="1" t="inlineStr">
        <is>
          <t>440290</t>
        </is>
      </c>
      <c r="C336" s="1" t="inlineStr">
        <is>
          <t>Esenzia Gondola Patterned Wall Tiles</t>
        </is>
      </c>
      <c r="D336" s="1" t="n">
        <v>22.99</v>
      </c>
      <c r="E336" s="1" t="inlineStr">
        <is>
          <t>300x150mm</t>
        </is>
      </c>
      <c r="F336" s="1" t="inlineStr">
        <is>
          <t>m2</t>
        </is>
      </c>
      <c r="G336" s="1" t="inlineStr">
        <is>
          <t>Ceramic</t>
        </is>
      </c>
      <c r="H336" s="1" t="inlineStr">
        <is>
          <t>Gloss</t>
        </is>
      </c>
      <c r="I336" t="n">
        <v>48</v>
      </c>
    </row>
    <row r="337">
      <c r="A337" s="1">
        <f>Hyperlink("https://www.tilemountain.co.uk/p/esenzia-grey-wall-tile.html","Product")</f>
        <v/>
      </c>
      <c r="B337" s="1" t="inlineStr">
        <is>
          <t>440270</t>
        </is>
      </c>
      <c r="C337" s="1" t="inlineStr">
        <is>
          <t>Esenzia Grey Wall Tiles</t>
        </is>
      </c>
      <c r="D337" s="1" t="n">
        <v>19.99</v>
      </c>
      <c r="E337" s="1" t="inlineStr">
        <is>
          <t>300x150mm</t>
        </is>
      </c>
      <c r="F337" s="1" t="inlineStr">
        <is>
          <t>m2</t>
        </is>
      </c>
      <c r="G337" s="1" t="inlineStr">
        <is>
          <t>Ceramic</t>
        </is>
      </c>
      <c r="H337" s="1" t="inlineStr">
        <is>
          <t>Gloss</t>
        </is>
      </c>
      <c r="I337" t="n">
        <v>25</v>
      </c>
    </row>
    <row r="338">
      <c r="A338" s="1">
        <f>Hyperlink("https://www.tilemountain.co.uk/p/esenzia-leaf-wall-tile.html","Product")</f>
        <v/>
      </c>
      <c r="B338" s="1" t="inlineStr">
        <is>
          <t>440275</t>
        </is>
      </c>
      <c r="C338" s="1" t="inlineStr">
        <is>
          <t>Esenzia Leaf Wall Tiles</t>
        </is>
      </c>
      <c r="D338" s="1" t="n">
        <v>19.99</v>
      </c>
      <c r="E338" s="1" t="inlineStr">
        <is>
          <t>300x150mm</t>
        </is>
      </c>
      <c r="F338" s="1" t="inlineStr">
        <is>
          <t>m2</t>
        </is>
      </c>
      <c r="G338" s="1" t="inlineStr">
        <is>
          <t>Ceramic</t>
        </is>
      </c>
      <c r="H338" s="1" t="inlineStr">
        <is>
          <t>Gloss</t>
        </is>
      </c>
      <c r="I338" t="n">
        <v>63</v>
      </c>
    </row>
    <row r="339">
      <c r="A339" s="1">
        <f>Hyperlink("https://www.tilemountain.co.uk/p/esenzia-white-wall-tile.html","Product")</f>
        <v/>
      </c>
      <c r="B339" s="1" t="inlineStr">
        <is>
          <t>440265</t>
        </is>
      </c>
      <c r="C339" s="1" t="inlineStr">
        <is>
          <t>Esenzia White Wall Tiles</t>
        </is>
      </c>
      <c r="D339" s="1" t="n">
        <v>19.99</v>
      </c>
      <c r="E339" s="1" t="inlineStr">
        <is>
          <t>300x150mm</t>
        </is>
      </c>
      <c r="F339" s="1" t="inlineStr">
        <is>
          <t>m2</t>
        </is>
      </c>
      <c r="G339" s="1" t="inlineStr">
        <is>
          <t>Ceramic</t>
        </is>
      </c>
      <c r="H339" s="1" t="inlineStr">
        <is>
          <t>Gloss</t>
        </is>
      </c>
      <c r="I339" t="n">
        <v>236</v>
      </c>
    </row>
    <row r="340">
      <c r="A340" s="1">
        <f>Hyperlink("https://www.tilemountain.co.uk/p/etna-anthracite-porcelain-wall-and-floor-tile.html","Product")</f>
        <v/>
      </c>
      <c r="B340" s="1" t="inlineStr">
        <is>
          <t>440455</t>
        </is>
      </c>
      <c r="C340" s="1" t="inlineStr">
        <is>
          <t>Etna Anthracite Porcelain Wall And Floor Tiles</t>
        </is>
      </c>
      <c r="D340" s="1" t="n">
        <v>23.99</v>
      </c>
      <c r="E340" s="1" t="inlineStr">
        <is>
          <t>450x900mm</t>
        </is>
      </c>
      <c r="F340" s="1" t="inlineStr">
        <is>
          <t>m2</t>
        </is>
      </c>
      <c r="G340" s="1" t="inlineStr">
        <is>
          <t>Porcelain</t>
        </is>
      </c>
      <c r="H340" s="1" t="inlineStr">
        <is>
          <t>Semi Polished</t>
        </is>
      </c>
      <c r="I340" t="n">
        <v>176</v>
      </c>
    </row>
    <row r="341">
      <c r="A341" s="1">
        <f>Hyperlink("https://www.tilemountain.co.uk/p/etna-lava-porcelain-wall-and-floor-tile.html","Product")</f>
        <v/>
      </c>
      <c r="B341" s="1" t="inlineStr">
        <is>
          <t>440460</t>
        </is>
      </c>
      <c r="C341" s="1" t="inlineStr">
        <is>
          <t>Etna Lava Porcelain Wall And Floor Tiles</t>
        </is>
      </c>
      <c r="D341" s="1" t="n">
        <v>23.99</v>
      </c>
      <c r="E341" s="1" t="inlineStr">
        <is>
          <t>450x900mm</t>
        </is>
      </c>
      <c r="F341" s="1" t="inlineStr">
        <is>
          <t>m2</t>
        </is>
      </c>
      <c r="G341" s="1" t="inlineStr">
        <is>
          <t>Porcelain</t>
        </is>
      </c>
      <c r="H341" s="1" t="inlineStr">
        <is>
          <t>Semi Polished</t>
        </is>
      </c>
      <c r="I341" t="n">
        <v>293</v>
      </c>
    </row>
    <row r="342">
      <c r="A342" s="1">
        <f>Hyperlink("https://www.tilemountain.co.uk/p/etna-rust-porcelain-wall-and-floor-tile.html","Product")</f>
        <v/>
      </c>
      <c r="B342" s="1" t="inlineStr">
        <is>
          <t>440465</t>
        </is>
      </c>
      <c r="C342" s="1" t="inlineStr">
        <is>
          <t>Etna Rust Porcelain Wall And Floor Tiles</t>
        </is>
      </c>
      <c r="D342" s="1" t="n">
        <v>23.99</v>
      </c>
      <c r="E342" s="1" t="inlineStr">
        <is>
          <t>450x900mm</t>
        </is>
      </c>
      <c r="F342" s="1" t="inlineStr">
        <is>
          <t>m2</t>
        </is>
      </c>
      <c r="G342" s="1" t="inlineStr">
        <is>
          <t>Porcelain</t>
        </is>
      </c>
      <c r="H342" s="1" t="inlineStr">
        <is>
          <t>Semi Polished</t>
        </is>
      </c>
      <c r="I342" t="n">
        <v>329</v>
      </c>
    </row>
    <row r="343">
      <c r="A343" s="1">
        <f>Hyperlink("https://www.tilemountain.co.uk/p/evolution-matt-natural-black-floor-tile.html","Product")</f>
        <v/>
      </c>
      <c r="B343" s="1" t="inlineStr">
        <is>
          <t>439510</t>
        </is>
      </c>
      <c r="C343" s="1" t="inlineStr">
        <is>
          <t>Evolution Matt Natural Black Floor Tiles</t>
        </is>
      </c>
      <c r="D343" s="1" t="n">
        <v>23</v>
      </c>
      <c r="E343" s="1" t="inlineStr">
        <is>
          <t>1000x500mm</t>
        </is>
      </c>
      <c r="F343" s="1" t="inlineStr">
        <is>
          <t>m2</t>
        </is>
      </c>
      <c r="G343" s="1" t="inlineStr">
        <is>
          <t>Porcelain</t>
        </is>
      </c>
      <c r="H343" s="1" t="inlineStr">
        <is>
          <t>Matt</t>
        </is>
      </c>
      <c r="I343" t="n">
        <v>42</v>
      </c>
    </row>
    <row r="344">
      <c r="A344" s="1">
        <f>Hyperlink("https://www.tilemountain.co.uk/p/evolution-matt-natural-white-floor-tile.html","Product")</f>
        <v/>
      </c>
      <c r="B344" s="1" t="inlineStr">
        <is>
          <t>439520</t>
        </is>
      </c>
      <c r="C344" s="1" t="inlineStr">
        <is>
          <t>Evolution Matt Natural White Floor Tiles</t>
        </is>
      </c>
      <c r="D344" s="1" t="n">
        <v>30.99</v>
      </c>
      <c r="E344" s="1" t="inlineStr">
        <is>
          <t>1000x500mm</t>
        </is>
      </c>
      <c r="F344" s="1" t="inlineStr">
        <is>
          <t>m2</t>
        </is>
      </c>
      <c r="G344" s="1" t="inlineStr">
        <is>
          <t>Porcelain</t>
        </is>
      </c>
      <c r="H344" s="1" t="inlineStr">
        <is>
          <t>Matt</t>
        </is>
      </c>
      <c r="I344" t="n">
        <v>64</v>
      </c>
    </row>
    <row r="345">
      <c r="A345" s="1">
        <f>Hyperlink("https://www.tilemountain.co.uk/p/evoque-carthusain-encaustic-effect-porcelain-floor-tile.html","Product")</f>
        <v/>
      </c>
      <c r="B345" s="1" t="inlineStr">
        <is>
          <t>448980</t>
        </is>
      </c>
      <c r="C345" s="1" t="inlineStr">
        <is>
          <t>Evoque Carthusain Encaustic Effect Porcelain Floor Tile</t>
        </is>
      </c>
      <c r="D345" s="1" t="n">
        <v>17.92</v>
      </c>
      <c r="E345" s="1" t="inlineStr">
        <is>
          <t>250x250mm</t>
        </is>
      </c>
      <c r="F345" s="1" t="inlineStr">
        <is>
          <t>m2</t>
        </is>
      </c>
      <c r="G345" s="1" t="inlineStr">
        <is>
          <t>Porcelain</t>
        </is>
      </c>
      <c r="H345" s="1" t="inlineStr">
        <is>
          <t>Matt</t>
        </is>
      </c>
      <c r="I345" t="n">
        <v>41</v>
      </c>
    </row>
    <row r="346">
      <c r="A346" s="1">
        <f>Hyperlink("https://www.tilemountain.co.uk/p/exeter-pattern-porcelain-floor-tile.html","Product")</f>
        <v/>
      </c>
      <c r="B346" s="1" t="inlineStr">
        <is>
          <t>445500</t>
        </is>
      </c>
      <c r="C346" s="1" t="inlineStr">
        <is>
          <t>Exeter Pattern Porcelain Floor Tiles</t>
        </is>
      </c>
      <c r="D346" s="1" t="n">
        <v>10.99</v>
      </c>
      <c r="E346" s="1" t="inlineStr">
        <is>
          <t>333x333mm</t>
        </is>
      </c>
      <c r="F346" s="1" t="inlineStr">
        <is>
          <t>m2</t>
        </is>
      </c>
      <c r="G346" s="1" t="inlineStr">
        <is>
          <t>Porcelain</t>
        </is>
      </c>
      <c r="H346" s="1" t="inlineStr">
        <is>
          <t>Matt</t>
        </is>
      </c>
      <c r="I346" t="inlineStr">
        <is>
          <t>More Stock due 19/10/21</t>
        </is>
      </c>
    </row>
    <row r="347">
      <c r="A347" s="1">
        <f>Hyperlink("https://www.tilemountain.co.uk/p/extreme-white-800x800-polished-porcelain-floor-tile.html","Product")</f>
        <v/>
      </c>
      <c r="B347" s="1" t="inlineStr">
        <is>
          <t>454095</t>
        </is>
      </c>
      <c r="C347" s="1" t="inlineStr">
        <is>
          <t>Extreme White Polished Porcelain Floor Tile</t>
        </is>
      </c>
      <c r="D347" s="1" t="n">
        <v>24.99</v>
      </c>
      <c r="E347" s="1" t="inlineStr">
        <is>
          <t>800x800mm</t>
        </is>
      </c>
      <c r="F347" s="1" t="inlineStr">
        <is>
          <t>m2</t>
        </is>
      </c>
      <c r="G347" s="1" t="inlineStr">
        <is>
          <t>Porcelain</t>
        </is>
      </c>
      <c r="H347" s="1" t="inlineStr">
        <is>
          <t>Polished</t>
        </is>
      </c>
      <c r="I347" t="n">
        <v>629</v>
      </c>
    </row>
    <row r="348">
      <c r="A348" s="1">
        <f>Hyperlink("https://www.tilemountain.co.uk/p/extreme-white-polished-porcelain-floor-tile-2166.html","Product")</f>
        <v/>
      </c>
      <c r="B348" s="1" t="inlineStr">
        <is>
          <t>437190</t>
        </is>
      </c>
      <c r="C348" s="1" t="inlineStr">
        <is>
          <t>Extreme White Polished Porcelain Wall and Floor Tiles</t>
        </is>
      </c>
      <c r="D348" s="1" t="n">
        <v>29.99</v>
      </c>
      <c r="E348" s="1" t="inlineStr">
        <is>
          <t>298x598mm</t>
        </is>
      </c>
      <c r="F348" s="1" t="inlineStr">
        <is>
          <t>m2</t>
        </is>
      </c>
      <c r="G348" s="1" t="inlineStr">
        <is>
          <t>Porcelain</t>
        </is>
      </c>
      <c r="H348" s="1" t="inlineStr">
        <is>
          <t>Polished</t>
        </is>
      </c>
      <c r="I348" t="n">
        <v>839</v>
      </c>
    </row>
    <row r="349">
      <c r="A349" s="1">
        <f>Hyperlink("https://www.tilemountain.co.uk/p/extreme-white-polished-porcelain-floor-tile.html","Product")</f>
        <v/>
      </c>
      <c r="B349" s="1" t="inlineStr">
        <is>
          <t>437185</t>
        </is>
      </c>
      <c r="C349" s="1" t="inlineStr">
        <is>
          <t>Extreme White Polished Porcelain Floor Tile</t>
        </is>
      </c>
      <c r="D349" s="1" t="n">
        <v>24.99</v>
      </c>
      <c r="E349" s="1" t="inlineStr">
        <is>
          <t>600x600mm</t>
        </is>
      </c>
      <c r="F349" s="1" t="inlineStr">
        <is>
          <t>m2</t>
        </is>
      </c>
      <c r="G349" s="1" t="inlineStr">
        <is>
          <t>Porcelain</t>
        </is>
      </c>
      <c r="H349" s="1" t="inlineStr">
        <is>
          <t>Polished</t>
        </is>
      </c>
      <c r="I349" t="n">
        <v>2444</v>
      </c>
    </row>
    <row r="350">
      <c r="A350" s="1">
        <f>Hyperlink("https://www.tilemountain.co.uk/p/eze-touchscreen-thermostat-black.html","Product")</f>
        <v/>
      </c>
      <c r="B350" s="1" t="inlineStr">
        <is>
          <t>434645</t>
        </is>
      </c>
      <c r="C350" s="1" t="inlineStr">
        <is>
          <t>Eze Touchscreen Thermostat Black</t>
        </is>
      </c>
      <c r="D350" s="1" t="n">
        <v>44.99</v>
      </c>
      <c r="E350" s="1" t="inlineStr">
        <is>
          <t>-</t>
        </is>
      </c>
      <c r="F350" s="1" t="inlineStr">
        <is>
          <t>Qty</t>
        </is>
      </c>
      <c r="G350" s="1" t="inlineStr">
        <is>
          <t>-</t>
        </is>
      </c>
      <c r="H350" s="1" t="inlineStr">
        <is>
          <t>-</t>
        </is>
      </c>
      <c r="I350" t="inlineStr">
        <is>
          <t>More Stock due 29/10/21</t>
        </is>
      </c>
    </row>
    <row r="351">
      <c r="A351" s="1">
        <f>Hyperlink("https://www.tilemountain.co.uk/p/eze-touchscreen-thermostat-white.html","Product")</f>
        <v/>
      </c>
      <c r="B351" s="1" t="inlineStr">
        <is>
          <t>434640</t>
        </is>
      </c>
      <c r="C351" s="1" t="inlineStr">
        <is>
          <t>Eze Touchscreen Thermostat White</t>
        </is>
      </c>
      <c r="D351" s="1" t="n">
        <v>44.99</v>
      </c>
      <c r="E351" s="1" t="inlineStr">
        <is>
          <t>-</t>
        </is>
      </c>
      <c r="F351" s="1" t="inlineStr">
        <is>
          <t>Qty</t>
        </is>
      </c>
      <c r="G351" s="1" t="inlineStr">
        <is>
          <t>-</t>
        </is>
      </c>
      <c r="H351" s="1" t="inlineStr">
        <is>
          <t>-</t>
        </is>
      </c>
      <c r="I351" t="n">
        <v>21</v>
      </c>
    </row>
    <row r="352">
      <c r="A352" s="1">
        <f>Hyperlink("https://www.tilemountain.co.uk/p/ezecable-0-9-1-4-m2-underfloor-heating-cable-kit.html","Product")</f>
        <v/>
      </c>
      <c r="B352" s="1" t="inlineStr">
        <is>
          <t>434610</t>
        </is>
      </c>
      <c r="C352" s="1" t="inlineStr">
        <is>
          <t>Ezecable 0.9 - 1.4 M2 Underfloor Heating Cable Kit</t>
        </is>
      </c>
      <c r="D352" s="1" t="n">
        <v>54.99</v>
      </c>
      <c r="E352" s="1" t="inlineStr">
        <is>
          <t>-</t>
        </is>
      </c>
      <c r="F352" s="1" t="inlineStr">
        <is>
          <t>Qty</t>
        </is>
      </c>
      <c r="G352" s="1" t="inlineStr">
        <is>
          <t>-</t>
        </is>
      </c>
      <c r="H352" s="1" t="inlineStr">
        <is>
          <t>-</t>
        </is>
      </c>
      <c r="I352" t="inlineStr">
        <is>
          <t>In Stock</t>
        </is>
      </c>
    </row>
    <row r="353">
      <c r="A353" s="1">
        <f>Hyperlink("https://www.tilemountain.co.uk/p/ezecable-1-5-2-0-m2-underfloor-heating-cable-kit.html","Product")</f>
        <v/>
      </c>
      <c r="B353" s="1" t="inlineStr">
        <is>
          <t>434615</t>
        </is>
      </c>
      <c r="C353" s="1" t="inlineStr">
        <is>
          <t>Ezecable 1.5 - 2.0 M2 Underfloor Heating Cable Kit</t>
        </is>
      </c>
      <c r="D353" s="1" t="n">
        <v>59.99</v>
      </c>
      <c r="E353" s="1" t="inlineStr">
        <is>
          <t>-</t>
        </is>
      </c>
      <c r="F353" s="1" t="inlineStr">
        <is>
          <t>Qty</t>
        </is>
      </c>
      <c r="G353" s="1" t="inlineStr">
        <is>
          <t>-</t>
        </is>
      </c>
      <c r="H353" s="1" t="inlineStr">
        <is>
          <t>-</t>
        </is>
      </c>
      <c r="I353" t="inlineStr">
        <is>
          <t>In Stock</t>
        </is>
      </c>
    </row>
    <row r="354">
      <c r="A354" s="1">
        <f>Hyperlink("https://www.tilemountain.co.uk/p/ezecable-2-0-2-7-m2-underfloor-heating-cable-kit.html","Product")</f>
        <v/>
      </c>
      <c r="B354" s="1" t="inlineStr">
        <is>
          <t>434620</t>
        </is>
      </c>
      <c r="C354" s="1" t="inlineStr">
        <is>
          <t>Ezecable 2.0 - 2.7 M2 Underfloor Heating Cable Kit</t>
        </is>
      </c>
      <c r="D354" s="1" t="n">
        <v>69.98999999999999</v>
      </c>
      <c r="E354" s="1" t="inlineStr">
        <is>
          <t>-</t>
        </is>
      </c>
      <c r="F354" s="1" t="inlineStr">
        <is>
          <t>Qty</t>
        </is>
      </c>
      <c r="G354" s="1" t="inlineStr">
        <is>
          <t>-</t>
        </is>
      </c>
      <c r="H354" s="1" t="inlineStr">
        <is>
          <t>-</t>
        </is>
      </c>
      <c r="I354" t="inlineStr">
        <is>
          <t>In Stock</t>
        </is>
      </c>
    </row>
    <row r="355">
      <c r="A355" s="1">
        <f>Hyperlink("https://www.tilemountain.co.uk/p/ezecable-3-0-4-0-m2-underfloor-heating-cable-kit.html","Product")</f>
        <v/>
      </c>
      <c r="B355" s="1" t="inlineStr">
        <is>
          <t>434625</t>
        </is>
      </c>
      <c r="C355" s="1" t="inlineStr">
        <is>
          <t>Ezecable 3.0 - 4.0 M2 Underfloor Heating Cable Kit</t>
        </is>
      </c>
      <c r="D355" s="1" t="n">
        <v>79.98999999999999</v>
      </c>
      <c r="E355" s="1" t="inlineStr">
        <is>
          <t>-</t>
        </is>
      </c>
      <c r="F355" s="1" t="inlineStr">
        <is>
          <t>Qty</t>
        </is>
      </c>
      <c r="G355" s="1" t="inlineStr">
        <is>
          <t>-</t>
        </is>
      </c>
      <c r="H355" s="1" t="inlineStr">
        <is>
          <t>-</t>
        </is>
      </c>
      <c r="I355" t="inlineStr">
        <is>
          <t>In Stock</t>
        </is>
      </c>
    </row>
    <row r="356">
      <c r="A356" s="1">
        <f>Hyperlink("https://www.tilemountain.co.uk/p/ezecable-5-0-6-7-m2-underfloor-heating-cable-kit.html","Product")</f>
        <v/>
      </c>
      <c r="B356" s="1" t="inlineStr">
        <is>
          <t>434635</t>
        </is>
      </c>
      <c r="C356" s="1" t="inlineStr">
        <is>
          <t>Ezecable 5.0 - 6.7 M2 Underfloor Heating Cable Kit</t>
        </is>
      </c>
      <c r="D356" s="1" t="n">
        <v>109.99</v>
      </c>
      <c r="E356" s="1" t="inlineStr">
        <is>
          <t>-</t>
        </is>
      </c>
      <c r="F356" s="1" t="inlineStr">
        <is>
          <t>Qty</t>
        </is>
      </c>
      <c r="G356" s="1" t="inlineStr">
        <is>
          <t>-</t>
        </is>
      </c>
      <c r="H356" s="1" t="inlineStr">
        <is>
          <t>-</t>
        </is>
      </c>
      <c r="I356" t="n">
        <v>11</v>
      </c>
    </row>
    <row r="357">
      <c r="A357" s="1">
        <f>Hyperlink("https://www.tilemountain.co.uk/p/ezemat-160w-1-5-m2-underfloor-heating-mat.html","Product")</f>
        <v/>
      </c>
      <c r="B357" s="1" t="inlineStr">
        <is>
          <t>434495</t>
        </is>
      </c>
      <c r="C357" s="1" t="inlineStr">
        <is>
          <t>Ezemat 160w 1.5 M2 Underfloor Heating Mat</t>
        </is>
      </c>
      <c r="D357" s="1" t="n">
        <v>49.99</v>
      </c>
      <c r="E357" s="1" t="inlineStr">
        <is>
          <t>-</t>
        </is>
      </c>
      <c r="F357" s="1" t="inlineStr">
        <is>
          <t>Qty</t>
        </is>
      </c>
      <c r="G357" s="1" t="inlineStr">
        <is>
          <t>-</t>
        </is>
      </c>
      <c r="H357" s="1" t="inlineStr">
        <is>
          <t>-</t>
        </is>
      </c>
      <c r="I357" t="inlineStr">
        <is>
          <t>In Stock</t>
        </is>
      </c>
    </row>
    <row r="358">
      <c r="A358" s="1">
        <f>Hyperlink("https://www.tilemountain.co.uk/p/ezemat-160w-1-m2-underfloor-heating-mat.html","Product")</f>
        <v/>
      </c>
      <c r="B358" s="1" t="inlineStr">
        <is>
          <t>434490</t>
        </is>
      </c>
      <c r="C358" s="1" t="inlineStr">
        <is>
          <t>Ezemat 160w 1 M2 Underfloor Heating Mat</t>
        </is>
      </c>
      <c r="D358" s="1" t="n">
        <v>39.99</v>
      </c>
      <c r="E358" s="1" t="inlineStr">
        <is>
          <t>-</t>
        </is>
      </c>
      <c r="F358" s="1" t="inlineStr">
        <is>
          <t>Qty</t>
        </is>
      </c>
      <c r="G358" s="1" t="inlineStr">
        <is>
          <t>-</t>
        </is>
      </c>
      <c r="H358" s="1" t="inlineStr">
        <is>
          <t>-</t>
        </is>
      </c>
      <c r="I358" t="inlineStr">
        <is>
          <t>In Stock</t>
        </is>
      </c>
    </row>
    <row r="359">
      <c r="A359" s="1">
        <f>Hyperlink("https://www.tilemountain.co.uk/p/ezemat-160w-10-m2-underfloor-heating-mat.html","Product")</f>
        <v/>
      </c>
      <c r="B359" s="1" t="inlineStr">
        <is>
          <t>434545</t>
        </is>
      </c>
      <c r="C359" s="1" t="inlineStr">
        <is>
          <t>Ezemat 160w 10 M2 Underfloor Heating Mat</t>
        </is>
      </c>
      <c r="D359" s="1" t="n">
        <v>179.99</v>
      </c>
      <c r="E359" s="1" t="inlineStr">
        <is>
          <t>-</t>
        </is>
      </c>
      <c r="F359" s="1" t="inlineStr">
        <is>
          <t>Qty</t>
        </is>
      </c>
      <c r="G359" s="1" t="inlineStr">
        <is>
          <t>-</t>
        </is>
      </c>
      <c r="H359" s="1" t="inlineStr">
        <is>
          <t>-</t>
        </is>
      </c>
      <c r="I359" t="n">
        <v>12</v>
      </c>
    </row>
    <row r="360">
      <c r="A360" s="1">
        <f>Hyperlink("https://www.tilemountain.co.uk/p/ezemat-160w-2-5-m2-underfloor-heating-mat.html","Product")</f>
        <v/>
      </c>
      <c r="B360" s="1" t="inlineStr">
        <is>
          <t>434505</t>
        </is>
      </c>
      <c r="C360" s="1" t="inlineStr">
        <is>
          <t>Ezemat 160w 2.5 M2 Underfloor Heating Mat</t>
        </is>
      </c>
      <c r="D360" s="1" t="n">
        <v>69.98999999999999</v>
      </c>
      <c r="E360" s="1" t="inlineStr">
        <is>
          <t>-</t>
        </is>
      </c>
      <c r="F360" s="1" t="inlineStr">
        <is>
          <t>Qty</t>
        </is>
      </c>
      <c r="G360" s="1" t="inlineStr">
        <is>
          <t>-</t>
        </is>
      </c>
      <c r="H360" s="1" t="inlineStr">
        <is>
          <t>-</t>
        </is>
      </c>
      <c r="I360" t="inlineStr">
        <is>
          <t>In Stock</t>
        </is>
      </c>
    </row>
    <row r="361">
      <c r="A361" s="1">
        <f>Hyperlink("https://www.tilemountain.co.uk/p/ezemat-160w-2-m2-underfloor-heating-mat.html","Product")</f>
        <v/>
      </c>
      <c r="B361" s="1" t="inlineStr">
        <is>
          <t>434500</t>
        </is>
      </c>
      <c r="C361" s="1" t="inlineStr">
        <is>
          <t>Ezemat 160w 2 M2 Underfloor Heating Mat</t>
        </is>
      </c>
      <c r="D361" s="1" t="n">
        <v>59.99</v>
      </c>
      <c r="E361" s="1" t="inlineStr">
        <is>
          <t>-</t>
        </is>
      </c>
      <c r="F361" s="1" t="inlineStr">
        <is>
          <t>Qty</t>
        </is>
      </c>
      <c r="G361" s="1" t="inlineStr">
        <is>
          <t>-</t>
        </is>
      </c>
      <c r="H361" s="1" t="inlineStr">
        <is>
          <t>-</t>
        </is>
      </c>
      <c r="I361" t="inlineStr">
        <is>
          <t>In Stock</t>
        </is>
      </c>
    </row>
    <row r="362">
      <c r="A362" s="1">
        <f>Hyperlink("https://www.tilemountain.co.uk/p/ezemat-160w-3-m2-underfloor-heating-mat.html","Product")</f>
        <v/>
      </c>
      <c r="B362" s="1" t="inlineStr">
        <is>
          <t>434510</t>
        </is>
      </c>
      <c r="C362" s="1" t="inlineStr">
        <is>
          <t>Ezemat 160w 3 M2 Underfloor Heating Mat</t>
        </is>
      </c>
      <c r="D362" s="1" t="n">
        <v>79.98999999999999</v>
      </c>
      <c r="E362" s="1" t="inlineStr">
        <is>
          <t>-</t>
        </is>
      </c>
      <c r="F362" s="1" t="inlineStr">
        <is>
          <t>Qty</t>
        </is>
      </c>
      <c r="G362" s="1" t="inlineStr">
        <is>
          <t>-</t>
        </is>
      </c>
      <c r="H362" s="1" t="inlineStr">
        <is>
          <t>-</t>
        </is>
      </c>
      <c r="I362" t="inlineStr">
        <is>
          <t>In Stock</t>
        </is>
      </c>
    </row>
    <row r="363">
      <c r="A363" s="1">
        <f>Hyperlink("https://www.tilemountain.co.uk/p/ezemat-160w-4-m2-underfloor-heating-mat.html","Product")</f>
        <v/>
      </c>
      <c r="B363" s="1" t="inlineStr">
        <is>
          <t>434515</t>
        </is>
      </c>
      <c r="C363" s="1" t="inlineStr">
        <is>
          <t>Ezemat 160w 4 M2 Underfloor Heating Mat</t>
        </is>
      </c>
      <c r="D363" s="1" t="n">
        <v>89.98999999999999</v>
      </c>
      <c r="E363" s="1" t="inlineStr">
        <is>
          <t>-</t>
        </is>
      </c>
      <c r="F363" s="1" t="inlineStr">
        <is>
          <t>Qty</t>
        </is>
      </c>
      <c r="G363" s="1" t="inlineStr">
        <is>
          <t>-</t>
        </is>
      </c>
      <c r="H363" s="1" t="inlineStr">
        <is>
          <t>-</t>
        </is>
      </c>
      <c r="I363" t="inlineStr">
        <is>
          <t>In Stock</t>
        </is>
      </c>
    </row>
    <row r="364">
      <c r="A364" s="1">
        <f>Hyperlink("https://www.tilemountain.co.uk/p/ezemat-160w-5-m2-underfloor-heating-mat.html","Product")</f>
        <v/>
      </c>
      <c r="B364" s="1" t="inlineStr">
        <is>
          <t>434520</t>
        </is>
      </c>
      <c r="C364" s="1" t="inlineStr">
        <is>
          <t>Ezemat 160w 5 M2 Underfloor Heating Mat</t>
        </is>
      </c>
      <c r="D364" s="1" t="n">
        <v>99.98999999999999</v>
      </c>
      <c r="E364" s="1" t="inlineStr">
        <is>
          <t>-</t>
        </is>
      </c>
      <c r="F364" s="1" t="inlineStr">
        <is>
          <t>Qty</t>
        </is>
      </c>
      <c r="G364" s="1" t="inlineStr">
        <is>
          <t>-</t>
        </is>
      </c>
      <c r="H364" s="1" t="inlineStr">
        <is>
          <t>-</t>
        </is>
      </c>
      <c r="I364" t="inlineStr">
        <is>
          <t>In Stock</t>
        </is>
      </c>
    </row>
    <row r="365">
      <c r="A365" s="1">
        <f>Hyperlink("https://www.tilemountain.co.uk/p/ezemat-160w-6-m2-underfloor-heating-mat.html","Product")</f>
        <v/>
      </c>
      <c r="B365" s="1" t="inlineStr">
        <is>
          <t>434525</t>
        </is>
      </c>
      <c r="C365" s="1" t="inlineStr">
        <is>
          <t>Ezemat 160w 6 M2 Underfloor Heating Mat</t>
        </is>
      </c>
      <c r="D365" s="1" t="n">
        <v>109.99</v>
      </c>
      <c r="E365" s="1" t="inlineStr">
        <is>
          <t>-</t>
        </is>
      </c>
      <c r="F365" s="1" t="inlineStr">
        <is>
          <t>Qty</t>
        </is>
      </c>
      <c r="G365" s="1" t="inlineStr">
        <is>
          <t>-</t>
        </is>
      </c>
      <c r="H365" s="1" t="inlineStr">
        <is>
          <t>-</t>
        </is>
      </c>
      <c r="I365" t="inlineStr">
        <is>
          <t>In Stock</t>
        </is>
      </c>
    </row>
    <row r="366">
      <c r="A366" s="1">
        <f>Hyperlink("https://www.tilemountain.co.uk/p/ezemat-160w-7-m2-underfloor-heating-mat.html","Product")</f>
        <v/>
      </c>
      <c r="B366" s="1" t="inlineStr">
        <is>
          <t>434530</t>
        </is>
      </c>
      <c r="C366" s="1" t="inlineStr">
        <is>
          <t>Ezemat 160w 7 M2 Underfloor Heating Mat</t>
        </is>
      </c>
      <c r="D366" s="1" t="n">
        <v>129.99</v>
      </c>
      <c r="E366" s="1" t="inlineStr">
        <is>
          <t>-</t>
        </is>
      </c>
      <c r="F366" s="1" t="inlineStr">
        <is>
          <t>Qty</t>
        </is>
      </c>
      <c r="G366" s="1" t="inlineStr">
        <is>
          <t>-</t>
        </is>
      </c>
      <c r="H366" s="1" t="inlineStr">
        <is>
          <t>-</t>
        </is>
      </c>
      <c r="I366" t="inlineStr">
        <is>
          <t>In Stock</t>
        </is>
      </c>
    </row>
    <row r="367">
      <c r="A367" s="1">
        <f>Hyperlink("https://www.tilemountain.co.uk/p/ezemat-160w-8-m2-underfloor-heating-mat.html","Product")</f>
        <v/>
      </c>
      <c r="B367" s="1" t="inlineStr">
        <is>
          <t>434535</t>
        </is>
      </c>
      <c r="C367" s="1" t="inlineStr">
        <is>
          <t>Ezemat 160w 8 M2 Underfloor Heating Mat</t>
        </is>
      </c>
      <c r="D367" s="1" t="n">
        <v>139.99</v>
      </c>
      <c r="E367" s="1" t="inlineStr">
        <is>
          <t>-</t>
        </is>
      </c>
      <c r="F367" s="1" t="inlineStr">
        <is>
          <t>Qty</t>
        </is>
      </c>
      <c r="G367" s="1" t="inlineStr">
        <is>
          <t>-</t>
        </is>
      </c>
      <c r="H367" s="1" t="inlineStr">
        <is>
          <t>-</t>
        </is>
      </c>
      <c r="I367" t="inlineStr">
        <is>
          <t>In Stock</t>
        </is>
      </c>
    </row>
    <row r="368">
      <c r="A368" s="1">
        <f>Hyperlink("https://www.tilemountain.co.uk/p/ezemat-160w-9-m2-underfloor-heating-mat.html","Product")</f>
        <v/>
      </c>
      <c r="B368" s="1" t="inlineStr">
        <is>
          <t>434540</t>
        </is>
      </c>
      <c r="C368" s="1" t="inlineStr">
        <is>
          <t>Ezemat 160w 9 M2 Underfloor Heating Mat</t>
        </is>
      </c>
      <c r="D368" s="1" t="n">
        <v>159.99</v>
      </c>
      <c r="E368" s="1" t="inlineStr">
        <is>
          <t>-</t>
        </is>
      </c>
      <c r="F368" s="1" t="inlineStr">
        <is>
          <t>Qty</t>
        </is>
      </c>
      <c r="G368" s="1" t="inlineStr">
        <is>
          <t>-</t>
        </is>
      </c>
      <c r="H368" s="1" t="inlineStr">
        <is>
          <t>-</t>
        </is>
      </c>
      <c r="I368" t="inlineStr">
        <is>
          <t>In Stock</t>
        </is>
      </c>
    </row>
    <row r="369">
      <c r="A369" s="1">
        <f>Hyperlink("https://www.tilemountain.co.uk/p/ezemat-200w-1-5-m2-underfloor-heating-mat.html","Product")</f>
        <v/>
      </c>
      <c r="B369" s="1" t="inlineStr">
        <is>
          <t>434555</t>
        </is>
      </c>
      <c r="C369" s="1" t="inlineStr">
        <is>
          <t>Ezemat 200w 1.5 M2 Underfloor Heating Mat</t>
        </is>
      </c>
      <c r="D369" s="1" t="n">
        <v>54.99</v>
      </c>
      <c r="E369" s="1" t="inlineStr">
        <is>
          <t>-</t>
        </is>
      </c>
      <c r="F369" s="1" t="inlineStr">
        <is>
          <t>Qty</t>
        </is>
      </c>
      <c r="G369" s="1" t="inlineStr">
        <is>
          <t>-</t>
        </is>
      </c>
      <c r="H369" s="1" t="inlineStr">
        <is>
          <t>-</t>
        </is>
      </c>
      <c r="I369" t="n">
        <v>11</v>
      </c>
    </row>
    <row r="370">
      <c r="A370" s="1">
        <f>Hyperlink("https://www.tilemountain.co.uk/p/ezemat-200w-1-m2-underfloor-heating-mat.html","Product")</f>
        <v/>
      </c>
      <c r="B370" s="1" t="inlineStr">
        <is>
          <t>434550</t>
        </is>
      </c>
      <c r="C370" s="1" t="inlineStr">
        <is>
          <t>Ezemat 200w 1 M2 Underfloor Heating Mat</t>
        </is>
      </c>
      <c r="D370" s="1" t="n">
        <v>49.99</v>
      </c>
      <c r="E370" s="1" t="inlineStr">
        <is>
          <t>-</t>
        </is>
      </c>
      <c r="F370" s="1" t="inlineStr">
        <is>
          <t>Qty</t>
        </is>
      </c>
      <c r="G370" s="1" t="inlineStr">
        <is>
          <t>-</t>
        </is>
      </c>
      <c r="H370" s="1" t="inlineStr">
        <is>
          <t>-</t>
        </is>
      </c>
      <c r="I370" t="inlineStr">
        <is>
          <t>In Stock</t>
        </is>
      </c>
    </row>
    <row r="371">
      <c r="A371" s="1">
        <f>Hyperlink("https://www.tilemountain.co.uk/p/ezemat-200w-10-m2-underfloor-heating-mat.html","Product")</f>
        <v/>
      </c>
      <c r="B371" s="1" t="inlineStr">
        <is>
          <t>434605</t>
        </is>
      </c>
      <c r="C371" s="1" t="inlineStr">
        <is>
          <t>Ezemat 200w 10 M2 Underfloor Heating Mat</t>
        </is>
      </c>
      <c r="D371" s="1" t="n">
        <v>189.99</v>
      </c>
      <c r="E371" s="1" t="inlineStr">
        <is>
          <t>-</t>
        </is>
      </c>
      <c r="F371" s="1" t="inlineStr">
        <is>
          <t>Qty</t>
        </is>
      </c>
      <c r="G371" s="1" t="inlineStr">
        <is>
          <t>-</t>
        </is>
      </c>
      <c r="H371" s="1" t="inlineStr">
        <is>
          <t>-</t>
        </is>
      </c>
      <c r="I371" t="n">
        <v>23</v>
      </c>
    </row>
    <row r="372">
      <c r="A372" s="1">
        <f>Hyperlink("https://www.tilemountain.co.uk/p/ezemat-200w-2-5-m2-underfloor-heating-mat.html","Product")</f>
        <v/>
      </c>
      <c r="B372" s="1" t="inlineStr">
        <is>
          <t>434565</t>
        </is>
      </c>
      <c r="C372" s="1" t="inlineStr">
        <is>
          <t>Ezemat 200w 2.5 M2 Underfloor Heating Mat</t>
        </is>
      </c>
      <c r="D372" s="1" t="n">
        <v>79.98999999999999</v>
      </c>
      <c r="E372" s="1" t="inlineStr">
        <is>
          <t>-</t>
        </is>
      </c>
      <c r="F372" s="1" t="inlineStr">
        <is>
          <t>Qty</t>
        </is>
      </c>
      <c r="G372" s="1" t="inlineStr">
        <is>
          <t>-</t>
        </is>
      </c>
      <c r="H372" s="1" t="inlineStr">
        <is>
          <t>-</t>
        </is>
      </c>
      <c r="I372" t="inlineStr">
        <is>
          <t>In Stock</t>
        </is>
      </c>
    </row>
    <row r="373">
      <c r="A373" s="1">
        <f>Hyperlink("https://www.tilemountain.co.uk/p/ezemat-200w-2-m2-underfloor-heating-mat.html","Product")</f>
        <v/>
      </c>
      <c r="B373" s="1" t="inlineStr">
        <is>
          <t>434560</t>
        </is>
      </c>
      <c r="C373" s="1" t="inlineStr">
        <is>
          <t>Ezemat 200w 2 M2 Underfloor Heating Mat</t>
        </is>
      </c>
      <c r="D373" s="1" t="n">
        <v>69.98999999999999</v>
      </c>
      <c r="E373" s="1" t="inlineStr">
        <is>
          <t>-</t>
        </is>
      </c>
      <c r="F373" s="1" t="inlineStr">
        <is>
          <t>Qty</t>
        </is>
      </c>
      <c r="G373" s="1" t="inlineStr">
        <is>
          <t>-</t>
        </is>
      </c>
      <c r="H373" s="1" t="inlineStr">
        <is>
          <t>-</t>
        </is>
      </c>
      <c r="I373" t="inlineStr">
        <is>
          <t>In Stock</t>
        </is>
      </c>
    </row>
    <row r="374">
      <c r="A374" s="1">
        <f>Hyperlink("https://www.tilemountain.co.uk/p/ezemat-200w-3-m2-underfloor-heating-mat.html","Product")</f>
        <v/>
      </c>
      <c r="B374" s="1" t="inlineStr">
        <is>
          <t>434570</t>
        </is>
      </c>
      <c r="C374" s="1" t="inlineStr">
        <is>
          <t>Ezemat 200w 3 M2 Underfloor Heating Mat</t>
        </is>
      </c>
      <c r="D374" s="1" t="n">
        <v>89.98999999999999</v>
      </c>
      <c r="E374" s="1" t="inlineStr">
        <is>
          <t>-</t>
        </is>
      </c>
      <c r="F374" s="1" t="inlineStr">
        <is>
          <t>Qty</t>
        </is>
      </c>
      <c r="G374" s="1" t="inlineStr">
        <is>
          <t>-</t>
        </is>
      </c>
      <c r="H374" s="1" t="inlineStr">
        <is>
          <t>-</t>
        </is>
      </c>
      <c r="I374" t="inlineStr">
        <is>
          <t>In Stock</t>
        </is>
      </c>
    </row>
    <row r="375">
      <c r="A375" s="1">
        <f>Hyperlink("https://www.tilemountain.co.uk/p/ezemat-200w-4-m2-underfloor-heating-mat.html","Product")</f>
        <v/>
      </c>
      <c r="B375" s="1" t="inlineStr">
        <is>
          <t>434575</t>
        </is>
      </c>
      <c r="C375" s="1" t="inlineStr">
        <is>
          <t>Ezemat 200w 4 M2 Underfloor Heating Mat</t>
        </is>
      </c>
      <c r="D375" s="1" t="n">
        <v>99.98999999999999</v>
      </c>
      <c r="E375" s="1" t="inlineStr">
        <is>
          <t>-</t>
        </is>
      </c>
      <c r="F375" s="1" t="inlineStr">
        <is>
          <t>Qty</t>
        </is>
      </c>
      <c r="G375" s="1" t="inlineStr">
        <is>
          <t>-</t>
        </is>
      </c>
      <c r="H375" s="1" t="inlineStr">
        <is>
          <t>-</t>
        </is>
      </c>
      <c r="I375" t="inlineStr">
        <is>
          <t>In Stock</t>
        </is>
      </c>
    </row>
    <row r="376">
      <c r="A376" s="1">
        <f>Hyperlink("https://www.tilemountain.co.uk/p/ezemat-200w-5-m2-underfloor-heating-mat.html","Product")</f>
        <v/>
      </c>
      <c r="B376" s="1" t="inlineStr">
        <is>
          <t>434580</t>
        </is>
      </c>
      <c r="C376" s="1" t="inlineStr">
        <is>
          <t>Ezemat 200w 5 M2 Underfloor Heating Mat</t>
        </is>
      </c>
      <c r="D376" s="1" t="n">
        <v>109.99</v>
      </c>
      <c r="E376" s="1" t="inlineStr">
        <is>
          <t>-</t>
        </is>
      </c>
      <c r="F376" s="1" t="inlineStr">
        <is>
          <t>Qty</t>
        </is>
      </c>
      <c r="G376" s="1" t="inlineStr">
        <is>
          <t>-</t>
        </is>
      </c>
      <c r="H376" s="1" t="inlineStr">
        <is>
          <t>-</t>
        </is>
      </c>
      <c r="I376" t="n">
        <v>11</v>
      </c>
    </row>
    <row r="377">
      <c r="A377" s="1">
        <f>Hyperlink("https://www.tilemountain.co.uk/p/ezemat-200w-6-m2-underfloor-heating-mat.html","Product")</f>
        <v/>
      </c>
      <c r="B377" s="1" t="inlineStr">
        <is>
          <t>434585</t>
        </is>
      </c>
      <c r="C377" s="1" t="inlineStr">
        <is>
          <t>Ezemat 200w 6 M2 Underfloor Heating Mat</t>
        </is>
      </c>
      <c r="D377" s="1" t="n">
        <v>119.99</v>
      </c>
      <c r="E377" s="1" t="inlineStr">
        <is>
          <t>-</t>
        </is>
      </c>
      <c r="F377" s="1" t="inlineStr">
        <is>
          <t>Qty</t>
        </is>
      </c>
      <c r="G377" s="1" t="inlineStr">
        <is>
          <t>-</t>
        </is>
      </c>
      <c r="H377" s="1" t="inlineStr">
        <is>
          <t>-</t>
        </is>
      </c>
      <c r="I377" t="inlineStr">
        <is>
          <t>In Stock</t>
        </is>
      </c>
    </row>
    <row r="378">
      <c r="A378" s="1">
        <f>Hyperlink("https://www.tilemountain.co.uk/p/ezemat-200w-7-m2-underfloor-heating-mat.html","Product")</f>
        <v/>
      </c>
      <c r="B378" s="1" t="inlineStr">
        <is>
          <t>434590</t>
        </is>
      </c>
      <c r="C378" s="1" t="inlineStr">
        <is>
          <t>Ezemat 200w 7 M2 Underfloor Heating Mat</t>
        </is>
      </c>
      <c r="D378" s="1" t="n">
        <v>139.99</v>
      </c>
      <c r="E378" s="1" t="inlineStr">
        <is>
          <t>-</t>
        </is>
      </c>
      <c r="F378" s="1" t="inlineStr">
        <is>
          <t>Qty</t>
        </is>
      </c>
      <c r="G378" s="1" t="inlineStr">
        <is>
          <t>-</t>
        </is>
      </c>
      <c r="H378" s="1" t="inlineStr">
        <is>
          <t>-</t>
        </is>
      </c>
      <c r="I378" t="inlineStr">
        <is>
          <t>In Stock</t>
        </is>
      </c>
    </row>
    <row r="379">
      <c r="A379" s="1">
        <f>Hyperlink("https://www.tilemountain.co.uk/p/ezemat-200w-8-m2-underfloor-heating-mat.html","Product")</f>
        <v/>
      </c>
      <c r="B379" s="1" t="inlineStr">
        <is>
          <t>434595</t>
        </is>
      </c>
      <c r="C379" s="1" t="inlineStr">
        <is>
          <t>Ezemat 200w 8 M2 Underfloor Heating Mat</t>
        </is>
      </c>
      <c r="D379" s="1" t="n">
        <v>149.99</v>
      </c>
      <c r="E379" s="1" t="inlineStr">
        <is>
          <t>-</t>
        </is>
      </c>
      <c r="F379" s="1" t="inlineStr">
        <is>
          <t>Qty</t>
        </is>
      </c>
      <c r="G379" s="1" t="inlineStr">
        <is>
          <t>-</t>
        </is>
      </c>
      <c r="H379" s="1" t="inlineStr">
        <is>
          <t>-</t>
        </is>
      </c>
      <c r="I379" t="inlineStr">
        <is>
          <t>In Stock</t>
        </is>
      </c>
    </row>
    <row r="380">
      <c r="A380" s="1">
        <f>Hyperlink("https://www.tilemountain.co.uk/p/ezemat-200w-9-m2-underfloor-heating-mat.html","Product")</f>
        <v/>
      </c>
      <c r="B380" s="1" t="inlineStr">
        <is>
          <t>434600</t>
        </is>
      </c>
      <c r="C380" s="1" t="inlineStr">
        <is>
          <t>Ezemat 200w 9 M2 Underfloor Heating Mat</t>
        </is>
      </c>
      <c r="D380" s="1" t="n">
        <v>169.99</v>
      </c>
      <c r="E380" s="1" t="inlineStr">
        <is>
          <t>-</t>
        </is>
      </c>
      <c r="F380" s="1" t="inlineStr">
        <is>
          <t>Qty</t>
        </is>
      </c>
      <c r="G380" s="1" t="inlineStr">
        <is>
          <t>-</t>
        </is>
      </c>
      <c r="H380" s="1" t="inlineStr">
        <is>
          <t>-</t>
        </is>
      </c>
      <c r="I380" t="inlineStr">
        <is>
          <t>In Stock</t>
        </is>
      </c>
    </row>
    <row r="381">
      <c r="A381" s="1">
        <f>Hyperlink("https://www.tilemountain.co.uk/p/ezensia-blue-wall-tile.html","Product")</f>
        <v/>
      </c>
      <c r="B381" s="1" t="inlineStr">
        <is>
          <t>440285</t>
        </is>
      </c>
      <c r="C381" s="1" t="inlineStr">
        <is>
          <t>Esenzia Blue Wall Tiles</t>
        </is>
      </c>
      <c r="D381" s="1" t="n">
        <v>19.99</v>
      </c>
      <c r="E381" s="1" t="inlineStr">
        <is>
          <t>150x300mm</t>
        </is>
      </c>
      <c r="F381" s="1" t="inlineStr">
        <is>
          <t>m2</t>
        </is>
      </c>
      <c r="G381" s="1" t="inlineStr">
        <is>
          <t>Ceramic</t>
        </is>
      </c>
      <c r="H381" s="1" t="inlineStr">
        <is>
          <t>Gloss</t>
        </is>
      </c>
      <c r="I381" t="n">
        <v>21</v>
      </c>
    </row>
    <row r="382">
      <c r="A382" s="1">
        <f>Hyperlink("https://www.tilemountain.co.uk/p/ezewarm-wif-fi-pro-stat-thermostat-white.html","Product")</f>
        <v/>
      </c>
      <c r="B382" s="1" t="inlineStr">
        <is>
          <t>446100</t>
        </is>
      </c>
      <c r="C382" s="1" t="inlineStr">
        <is>
          <t>Ezewarm Wi-Fi Pro-Stat Thermostat White</t>
        </is>
      </c>
      <c r="D382" s="1" t="n">
        <v>99.98999999999999</v>
      </c>
      <c r="E382" s="1" t="inlineStr">
        <is>
          <t>-</t>
        </is>
      </c>
      <c r="F382" s="1" t="inlineStr">
        <is>
          <t>Qty</t>
        </is>
      </c>
      <c r="G382" s="1" t="inlineStr">
        <is>
          <t>-</t>
        </is>
      </c>
      <c r="H382" s="1" t="inlineStr">
        <is>
          <t>-</t>
        </is>
      </c>
      <c r="I382" t="inlineStr">
        <is>
          <t>In Stock</t>
        </is>
      </c>
    </row>
    <row r="383">
      <c r="A383" s="1">
        <f>Hyperlink("https://www.tilemountain.co.uk/p/fabric-blue-floral-glass-mosaic.html","Product")</f>
        <v/>
      </c>
      <c r="B383" s="1" t="inlineStr">
        <is>
          <t>453755</t>
        </is>
      </c>
      <c r="C383" s="1" t="inlineStr">
        <is>
          <t>Fabric Blue Floral Glass Mosaic</t>
        </is>
      </c>
      <c r="D383" s="1" t="n">
        <v>13.99</v>
      </c>
      <c r="E383" s="1" t="inlineStr">
        <is>
          <t>300x300mm</t>
        </is>
      </c>
      <c r="F383" s="1" t="inlineStr">
        <is>
          <t>sheet</t>
        </is>
      </c>
      <c r="G383" s="1" t="inlineStr">
        <is>
          <t>Glass</t>
        </is>
      </c>
      <c r="H383" s="1" t="inlineStr">
        <is>
          <t>Gloss</t>
        </is>
      </c>
      <c r="I383" t="n">
        <v>99</v>
      </c>
    </row>
    <row r="384">
      <c r="A384" s="1">
        <f>Hyperlink("https://www.tilemountain.co.uk/p/factor-bi-white-anti-slip-29-7x59-5cm.html","Product")</f>
        <v/>
      </c>
      <c r="B384" s="1" t="inlineStr">
        <is>
          <t>402485</t>
        </is>
      </c>
      <c r="C384" s="1" t="inlineStr">
        <is>
          <t>Factor BI White Anti Slip</t>
        </is>
      </c>
      <c r="D384" s="1" t="n">
        <v>19.98</v>
      </c>
      <c r="E384" s="1" t="inlineStr">
        <is>
          <t>297x595mm</t>
        </is>
      </c>
      <c r="F384" s="1" t="inlineStr">
        <is>
          <t>m2</t>
        </is>
      </c>
      <c r="G384" s="1" t="inlineStr">
        <is>
          <t>Porcelain</t>
        </is>
      </c>
      <c r="H384" s="1" t="inlineStr">
        <is>
          <t>Matt</t>
        </is>
      </c>
      <c r="I384" t="inlineStr">
        <is>
          <t xml:space="preserve">Out Of Stock </t>
        </is>
      </c>
    </row>
    <row r="385">
      <c r="A385" s="1">
        <f>Hyperlink("https://www.tilemountain.co.uk/p/factory-grafito-wall-tile.html","Product")</f>
        <v/>
      </c>
      <c r="B385" s="1" t="inlineStr">
        <is>
          <t>443120</t>
        </is>
      </c>
      <c r="C385" s="1" t="inlineStr">
        <is>
          <t>Factory Grafito Wall Tiles</t>
        </is>
      </c>
      <c r="D385" s="1" t="n">
        <v>9.99</v>
      </c>
      <c r="E385" s="1" t="inlineStr">
        <is>
          <t>500x200mm</t>
        </is>
      </c>
      <c r="F385" s="1" t="inlineStr">
        <is>
          <t>m2</t>
        </is>
      </c>
      <c r="G385" s="1" t="inlineStr">
        <is>
          <t>Ceramic</t>
        </is>
      </c>
      <c r="H385" s="1" t="inlineStr">
        <is>
          <t>Matt</t>
        </is>
      </c>
      <c r="I385" t="n">
        <v>648</v>
      </c>
    </row>
    <row r="386">
      <c r="A386" s="1">
        <f>Hyperlink("https://www.tilemountain.co.uk/p/factory-grey-wall-tile.html","Product")</f>
        <v/>
      </c>
      <c r="B386" s="1" t="inlineStr">
        <is>
          <t>443115</t>
        </is>
      </c>
      <c r="C386" s="1" t="inlineStr">
        <is>
          <t>Factory Grey Wall Tiles</t>
        </is>
      </c>
      <c r="D386" s="1" t="n">
        <v>9.99</v>
      </c>
      <c r="E386" s="1" t="inlineStr">
        <is>
          <t>500x200mm</t>
        </is>
      </c>
      <c r="F386" s="1" t="inlineStr">
        <is>
          <t>m2</t>
        </is>
      </c>
      <c r="G386" s="1" t="inlineStr">
        <is>
          <t>Ceramic</t>
        </is>
      </c>
      <c r="H386" s="1" t="inlineStr">
        <is>
          <t>Matt</t>
        </is>
      </c>
      <c r="I386" t="n">
        <v>2251</v>
      </c>
    </row>
    <row r="387">
      <c r="A387" s="1">
        <f>Hyperlink("https://www.tilemountain.co.uk/p/factory-white-wall-tile.html","Product")</f>
        <v/>
      </c>
      <c r="B387" s="1" t="inlineStr">
        <is>
          <t>443110</t>
        </is>
      </c>
      <c r="C387" s="1" t="inlineStr">
        <is>
          <t>Factory White Wall Tiles</t>
        </is>
      </c>
      <c r="D387" s="1" t="n">
        <v>9.99</v>
      </c>
      <c r="E387" s="1" t="inlineStr">
        <is>
          <t>500x200mm</t>
        </is>
      </c>
      <c r="F387" s="1" t="inlineStr">
        <is>
          <t>m2</t>
        </is>
      </c>
      <c r="G387" s="1" t="inlineStr">
        <is>
          <t>Ceramic</t>
        </is>
      </c>
      <c r="H387" s="1" t="inlineStr">
        <is>
          <t>Matt</t>
        </is>
      </c>
      <c r="I387" t="n">
        <v>296</v>
      </c>
    </row>
    <row r="388">
      <c r="A388" s="1">
        <f>Hyperlink("https://www.tilemountain.co.uk/p/faenza-rustic-blue-patterned-matt-tile.html","Product")</f>
        <v/>
      </c>
      <c r="B388" s="1" t="inlineStr">
        <is>
          <t>443325</t>
        </is>
      </c>
      <c r="C388" s="1" t="inlineStr">
        <is>
          <t>Faenza Rustic Blue Patterned Matt Wall and Floor Tile</t>
        </is>
      </c>
      <c r="D388" s="1" t="n">
        <v>25.99</v>
      </c>
      <c r="E388" s="1" t="inlineStr">
        <is>
          <t>330x330mm</t>
        </is>
      </c>
      <c r="F388" s="1" t="inlineStr">
        <is>
          <t>m2</t>
        </is>
      </c>
      <c r="G388" s="1" t="inlineStr">
        <is>
          <t>Ceramic</t>
        </is>
      </c>
      <c r="H388" s="1" t="inlineStr">
        <is>
          <t>Matt</t>
        </is>
      </c>
      <c r="I388" t="n">
        <v>145</v>
      </c>
    </row>
    <row r="389">
      <c r="A389" s="1">
        <f>Hyperlink("https://www.tilemountain.co.uk/p/faenza-rustic-grey-patterned-matt-tile.html","Product")</f>
        <v/>
      </c>
      <c r="B389" s="1" t="inlineStr">
        <is>
          <t>443330</t>
        </is>
      </c>
      <c r="C389" s="1" t="inlineStr">
        <is>
          <t>Faenza Rustic Grey Patterned Matt Wall and Floor Tile</t>
        </is>
      </c>
      <c r="D389" s="1" t="n">
        <v>25.99</v>
      </c>
      <c r="E389" s="1" t="inlineStr">
        <is>
          <t>330x330mm</t>
        </is>
      </c>
      <c r="F389" s="1" t="inlineStr">
        <is>
          <t>m2</t>
        </is>
      </c>
      <c r="G389" s="1" t="inlineStr">
        <is>
          <t>Ceramic</t>
        </is>
      </c>
      <c r="H389" s="1" t="inlineStr">
        <is>
          <t>Matt</t>
        </is>
      </c>
      <c r="I389" t="n">
        <v>159</v>
      </c>
    </row>
    <row r="390">
      <c r="A390" s="1">
        <f>Hyperlink("https://www.tilemountain.co.uk/p/faenza-rustic-ivory-matt-tile.html","Product")</f>
        <v/>
      </c>
      <c r="B390" s="1" t="inlineStr">
        <is>
          <t>443335</t>
        </is>
      </c>
      <c r="C390" s="1" t="inlineStr">
        <is>
          <t>Faenza Rustic Ivory Matt Wall and Floor Tile</t>
        </is>
      </c>
      <c r="D390" s="1" t="n">
        <v>25.99</v>
      </c>
      <c r="E390" s="1" t="inlineStr">
        <is>
          <t>330x330mm</t>
        </is>
      </c>
      <c r="F390" s="1" t="inlineStr">
        <is>
          <t>m2</t>
        </is>
      </c>
      <c r="G390" s="1" t="inlineStr">
        <is>
          <t>Ceramic</t>
        </is>
      </c>
      <c r="H390" s="1" t="inlineStr">
        <is>
          <t>Matt</t>
        </is>
      </c>
      <c r="I390" t="n">
        <v>139</v>
      </c>
    </row>
    <row r="391">
      <c r="A391" s="1">
        <f>Hyperlink("https://www.tilemountain.co.uk/p/fibatape-10m-roll.html","Product")</f>
        <v/>
      </c>
      <c r="B391" s="1" t="inlineStr">
        <is>
          <t>445695</t>
        </is>
      </c>
      <c r="C391" s="1" t="inlineStr">
        <is>
          <t>HardieBacker Fibatape 10m Roll</t>
        </is>
      </c>
      <c r="D391" s="1" t="n">
        <v>5.95</v>
      </c>
      <c r="E391" s="1" t="inlineStr">
        <is>
          <t>-</t>
        </is>
      </c>
      <c r="F391" s="1" t="inlineStr">
        <is>
          <t>Qty</t>
        </is>
      </c>
      <c r="G391" s="1" t="inlineStr">
        <is>
          <t>-</t>
        </is>
      </c>
      <c r="H391" s="1" t="inlineStr">
        <is>
          <t>-</t>
        </is>
      </c>
      <c r="I391" t="inlineStr">
        <is>
          <t>In Stock</t>
        </is>
      </c>
    </row>
    <row r="392">
      <c r="A392" s="1">
        <f>Hyperlink("https://www.tilemountain.co.uk/p/fila-cleaner-pro-professional-maintenance-for-surfaces-5l.html","Product")</f>
        <v/>
      </c>
      <c r="B392" s="1" t="inlineStr">
        <is>
          <t>442865</t>
        </is>
      </c>
      <c r="C392" s="1" t="inlineStr">
        <is>
          <t>Cleaner Pro 5 Ltr - Professional Maintenance for Surfaces</t>
        </is>
      </c>
      <c r="D392" s="1" t="n">
        <v>37.99</v>
      </c>
      <c r="E392" s="1" t="inlineStr">
        <is>
          <t>-</t>
        </is>
      </c>
      <c r="F392" s="1" t="inlineStr">
        <is>
          <t>Qty</t>
        </is>
      </c>
      <c r="G392" s="1" t="inlineStr">
        <is>
          <t>-</t>
        </is>
      </c>
      <c r="H392" s="1" t="inlineStr">
        <is>
          <t>-</t>
        </is>
      </c>
      <c r="I392" t="inlineStr">
        <is>
          <t>In Stock</t>
        </is>
      </c>
    </row>
    <row r="393">
      <c r="A393" s="1">
        <f>Hyperlink("https://www.tilemountain.co.uk/p/fila-deterdek-residue-remover.html","Product")</f>
        <v/>
      </c>
      <c r="B393" s="1" t="inlineStr">
        <is>
          <t>430650</t>
        </is>
      </c>
      <c r="C393" s="1" t="inlineStr">
        <is>
          <t>Deterdek Pro 1 Ltr - End of Work Cleaning</t>
        </is>
      </c>
      <c r="D393" s="1" t="n">
        <v>9.99</v>
      </c>
      <c r="E393" s="1" t="inlineStr">
        <is>
          <t>-</t>
        </is>
      </c>
      <c r="F393" s="1" t="inlineStr">
        <is>
          <t>Qty</t>
        </is>
      </c>
      <c r="G393" s="1" t="inlineStr">
        <is>
          <t>-</t>
        </is>
      </c>
      <c r="H393" s="1" t="inlineStr">
        <is>
          <t>-</t>
        </is>
      </c>
      <c r="I393" t="inlineStr">
        <is>
          <t>In Stock</t>
        </is>
      </c>
    </row>
    <row r="394">
      <c r="A394" s="1">
        <f>Hyperlink("https://www.tilemountain.co.uk/p/fila-fuga-proof-grout-protector-750ml.html","Product")</f>
        <v/>
      </c>
      <c r="B394" s="1" t="inlineStr">
        <is>
          <t>430680</t>
        </is>
      </c>
      <c r="C394" s="1" t="inlineStr">
        <is>
          <t>Fila Fuga Proof Grout Protector 750ml</t>
        </is>
      </c>
      <c r="D394" s="1" t="n">
        <v>16.99</v>
      </c>
      <c r="E394" s="1" t="inlineStr">
        <is>
          <t>-</t>
        </is>
      </c>
      <c r="F394" s="1" t="inlineStr">
        <is>
          <t>Qty</t>
        </is>
      </c>
      <c r="G394" s="1" t="inlineStr">
        <is>
          <t>-</t>
        </is>
      </c>
      <c r="H394" s="1" t="inlineStr">
        <is>
          <t>-</t>
        </is>
      </c>
      <c r="I394" t="inlineStr">
        <is>
          <t>In Stock</t>
        </is>
      </c>
    </row>
    <row r="395">
      <c r="A395" s="1">
        <f>Hyperlink("https://www.tilemountain.co.uk/p/fila-maintenance-kit.html","Product")</f>
        <v/>
      </c>
      <c r="B395" s="1" t="inlineStr">
        <is>
          <t>443710</t>
        </is>
      </c>
      <c r="C395" s="1" t="inlineStr">
        <is>
          <t>Fila Ceramica Maintenance Kit</t>
        </is>
      </c>
      <c r="D395" s="1" t="n">
        <v>30.99</v>
      </c>
      <c r="E395" s="1" t="inlineStr">
        <is>
          <t>-</t>
        </is>
      </c>
      <c r="F395" s="1" t="inlineStr">
        <is>
          <t>Qty</t>
        </is>
      </c>
      <c r="G395" s="1" t="inlineStr">
        <is>
          <t>-</t>
        </is>
      </c>
      <c r="H395" s="1" t="inlineStr">
        <is>
          <t>-</t>
        </is>
      </c>
      <c r="I395" t="inlineStr">
        <is>
          <t>In Stock</t>
        </is>
      </c>
    </row>
    <row r="396">
      <c r="A396" s="1">
        <f>Hyperlink("https://www.tilemountain.co.uk/p/fila-mp90-polished-porcelain-stone-sealer-250ml.html","Product")</f>
        <v/>
      </c>
      <c r="B396" s="1" t="inlineStr">
        <is>
          <t>436195</t>
        </is>
      </c>
      <c r="C396" s="1" t="inlineStr">
        <is>
          <t>MP 90 - 375 ml - Water and Oil Repellent Protection</t>
        </is>
      </c>
      <c r="D396" s="1" t="n">
        <v>21.99</v>
      </c>
      <c r="E396" s="1" t="inlineStr">
        <is>
          <t>-</t>
        </is>
      </c>
      <c r="F396" s="1" t="inlineStr">
        <is>
          <t>Qty</t>
        </is>
      </c>
      <c r="G396" s="1" t="inlineStr">
        <is>
          <t>-</t>
        </is>
      </c>
      <c r="H396" s="1" t="inlineStr">
        <is>
          <t>-</t>
        </is>
      </c>
      <c r="I396" t="n">
        <v>5</v>
      </c>
    </row>
    <row r="397">
      <c r="A397" s="1">
        <f>Hyperlink("https://www.tilemountain.co.uk/p/fila-mp90-polished-porcelain-stone-sealer.html","Product")</f>
        <v/>
      </c>
      <c r="B397" s="1" t="inlineStr">
        <is>
          <t>430670</t>
        </is>
      </c>
      <c r="C397" s="1" t="inlineStr">
        <is>
          <t>MP 90 - 1 Ltr  - Water and Oil Repellent Protection</t>
        </is>
      </c>
      <c r="D397" s="1" t="n">
        <v>49.99</v>
      </c>
      <c r="E397" s="1" t="inlineStr">
        <is>
          <t>-</t>
        </is>
      </c>
      <c r="F397" s="1" t="inlineStr">
        <is>
          <t>Qty</t>
        </is>
      </c>
      <c r="G397" s="1" t="inlineStr">
        <is>
          <t>-</t>
        </is>
      </c>
      <c r="H397" s="1" t="inlineStr">
        <is>
          <t>-</t>
        </is>
      </c>
      <c r="I397" t="inlineStr">
        <is>
          <t>In Stock</t>
        </is>
      </c>
    </row>
    <row r="398">
      <c r="A398" s="1">
        <f>Hyperlink("https://www.tilemountain.co.uk/p/fila-ps87-stain-remover-5-litre.html","Product")</f>
        <v/>
      </c>
      <c r="B398" s="1" t="inlineStr">
        <is>
          <t>442860</t>
        </is>
      </c>
      <c r="C398" s="1" t="inlineStr">
        <is>
          <t>PS87 Pro 5 Ltr - Professional Degreasing Cleaning Agent</t>
        </is>
      </c>
      <c r="D398" s="1" t="n">
        <v>69.98999999999999</v>
      </c>
      <c r="E398" s="1" t="inlineStr">
        <is>
          <t>-</t>
        </is>
      </c>
      <c r="F398" s="1" t="inlineStr">
        <is>
          <t>Qty</t>
        </is>
      </c>
      <c r="G398" s="1" t="inlineStr">
        <is>
          <t>-</t>
        </is>
      </c>
      <c r="H398" s="1" t="inlineStr">
        <is>
          <t>-</t>
        </is>
      </c>
      <c r="I398" t="inlineStr">
        <is>
          <t>In Stock</t>
        </is>
      </c>
    </row>
    <row r="399">
      <c r="A399" s="1">
        <f>Hyperlink("https://www.tilemountain.co.uk/p/fila-ps87-stain-remover.html","Product")</f>
        <v/>
      </c>
      <c r="B399" s="1" t="inlineStr">
        <is>
          <t>430660</t>
        </is>
      </c>
      <c r="C399" s="1" t="inlineStr">
        <is>
          <t>Fila PS87 Pro Professional Degreasing Cleaning Agent 1L</t>
        </is>
      </c>
      <c r="D399" s="1" t="n">
        <v>17.99</v>
      </c>
      <c r="E399" s="1" t="inlineStr">
        <is>
          <t>-</t>
        </is>
      </c>
      <c r="F399" s="1" t="inlineStr">
        <is>
          <t>Qty</t>
        </is>
      </c>
      <c r="G399" s="1" t="inlineStr">
        <is>
          <t>-</t>
        </is>
      </c>
      <c r="H399" s="1" t="inlineStr">
        <is>
          <t>-</t>
        </is>
      </c>
      <c r="I399" t="inlineStr">
        <is>
          <t>In Stock</t>
        </is>
      </c>
    </row>
    <row r="400">
      <c r="A400" s="1">
        <f>Hyperlink("https://www.tilemountain.co.uk/p/fila-stoneplus-colour-enhancing-sealer.html","Product")</f>
        <v/>
      </c>
      <c r="B400" s="1" t="inlineStr">
        <is>
          <t>430675</t>
        </is>
      </c>
      <c r="C400" s="1" t="inlineStr">
        <is>
          <t>Stoneplus - 1 Ltr - Colour Enhancing Stain Protector</t>
        </is>
      </c>
      <c r="D400" s="1" t="n">
        <v>41.99</v>
      </c>
      <c r="E400" s="1" t="inlineStr">
        <is>
          <t>-</t>
        </is>
      </c>
      <c r="F400" s="1" t="inlineStr">
        <is>
          <t>Qty</t>
        </is>
      </c>
      <c r="G400" s="1" t="inlineStr">
        <is>
          <t>-</t>
        </is>
      </c>
      <c r="H400" s="1" t="inlineStr">
        <is>
          <t>-</t>
        </is>
      </c>
      <c r="I400" t="inlineStr">
        <is>
          <t>In Stock</t>
        </is>
      </c>
    </row>
    <row r="401">
      <c r="A401" s="1">
        <f>Hyperlink("https://www.tilemountain.co.uk/p/fila-tile-stone-cleaner.html","Product")</f>
        <v/>
      </c>
      <c r="B401" s="1" t="inlineStr">
        <is>
          <t>430655</t>
        </is>
      </c>
      <c r="C401" s="1" t="inlineStr">
        <is>
          <t>Cleaner Pro 1 Ltr - Professional Maintenance for Surfaces</t>
        </is>
      </c>
      <c r="D401" s="1" t="n">
        <v>9.99</v>
      </c>
      <c r="E401" s="1" t="inlineStr">
        <is>
          <t>-</t>
        </is>
      </c>
      <c r="F401" s="1" t="inlineStr">
        <is>
          <t>Qty</t>
        </is>
      </c>
      <c r="G401" s="1" t="inlineStr">
        <is>
          <t>-</t>
        </is>
      </c>
      <c r="H401" s="1" t="inlineStr">
        <is>
          <t>-</t>
        </is>
      </c>
      <c r="I401" t="inlineStr">
        <is>
          <t>In Stock</t>
        </is>
      </c>
    </row>
    <row r="402">
      <c r="A402" s="1">
        <f>Hyperlink("https://www.tilemountain.co.uk/p/fila-w68-matt-stone-sealer.html","Product")</f>
        <v/>
      </c>
      <c r="B402" s="1" t="inlineStr">
        <is>
          <t>430665</t>
        </is>
      </c>
      <c r="C402" s="1" t="inlineStr">
        <is>
          <t>W68 - 1 Ltr - Stain Protector for Unpolished Surfaces</t>
        </is>
      </c>
      <c r="D402" s="1" t="n">
        <v>31.99</v>
      </c>
      <c r="E402" s="1" t="inlineStr">
        <is>
          <t>-</t>
        </is>
      </c>
      <c r="F402" s="1" t="inlineStr">
        <is>
          <t>Qty</t>
        </is>
      </c>
      <c r="G402" s="1" t="inlineStr">
        <is>
          <t>-</t>
        </is>
      </c>
      <c r="H402" s="1" t="inlineStr">
        <is>
          <t>-</t>
        </is>
      </c>
      <c r="I402" t="inlineStr">
        <is>
          <t>In Stock</t>
        </is>
      </c>
    </row>
    <row r="403">
      <c r="A403" s="1">
        <f>Hyperlink("https://www.tilemountain.co.uk/p/flat-grey-cement-floor-tile.html","Product")</f>
        <v/>
      </c>
      <c r="B403" s="1" t="inlineStr">
        <is>
          <t>443750</t>
        </is>
      </c>
      <c r="C403" s="1" t="inlineStr">
        <is>
          <t>Flat Grey Cement Wall and Floor Tiles</t>
        </is>
      </c>
      <c r="D403" s="1" t="n">
        <v>34.99</v>
      </c>
      <c r="E403" s="1" t="inlineStr">
        <is>
          <t>590x1182mm</t>
        </is>
      </c>
      <c r="F403" s="1" t="inlineStr">
        <is>
          <t>m2</t>
        </is>
      </c>
      <c r="G403" s="1" t="inlineStr">
        <is>
          <t>Glazed Porcelain</t>
        </is>
      </c>
      <c r="H403" s="1" t="inlineStr">
        <is>
          <t>Gloss</t>
        </is>
      </c>
      <c r="I403" t="n">
        <v>722</v>
      </c>
    </row>
    <row r="404">
      <c r="A404" s="1">
        <f>Hyperlink("https://www.tilemountain.co.uk/p/flexi-bucket-35-litre.html","Product")</f>
        <v/>
      </c>
      <c r="B404" s="1" t="inlineStr">
        <is>
          <t>450730</t>
        </is>
      </c>
      <c r="C404" s="1" t="inlineStr">
        <is>
          <t>Flexi Bucket 35 Litre</t>
        </is>
      </c>
      <c r="D404" s="1" t="n">
        <v>7.99</v>
      </c>
      <c r="E404" s="1" t="inlineStr">
        <is>
          <t>-</t>
        </is>
      </c>
      <c r="F404" s="1" t="inlineStr">
        <is>
          <t>Qty</t>
        </is>
      </c>
      <c r="G404" s="1" t="inlineStr">
        <is>
          <t>-</t>
        </is>
      </c>
      <c r="H404" s="1" t="inlineStr">
        <is>
          <t>-</t>
        </is>
      </c>
      <c r="I404" t="n">
        <v>12</v>
      </c>
    </row>
    <row r="405">
      <c r="A405" s="1">
        <f>Hyperlink("https://www.tilemountain.co.uk/p/forma-branco-ac-30x40.html","Product")</f>
        <v/>
      </c>
      <c r="B405" s="1" t="inlineStr">
        <is>
          <t>448535</t>
        </is>
      </c>
      <c r="C405" s="1" t="inlineStr">
        <is>
          <t>Forma Matt White Wall Tile</t>
        </is>
      </c>
      <c r="D405" s="1" t="n">
        <v>9.99</v>
      </c>
      <c r="E405" s="1" t="inlineStr">
        <is>
          <t>400x300mm</t>
        </is>
      </c>
      <c r="F405" s="1" t="inlineStr">
        <is>
          <t>m2</t>
        </is>
      </c>
      <c r="G405" s="1" t="inlineStr">
        <is>
          <t>Ceramic</t>
        </is>
      </c>
      <c r="H405" s="1" t="inlineStr">
        <is>
          <t>Matt</t>
        </is>
      </c>
      <c r="I405" t="n">
        <v>771</v>
      </c>
    </row>
    <row r="406">
      <c r="A406" s="1">
        <f>Hyperlink("https://www.tilemountain.co.uk/p/forma-branco-br-30x40.html","Product")</f>
        <v/>
      </c>
      <c r="B406" s="1" t="inlineStr">
        <is>
          <t>448540</t>
        </is>
      </c>
      <c r="C406" s="1" t="inlineStr">
        <is>
          <t>Forma Gloss White Wall Tile</t>
        </is>
      </c>
      <c r="D406" s="1" t="n">
        <v>8.99</v>
      </c>
      <c r="E406" s="1" t="inlineStr">
        <is>
          <t>400x300mm</t>
        </is>
      </c>
      <c r="F406" s="1" t="inlineStr">
        <is>
          <t>m2</t>
        </is>
      </c>
      <c r="G406" s="1" t="inlineStr">
        <is>
          <t>-</t>
        </is>
      </c>
      <c r="H406" s="1" t="inlineStr">
        <is>
          <t>-</t>
        </is>
      </c>
      <c r="I406" t="n">
        <v>2845</v>
      </c>
    </row>
    <row r="407">
      <c r="A407" s="1">
        <f>Hyperlink("https://www.tilemountain.co.uk/p/frisco-luxury-vinyl-tiles.html","Product")</f>
        <v/>
      </c>
      <c r="B407" s="1" t="inlineStr">
        <is>
          <t>445360</t>
        </is>
      </c>
      <c r="C407" s="1" t="inlineStr">
        <is>
          <t>Frisco Luxury Vinyl Tiles</t>
        </is>
      </c>
      <c r="D407" s="1" t="n">
        <v>20.99</v>
      </c>
      <c r="E407" s="1" t="inlineStr">
        <is>
          <t>604x299x4mm</t>
        </is>
      </c>
      <c r="F407" s="1" t="inlineStr">
        <is>
          <t>m2</t>
        </is>
      </c>
      <c r="G407" s="1" t="inlineStr">
        <is>
          <t>LVT</t>
        </is>
      </c>
      <c r="H407" s="1" t="inlineStr">
        <is>
          <t>Matt</t>
        </is>
      </c>
      <c r="I407" t="n">
        <v>398</v>
      </c>
    </row>
    <row r="408">
      <c r="A408" s="1">
        <f>Hyperlink("https://www.tilemountain.co.uk/p/fuganet-grout-cleaner.html","Product")</f>
        <v/>
      </c>
      <c r="B408" s="1" t="inlineStr">
        <is>
          <t>443005</t>
        </is>
      </c>
      <c r="C408" s="1" t="inlineStr">
        <is>
          <t>Fuganet 750 ml - Specific Cleaning for Grouting</t>
        </is>
      </c>
      <c r="D408" s="1" t="n">
        <v>8.99</v>
      </c>
      <c r="E408" s="1" t="inlineStr">
        <is>
          <t>-</t>
        </is>
      </c>
      <c r="F408" s="1" t="inlineStr">
        <is>
          <t>Qty</t>
        </is>
      </c>
      <c r="G408" s="1" t="inlineStr">
        <is>
          <t>-</t>
        </is>
      </c>
      <c r="H408" s="1" t="inlineStr">
        <is>
          <t>-</t>
        </is>
      </c>
      <c r="I408" t="inlineStr">
        <is>
          <t>In Stock</t>
        </is>
      </c>
    </row>
    <row r="409">
      <c r="A409" s="1">
        <f>Hyperlink("https://www.tilemountain.co.uk/p/fulham-aqua-wall-tile.html","Product")</f>
        <v/>
      </c>
      <c r="B409" s="1" t="inlineStr">
        <is>
          <t>451535</t>
        </is>
      </c>
      <c r="C409" s="1" t="inlineStr">
        <is>
          <t>Fulham Aqua Wall Tile</t>
        </is>
      </c>
      <c r="D409" s="1" t="n">
        <v>20.99</v>
      </c>
      <c r="E409" s="1" t="inlineStr">
        <is>
          <t>400x150mm</t>
        </is>
      </c>
      <c r="F409" s="1" t="inlineStr">
        <is>
          <t>m2</t>
        </is>
      </c>
      <c r="G409" s="1" t="inlineStr">
        <is>
          <t>Ceramic</t>
        </is>
      </c>
      <c r="H409" s="1" t="inlineStr">
        <is>
          <t>Gloss</t>
        </is>
      </c>
      <c r="I409" t="n">
        <v>68</v>
      </c>
    </row>
    <row r="410">
      <c r="A410" s="1">
        <f>Hyperlink("https://www.tilemountain.co.uk/p/fulham-green-wall-tile.html","Product")</f>
        <v/>
      </c>
      <c r="B410" s="1" t="inlineStr">
        <is>
          <t>451545</t>
        </is>
      </c>
      <c r="C410" s="1" t="inlineStr">
        <is>
          <t>Fulham Green Wall Tile</t>
        </is>
      </c>
      <c r="D410" s="1" t="n">
        <v>20.99</v>
      </c>
      <c r="E410" s="1" t="inlineStr">
        <is>
          <t>400x150mm</t>
        </is>
      </c>
      <c r="F410" s="1" t="inlineStr">
        <is>
          <t>m2</t>
        </is>
      </c>
      <c r="G410" s="1" t="inlineStr">
        <is>
          <t>Ceramic</t>
        </is>
      </c>
      <c r="H410" s="1" t="inlineStr">
        <is>
          <t>Gloss</t>
        </is>
      </c>
      <c r="I410" t="inlineStr">
        <is>
          <t>More Stock due 12/11/21</t>
        </is>
      </c>
    </row>
    <row r="411">
      <c r="A411" s="1">
        <f>Hyperlink("https://www.tilemountain.co.uk/p/fulham-grey-wall-tile.html","Product")</f>
        <v/>
      </c>
      <c r="B411" s="1" t="inlineStr">
        <is>
          <t>451515</t>
        </is>
      </c>
      <c r="C411" s="1" t="inlineStr">
        <is>
          <t>Fulham Grey Wall Tile</t>
        </is>
      </c>
      <c r="D411" s="1" t="n">
        <v>20.99</v>
      </c>
      <c r="E411" s="1" t="inlineStr">
        <is>
          <t>400x150mm</t>
        </is>
      </c>
      <c r="F411" s="1" t="inlineStr">
        <is>
          <t>m2</t>
        </is>
      </c>
      <c r="G411" s="1" t="inlineStr">
        <is>
          <t>Ceramic</t>
        </is>
      </c>
      <c r="H411" s="1" t="inlineStr">
        <is>
          <t>Gloss</t>
        </is>
      </c>
      <c r="I411" t="inlineStr">
        <is>
          <t>More Stock due 29/10/21</t>
        </is>
      </c>
    </row>
    <row r="412">
      <c r="A412" s="1">
        <f>Hyperlink("https://www.tilemountain.co.uk/p/fulham-light-blue-wall-tile.html","Product")</f>
        <v/>
      </c>
      <c r="B412" s="1" t="inlineStr">
        <is>
          <t>451505</t>
        </is>
      </c>
      <c r="C412" s="1" t="inlineStr">
        <is>
          <t>Fulham Blue Wall Tile</t>
        </is>
      </c>
      <c r="D412" s="1" t="n">
        <v>20.99</v>
      </c>
      <c r="E412" s="1" t="inlineStr">
        <is>
          <t>400x150mm</t>
        </is>
      </c>
      <c r="F412" s="1" t="inlineStr">
        <is>
          <t>m2</t>
        </is>
      </c>
      <c r="G412" s="1" t="inlineStr">
        <is>
          <t>Ceramic</t>
        </is>
      </c>
      <c r="H412" s="1" t="inlineStr">
        <is>
          <t>Gloss</t>
        </is>
      </c>
      <c r="I412" t="n">
        <v>28</v>
      </c>
    </row>
    <row r="413">
      <c r="A413" s="1">
        <f>Hyperlink("https://www.tilemountain.co.uk/p/fulham-sage-wall-tile.html","Product")</f>
        <v/>
      </c>
      <c r="B413" s="1" t="inlineStr">
        <is>
          <t>451525</t>
        </is>
      </c>
      <c r="C413" s="1" t="inlineStr">
        <is>
          <t>Fulham Sage Wall Tile</t>
        </is>
      </c>
      <c r="D413" s="1" t="n">
        <v>20.99</v>
      </c>
      <c r="E413" s="1" t="inlineStr">
        <is>
          <t>400x150mm</t>
        </is>
      </c>
      <c r="F413" s="1" t="inlineStr">
        <is>
          <t>m2</t>
        </is>
      </c>
      <c r="G413" s="1" t="inlineStr">
        <is>
          <t>Ceramic</t>
        </is>
      </c>
      <c r="H413" s="1" t="inlineStr">
        <is>
          <t>Gloss</t>
        </is>
      </c>
      <c r="I413" t="n">
        <v>90</v>
      </c>
    </row>
    <row r="414">
      <c r="A414" s="1">
        <f>Hyperlink("https://www.tilemountain.co.uk/p/fulham-snow-white-wall-tile.html","Product")</f>
        <v/>
      </c>
      <c r="B414" s="1" t="inlineStr">
        <is>
          <t>453180</t>
        </is>
      </c>
      <c r="C414" s="1" t="inlineStr">
        <is>
          <t>Fulham White Wall Tile</t>
        </is>
      </c>
      <c r="D414" s="1" t="n">
        <v>20.99</v>
      </c>
      <c r="E414" s="1" t="inlineStr">
        <is>
          <t>400x150mm</t>
        </is>
      </c>
      <c r="F414" s="1" t="inlineStr">
        <is>
          <t>m2</t>
        </is>
      </c>
      <c r="G414" s="1" t="inlineStr">
        <is>
          <t>Ceramic</t>
        </is>
      </c>
      <c r="H414" s="1" t="inlineStr">
        <is>
          <t>Gloss</t>
        </is>
      </c>
      <c r="I414" t="n">
        <v>75</v>
      </c>
    </row>
    <row r="415">
      <c r="A415" s="1">
        <f>Hyperlink("https://www.tilemountain.co.uk/p/fuschia-glass-upstand-pack-2.html","Product")</f>
        <v/>
      </c>
      <c r="B415" s="1" t="inlineStr">
        <is>
          <t>436380</t>
        </is>
      </c>
      <c r="C415" s="1" t="inlineStr">
        <is>
          <t>Fuschia Glass Upstand 2pcsx1000mmx140mm</t>
        </is>
      </c>
      <c r="D415" s="1" t="n">
        <v>34.99</v>
      </c>
      <c r="E415" s="1" t="inlineStr">
        <is>
          <t>1000x140mm</t>
        </is>
      </c>
      <c r="F415" s="1" t="inlineStr">
        <is>
          <t>Qty</t>
        </is>
      </c>
      <c r="G415" s="1" t="inlineStr">
        <is>
          <t>Glass</t>
        </is>
      </c>
      <c r="H415" s="1" t="inlineStr">
        <is>
          <t>Polished</t>
        </is>
      </c>
      <c r="I415" t="inlineStr"/>
    </row>
    <row r="416">
      <c r="A416" s="1">
        <f>Hyperlink("https://www.tilemountain.co.uk/p/future-matt-copper-decor-tile.html","Product")</f>
        <v/>
      </c>
      <c r="B416" s="1" t="inlineStr">
        <is>
          <t>439505</t>
        </is>
      </c>
      <c r="C416" s="1" t="inlineStr">
        <is>
          <t>Future Matt Copper Decor Tiles</t>
        </is>
      </c>
      <c r="D416" s="1" t="n">
        <v>18.52</v>
      </c>
      <c r="E416" s="1" t="inlineStr">
        <is>
          <t>300x900mm</t>
        </is>
      </c>
      <c r="F416" s="1" t="inlineStr">
        <is>
          <t>m2</t>
        </is>
      </c>
      <c r="G416" s="1" t="inlineStr">
        <is>
          <t>Ceramic</t>
        </is>
      </c>
      <c r="H416" s="1" t="inlineStr">
        <is>
          <t>Satin</t>
        </is>
      </c>
      <c r="I416" t="n">
        <v>61</v>
      </c>
    </row>
    <row r="417">
      <c r="A417" s="1">
        <f>Hyperlink("https://www.tilemountain.co.uk/p/future-matt-oxido-decor-tile.html","Product")</f>
        <v/>
      </c>
      <c r="B417" s="1" t="inlineStr">
        <is>
          <t>439500</t>
        </is>
      </c>
      <c r="C417" s="1" t="inlineStr">
        <is>
          <t>Future Matt Oxido Decor Tiles</t>
        </is>
      </c>
      <c r="D417" s="1" t="n">
        <v>18.52</v>
      </c>
      <c r="E417" s="1" t="inlineStr">
        <is>
          <t>300x900mm</t>
        </is>
      </c>
      <c r="F417" s="1" t="inlineStr">
        <is>
          <t>m2</t>
        </is>
      </c>
      <c r="G417" s="1" t="inlineStr">
        <is>
          <t>Ceramic</t>
        </is>
      </c>
      <c r="H417" s="1" t="inlineStr">
        <is>
          <t>Satin</t>
        </is>
      </c>
      <c r="I417" t="n">
        <v>61</v>
      </c>
    </row>
    <row r="418">
      <c r="A418" s="1">
        <f>Hyperlink("https://www.tilemountain.co.uk/p/gatsby-black-white-patchwork-wall-floor-tile-22-3x22-3cm.html","Product")</f>
        <v/>
      </c>
      <c r="B418" s="1" t="inlineStr">
        <is>
          <t>300300</t>
        </is>
      </c>
      <c r="C418" s="1" t="inlineStr">
        <is>
          <t>Gatsby Black and White Patchwork Wall and Floor Tiles</t>
        </is>
      </c>
      <c r="D418" s="1" t="n">
        <v>23.99</v>
      </c>
      <c r="E418" s="1" t="inlineStr">
        <is>
          <t>223x223mm</t>
        </is>
      </c>
      <c r="F418" s="1" t="inlineStr">
        <is>
          <t>m2</t>
        </is>
      </c>
      <c r="G418" s="1" t="inlineStr">
        <is>
          <t>Porcelain</t>
        </is>
      </c>
      <c r="H418" s="1" t="inlineStr">
        <is>
          <t>Matt</t>
        </is>
      </c>
      <c r="I418" t="n">
        <v>74</v>
      </c>
    </row>
    <row r="419">
      <c r="A419" s="1">
        <f>Hyperlink("https://www.tilemountain.co.uk/p/gatsby-black-white-wall-floor-tile-22-3x22-3cm.html","Product")</f>
        <v/>
      </c>
      <c r="B419" s="1" t="inlineStr">
        <is>
          <t>300305</t>
        </is>
      </c>
      <c r="C419" s="1" t="inlineStr">
        <is>
          <t>Gatsby Black &amp; White Wall and Floor Tiles</t>
        </is>
      </c>
      <c r="D419" s="1" t="n">
        <v>23.99</v>
      </c>
      <c r="E419" s="1" t="inlineStr">
        <is>
          <t>223x223mm</t>
        </is>
      </c>
      <c r="F419" s="1" t="inlineStr">
        <is>
          <t>m2</t>
        </is>
      </c>
      <c r="G419" s="1" t="inlineStr">
        <is>
          <t>Porcelain</t>
        </is>
      </c>
      <c r="H419" s="1" t="inlineStr">
        <is>
          <t>Matt</t>
        </is>
      </c>
      <c r="I419" t="n">
        <v>48</v>
      </c>
    </row>
    <row r="420">
      <c r="A420" s="1">
        <f>Hyperlink("https://www.tilemountain.co.uk/p/gatsby-white-base-wall-floor-tile-22-3x22-3cm.html","Product")</f>
        <v/>
      </c>
      <c r="B420" s="1" t="inlineStr">
        <is>
          <t>300310</t>
        </is>
      </c>
      <c r="C420" s="1" t="inlineStr">
        <is>
          <t>Gatsby White Base Wall and Floor Tiles</t>
        </is>
      </c>
      <c r="D420" s="1" t="n">
        <v>23.99</v>
      </c>
      <c r="E420" s="1" t="inlineStr">
        <is>
          <t>223x223mm</t>
        </is>
      </c>
      <c r="F420" s="1" t="inlineStr">
        <is>
          <t>m2</t>
        </is>
      </c>
      <c r="G420" s="1" t="inlineStr">
        <is>
          <t>porcelain</t>
        </is>
      </c>
      <c r="H420" s="1" t="inlineStr">
        <is>
          <t>Matt</t>
        </is>
      </c>
      <c r="I420" t="n">
        <v>77</v>
      </c>
    </row>
    <row r="421">
      <c r="A421" s="1">
        <f>Hyperlink("https://www.tilemountain.co.uk/p/gemstone-amarillo-glass-mosaic_1.html","Product")</f>
        <v/>
      </c>
      <c r="B421" s="1" t="inlineStr">
        <is>
          <t>450030</t>
        </is>
      </c>
      <c r="C421" s="1" t="inlineStr">
        <is>
          <t>Gemstone Amarillo Glass Mosaic 300x300</t>
        </is>
      </c>
      <c r="D421" s="1" t="n">
        <v>11.99</v>
      </c>
      <c r="E421" s="1" t="inlineStr">
        <is>
          <t>300x300mm</t>
        </is>
      </c>
      <c r="F421" s="1" t="inlineStr">
        <is>
          <t>sheet</t>
        </is>
      </c>
      <c r="G421" s="1" t="inlineStr">
        <is>
          <t>Glass</t>
        </is>
      </c>
      <c r="H421" s="1" t="inlineStr">
        <is>
          <t>Gloss</t>
        </is>
      </c>
      <c r="I421" t="inlineStr">
        <is>
          <t>In Stock</t>
        </is>
      </c>
    </row>
    <row r="422">
      <c r="A422" s="1">
        <f>Hyperlink("https://www.tilemountain.co.uk/p/georgia-ebony-multicolour-glass-mosaic.html","Product")</f>
        <v/>
      </c>
      <c r="B422" s="1" t="inlineStr">
        <is>
          <t>453730</t>
        </is>
      </c>
      <c r="C422" s="1" t="inlineStr">
        <is>
          <t>Georgia Ebony Multicolour Glass  Mosaic</t>
        </is>
      </c>
      <c r="D422" s="1" t="n">
        <v>12.99</v>
      </c>
      <c r="E422" s="1" t="inlineStr">
        <is>
          <t>307x287mm</t>
        </is>
      </c>
      <c r="F422" s="1" t="inlineStr">
        <is>
          <t>sheet</t>
        </is>
      </c>
      <c r="G422" s="1" t="inlineStr">
        <is>
          <t>Glass</t>
        </is>
      </c>
      <c r="H422" s="1" t="inlineStr">
        <is>
          <t>Gloss</t>
        </is>
      </c>
      <c r="I422" t="inlineStr">
        <is>
          <t>In Stock</t>
        </is>
      </c>
    </row>
    <row r="423">
      <c r="A423" s="1">
        <f>Hyperlink("https://www.tilemountain.co.uk/p/georgia-oyster-pearl-glass-mosaic.html","Product")</f>
        <v/>
      </c>
      <c r="B423" s="1" t="inlineStr">
        <is>
          <t>453735</t>
        </is>
      </c>
      <c r="C423" s="1" t="inlineStr">
        <is>
          <t>Georgia Oyster Pearl Glass Mosaic</t>
        </is>
      </c>
      <c r="D423" s="1" t="n">
        <v>12.99</v>
      </c>
      <c r="E423" s="1" t="inlineStr">
        <is>
          <t>307x287mm</t>
        </is>
      </c>
      <c r="F423" s="1" t="inlineStr">
        <is>
          <t>sheet</t>
        </is>
      </c>
      <c r="G423" s="1" t="inlineStr">
        <is>
          <t>Glass</t>
        </is>
      </c>
      <c r="H423" s="1" t="inlineStr">
        <is>
          <t>Gloss</t>
        </is>
      </c>
      <c r="I423" t="inlineStr">
        <is>
          <t>In Stock</t>
        </is>
      </c>
    </row>
    <row r="424">
      <c r="A424" s="1">
        <f>Hyperlink("https://www.tilemountain.co.uk/p/georgia-smoke-grey-glass-mosaic.html","Product")</f>
        <v/>
      </c>
      <c r="B424" s="1" t="inlineStr">
        <is>
          <t>453740</t>
        </is>
      </c>
      <c r="C424" s="1" t="inlineStr">
        <is>
          <t>Georgia Smoke Grey Glass Mosaic</t>
        </is>
      </c>
      <c r="D424" s="1" t="n">
        <v>12.99</v>
      </c>
      <c r="E424" s="1" t="inlineStr">
        <is>
          <t>307x287mm</t>
        </is>
      </c>
      <c r="F424" s="1" t="inlineStr">
        <is>
          <t>sheet</t>
        </is>
      </c>
      <c r="G424" s="1" t="inlineStr">
        <is>
          <t>Glass</t>
        </is>
      </c>
      <c r="H424" s="1" t="inlineStr">
        <is>
          <t>Gloss</t>
        </is>
      </c>
      <c r="I424" t="n">
        <v>51</v>
      </c>
    </row>
    <row r="425">
      <c r="A425" s="1">
        <f>Hyperlink("https://www.tilemountain.co.uk/p/glasgow-grey-7-5x30.html","Product")</f>
        <v/>
      </c>
      <c r="B425" s="1" t="inlineStr">
        <is>
          <t>449905</t>
        </is>
      </c>
      <c r="C425" s="1" t="inlineStr">
        <is>
          <t>Glasgow Grey Mix Wall Tile</t>
        </is>
      </c>
      <c r="D425" s="1" t="n">
        <v>19.95</v>
      </c>
      <c r="E425" s="1" t="inlineStr">
        <is>
          <t>300x75mm</t>
        </is>
      </c>
      <c r="F425" s="1" t="inlineStr">
        <is>
          <t>m2</t>
        </is>
      </c>
      <c r="G425" s="1" t="inlineStr">
        <is>
          <t>Ceramic</t>
        </is>
      </c>
      <c r="H425" s="1" t="inlineStr">
        <is>
          <t>Matt</t>
        </is>
      </c>
      <c r="I425" t="n">
        <v>276</v>
      </c>
    </row>
    <row r="426">
      <c r="A426" s="1">
        <f>Hyperlink("https://www.tilemountain.co.uk/p/glasgow-ivory-7-5x30.html","Product")</f>
        <v/>
      </c>
      <c r="B426" s="1" t="inlineStr">
        <is>
          <t>449900</t>
        </is>
      </c>
      <c r="C426" s="1" t="inlineStr">
        <is>
          <t>Glasgow Ivory Mix Wall Tile</t>
        </is>
      </c>
      <c r="D426" s="1" t="n">
        <v>19.95</v>
      </c>
      <c r="E426" s="1" t="inlineStr">
        <is>
          <t>300x75mm</t>
        </is>
      </c>
      <c r="F426" s="1" t="inlineStr">
        <is>
          <t>m2</t>
        </is>
      </c>
      <c r="G426" s="1" t="inlineStr">
        <is>
          <t>Ceramic</t>
        </is>
      </c>
      <c r="H426" s="1" t="inlineStr">
        <is>
          <t>Matt</t>
        </is>
      </c>
      <c r="I426" t="n">
        <v>60</v>
      </c>
    </row>
    <row r="427">
      <c r="A427" s="1">
        <f>Hyperlink("https://www.tilemountain.co.uk/p/glossy-flat-white-wall-tile.html","Product")</f>
        <v/>
      </c>
      <c r="B427" s="1" t="inlineStr">
        <is>
          <t>434045</t>
        </is>
      </c>
      <c r="C427" s="1" t="inlineStr">
        <is>
          <t>Glossy Flat White Wall Tiles</t>
        </is>
      </c>
      <c r="D427" s="1" t="n">
        <v>12.99</v>
      </c>
      <c r="E427" s="1" t="inlineStr">
        <is>
          <t>300x600mm</t>
        </is>
      </c>
      <c r="F427" s="1" t="inlineStr">
        <is>
          <t>m2</t>
        </is>
      </c>
      <c r="G427" s="1" t="inlineStr">
        <is>
          <t>Ceramic</t>
        </is>
      </c>
      <c r="H427" s="1" t="inlineStr">
        <is>
          <t>Gloss</t>
        </is>
      </c>
      <c r="I427" t="n">
        <v>775</v>
      </c>
    </row>
    <row r="428">
      <c r="A428" s="1">
        <f>Hyperlink("https://www.tilemountain.co.uk/p/grace-bronze-glass-mosaic.html","Product")</f>
        <v/>
      </c>
      <c r="B428" s="1" t="inlineStr">
        <is>
          <t>450085</t>
        </is>
      </c>
      <c r="C428" s="1" t="inlineStr">
        <is>
          <t>Grace Bronze Glass Mosaic 288x306</t>
        </is>
      </c>
      <c r="D428" s="1" t="n">
        <v>14.99</v>
      </c>
      <c r="E428" s="1" t="inlineStr">
        <is>
          <t>306x288mm</t>
        </is>
      </c>
      <c r="F428" s="1" t="inlineStr">
        <is>
          <t>sheet</t>
        </is>
      </c>
      <c r="G428" s="1" t="inlineStr">
        <is>
          <t>Glass</t>
        </is>
      </c>
      <c r="H428" s="1" t="inlineStr">
        <is>
          <t>Gloss</t>
        </is>
      </c>
      <c r="I428" t="inlineStr">
        <is>
          <t>In Stock</t>
        </is>
      </c>
    </row>
    <row r="429">
      <c r="A429" s="1">
        <f>Hyperlink("https://www.tilemountain.co.uk/p/grace-grey-glass-mosaic_1.html","Product")</f>
        <v/>
      </c>
      <c r="B429" s="1" t="inlineStr">
        <is>
          <t>450090</t>
        </is>
      </c>
      <c r="C429" s="1" t="inlineStr">
        <is>
          <t>Grace Grey Glass Mosaic 288x306</t>
        </is>
      </c>
      <c r="D429" s="1" t="n">
        <v>14.99</v>
      </c>
      <c r="E429" s="1" t="inlineStr">
        <is>
          <t>306x288mm</t>
        </is>
      </c>
      <c r="F429" s="1" t="inlineStr">
        <is>
          <t>sheet</t>
        </is>
      </c>
      <c r="G429" s="1" t="inlineStr">
        <is>
          <t>Glass</t>
        </is>
      </c>
      <c r="H429" s="1" t="inlineStr">
        <is>
          <t>Gloss</t>
        </is>
      </c>
      <c r="I429" t="inlineStr">
        <is>
          <t>In Stock</t>
        </is>
      </c>
    </row>
    <row r="430">
      <c r="A430" s="1">
        <f>Hyperlink("https://www.tilemountain.co.uk/p/grace-silver-glass-mosaic_1.html","Product")</f>
        <v/>
      </c>
      <c r="B430" s="1" t="inlineStr">
        <is>
          <t>450095</t>
        </is>
      </c>
      <c r="C430" s="1" t="inlineStr">
        <is>
          <t>Grace Silver Glass Mosaic 288x306</t>
        </is>
      </c>
      <c r="D430" s="1" t="n">
        <v>14.99</v>
      </c>
      <c r="E430" s="1" t="inlineStr">
        <is>
          <t>306x288mm</t>
        </is>
      </c>
      <c r="F430" s="1" t="inlineStr">
        <is>
          <t>sheet</t>
        </is>
      </c>
      <c r="G430" s="1" t="inlineStr">
        <is>
          <t>Glass</t>
        </is>
      </c>
      <c r="H430" s="1" t="inlineStr">
        <is>
          <t>Gloss</t>
        </is>
      </c>
      <c r="I430" t="inlineStr">
        <is>
          <t>In Stock</t>
        </is>
      </c>
    </row>
    <row r="431">
      <c r="A431" s="1">
        <f>Hyperlink("https://www.tilemountain.co.uk/p/grange-beige-matt-matt-floor-tile.html","Product")</f>
        <v/>
      </c>
      <c r="B431" s="1" t="inlineStr">
        <is>
          <t>450100</t>
        </is>
      </c>
      <c r="C431" s="1" t="inlineStr">
        <is>
          <t>Grange Beige Matt Floor Tile</t>
        </is>
      </c>
      <c r="D431" s="1" t="n">
        <v>29.99</v>
      </c>
      <c r="E431" s="1" t="inlineStr">
        <is>
          <t>1200x600mm</t>
        </is>
      </c>
      <c r="F431" s="1" t="inlineStr">
        <is>
          <t>m2</t>
        </is>
      </c>
      <c r="G431" s="1" t="inlineStr">
        <is>
          <t>Porcelain</t>
        </is>
      </c>
      <c r="H431" s="1" t="inlineStr">
        <is>
          <t>Matt</t>
        </is>
      </c>
      <c r="I431" t="n">
        <v>301</v>
      </c>
    </row>
    <row r="432">
      <c r="A432" s="1">
        <f>Hyperlink("https://www.tilemountain.co.uk/p/grange-blanco-matt-floor-tile.html","Product")</f>
        <v/>
      </c>
      <c r="B432" s="1" t="inlineStr">
        <is>
          <t>450110</t>
        </is>
      </c>
      <c r="C432" s="1" t="inlineStr">
        <is>
          <t>Grange Blanco Matt Floor Tile</t>
        </is>
      </c>
      <c r="D432" s="1" t="n">
        <v>29.99</v>
      </c>
      <c r="E432" s="1" t="inlineStr">
        <is>
          <t>1200x600mm</t>
        </is>
      </c>
      <c r="F432" s="1" t="inlineStr">
        <is>
          <t>m2</t>
        </is>
      </c>
      <c r="G432" s="1" t="inlineStr">
        <is>
          <t>Porcelain</t>
        </is>
      </c>
      <c r="H432" s="1" t="inlineStr">
        <is>
          <t>Matt</t>
        </is>
      </c>
      <c r="I432" t="n">
        <v>690</v>
      </c>
    </row>
    <row r="433">
      <c r="A433" s="1">
        <f>Hyperlink("https://www.tilemountain.co.uk/p/grange-grey-matt-floor-tile.html","Product")</f>
        <v/>
      </c>
      <c r="B433" s="1" t="inlineStr">
        <is>
          <t>450105</t>
        </is>
      </c>
      <c r="C433" s="1" t="inlineStr">
        <is>
          <t>Grange Grey Matt Floor Tile</t>
        </is>
      </c>
      <c r="D433" s="1" t="n">
        <v>29.99</v>
      </c>
      <c r="E433" s="1" t="inlineStr">
        <is>
          <t>1200x600mm</t>
        </is>
      </c>
      <c r="F433" s="1" t="inlineStr">
        <is>
          <t>m2</t>
        </is>
      </c>
      <c r="G433" s="1" t="inlineStr">
        <is>
          <t>Porcelain</t>
        </is>
      </c>
      <c r="H433" s="1" t="inlineStr">
        <is>
          <t>Matt</t>
        </is>
      </c>
      <c r="I433" t="n">
        <v>1035</v>
      </c>
    </row>
    <row r="434">
      <c r="A434" s="1">
        <f>Hyperlink("https://www.tilemountain.co.uk/p/granirapid-grey-2-part-kit.html","Product")</f>
        <v/>
      </c>
      <c r="B434" s="1" t="inlineStr">
        <is>
          <t>443725</t>
        </is>
      </c>
      <c r="C434" s="1" t="inlineStr">
        <is>
          <t>Granirapid Grey 2 Part Kit</t>
        </is>
      </c>
      <c r="D434" s="1" t="n">
        <v>28.99</v>
      </c>
      <c r="E434" s="1" t="inlineStr">
        <is>
          <t>-</t>
        </is>
      </c>
      <c r="F434" s="1" t="inlineStr">
        <is>
          <t>Qty</t>
        </is>
      </c>
      <c r="G434" s="1" t="inlineStr">
        <is>
          <t>-</t>
        </is>
      </c>
      <c r="H434" s="1" t="inlineStr">
        <is>
          <t>-</t>
        </is>
      </c>
      <c r="I434" t="inlineStr">
        <is>
          <t xml:space="preserve">Out Of Stock </t>
        </is>
      </c>
    </row>
    <row r="435">
      <c r="A435" s="1">
        <f>Hyperlink("https://www.tilemountain.co.uk/p/granite-white-outdoor-slab-tile.html","Product")</f>
        <v/>
      </c>
      <c r="B435" s="1" t="inlineStr">
        <is>
          <t>444370</t>
        </is>
      </c>
      <c r="C435" s="1" t="inlineStr">
        <is>
          <t>Granite White Outdoor Slab Tiles</t>
        </is>
      </c>
      <c r="D435" s="1" t="n">
        <v>39.99</v>
      </c>
      <c r="E435" s="1" t="inlineStr">
        <is>
          <t>600x600mm</t>
        </is>
      </c>
      <c r="F435" s="1" t="inlineStr">
        <is>
          <t>m2</t>
        </is>
      </c>
      <c r="G435" s="1" t="inlineStr">
        <is>
          <t>Porcelain</t>
        </is>
      </c>
      <c r="H435" s="1" t="inlineStr">
        <is>
          <t>Matt</t>
        </is>
      </c>
      <c r="I435" t="n">
        <v>791</v>
      </c>
    </row>
    <row r="436">
      <c r="A436" s="1">
        <f>Hyperlink("https://www.tilemountain.co.uk/p/granito-black.html","Product")</f>
        <v/>
      </c>
      <c r="B436" s="1" t="inlineStr">
        <is>
          <t>444260</t>
        </is>
      </c>
      <c r="C436" s="1" t="inlineStr">
        <is>
          <t>Granito Black Outdoor Matt Porcelain Slab</t>
        </is>
      </c>
      <c r="D436" s="1" t="n">
        <v>39.99</v>
      </c>
      <c r="E436" s="1" t="inlineStr">
        <is>
          <t>400x800mm</t>
        </is>
      </c>
      <c r="F436" s="1" t="inlineStr">
        <is>
          <t>m2</t>
        </is>
      </c>
      <c r="G436" s="1" t="inlineStr">
        <is>
          <t>Porcelain</t>
        </is>
      </c>
      <c r="H436" s="1" t="inlineStr">
        <is>
          <t>Matt</t>
        </is>
      </c>
      <c r="I436" t="n">
        <v>916</v>
      </c>
    </row>
    <row r="437">
      <c r="A437" s="1">
        <f>Hyperlink("https://www.tilemountain.co.uk/p/granito-grey.html","Product")</f>
        <v/>
      </c>
      <c r="B437" s="1" t="inlineStr">
        <is>
          <t>444255</t>
        </is>
      </c>
      <c r="C437" s="1" t="inlineStr">
        <is>
          <t>Granito Grey Outdoor Matt Porcelain Slab</t>
        </is>
      </c>
      <c r="D437" s="1" t="n">
        <v>37.99</v>
      </c>
      <c r="E437" s="1" t="inlineStr">
        <is>
          <t>400x800mm</t>
        </is>
      </c>
      <c r="F437" s="1" t="inlineStr">
        <is>
          <t>m2</t>
        </is>
      </c>
      <c r="G437" s="1" t="inlineStr">
        <is>
          <t>Porcelain</t>
        </is>
      </c>
      <c r="H437" s="1" t="inlineStr">
        <is>
          <t>Matt</t>
        </is>
      </c>
      <c r="I437" t="n">
        <v>796</v>
      </c>
    </row>
    <row r="438">
      <c r="A438" s="1">
        <f>Hyperlink("https://www.tilemountain.co.uk/p/graziella-ice-grey-oak-wood-effect-porcelain-tile.html","Product")</f>
        <v/>
      </c>
      <c r="B438" s="1" t="inlineStr">
        <is>
          <t>449730</t>
        </is>
      </c>
      <c r="C438" s="1" t="inlineStr">
        <is>
          <t>Graziella Ice Grey Oak Wood Effect Porcelain Floor Tile</t>
        </is>
      </c>
      <c r="D438" s="1" t="n">
        <v>17.99</v>
      </c>
      <c r="E438" s="1" t="inlineStr">
        <is>
          <t>1200x230mm</t>
        </is>
      </c>
      <c r="F438" s="1" t="inlineStr">
        <is>
          <t>m2</t>
        </is>
      </c>
      <c r="G438" s="1" t="inlineStr">
        <is>
          <t>Porcelain</t>
        </is>
      </c>
      <c r="H438" s="1" t="inlineStr">
        <is>
          <t>Matt</t>
        </is>
      </c>
      <c r="I438" t="n">
        <v>252</v>
      </c>
    </row>
    <row r="439">
      <c r="A439" s="1">
        <f>Hyperlink("https://www.tilemountain.co.uk/p/graziella-roble-oak-wood-effect-porcelain-floor-tile.html","Product")</f>
        <v/>
      </c>
      <c r="B439" s="1" t="inlineStr">
        <is>
          <t>449720</t>
        </is>
      </c>
      <c r="C439" s="1" t="inlineStr">
        <is>
          <t>Graziella Roble Oak Wood Effect Porcelain Floor Tile</t>
        </is>
      </c>
      <c r="D439" s="1" t="n">
        <v>17.99</v>
      </c>
      <c r="E439" s="1" t="inlineStr">
        <is>
          <t>1200x230mm</t>
        </is>
      </c>
      <c r="F439" s="1" t="inlineStr">
        <is>
          <t>m2</t>
        </is>
      </c>
      <c r="G439" s="1" t="inlineStr">
        <is>
          <t>Porcelain</t>
        </is>
      </c>
      <c r="H439" s="1" t="inlineStr">
        <is>
          <t>Matt</t>
        </is>
      </c>
      <c r="I439" t="n">
        <v>646</v>
      </c>
    </row>
    <row r="440">
      <c r="A440" s="1">
        <f>Hyperlink("https://www.tilemountain.co.uk/p/graziella-smokey-oak-wood-effect-porcelain-floor-tile.html","Product")</f>
        <v/>
      </c>
      <c r="B440" s="1" t="inlineStr">
        <is>
          <t>449725</t>
        </is>
      </c>
      <c r="C440" s="1" t="inlineStr">
        <is>
          <t>Graziella Smokey Oak Wood Effect Porcelain Floor Tile</t>
        </is>
      </c>
      <c r="D440" s="1" t="n">
        <v>17.99</v>
      </c>
      <c r="E440" s="1" t="inlineStr">
        <is>
          <t>1200x230mm</t>
        </is>
      </c>
      <c r="F440" s="1" t="inlineStr">
        <is>
          <t>m2</t>
        </is>
      </c>
      <c r="G440" s="1" t="inlineStr">
        <is>
          <t>Porcelain</t>
        </is>
      </c>
      <c r="H440" s="1" t="inlineStr">
        <is>
          <t>Matt</t>
        </is>
      </c>
      <c r="I440" t="n">
        <v>128</v>
      </c>
    </row>
    <row r="441">
      <c r="A441" s="1">
        <f>Hyperlink("https://www.tilemountain.co.uk/p/grey-marble-split-face-mosaic.html","Product")</f>
        <v/>
      </c>
      <c r="B441" s="1" t="inlineStr">
        <is>
          <t>445530</t>
        </is>
      </c>
      <c r="C441" s="1" t="inlineStr">
        <is>
          <t>Grey Marble Split Face Mosaic</t>
        </is>
      </c>
      <c r="D441" s="1" t="n">
        <v>40.99</v>
      </c>
      <c r="E441" s="1" t="inlineStr">
        <is>
          <t>300x150mm</t>
        </is>
      </c>
      <c r="F441" s="1" t="inlineStr">
        <is>
          <t>m2</t>
        </is>
      </c>
      <c r="G441" s="1" t="inlineStr">
        <is>
          <t>Slate</t>
        </is>
      </c>
      <c r="H441" s="1" t="inlineStr">
        <is>
          <t>Riven</t>
        </is>
      </c>
      <c r="I441" t="n">
        <v>133</v>
      </c>
    </row>
    <row r="442">
      <c r="A442" s="1">
        <f>Hyperlink("https://www.tilemountain.co.uk/p/groove-art-snow-decor-tile.html","Product")</f>
        <v/>
      </c>
      <c r="B442" s="1" t="inlineStr">
        <is>
          <t>446125</t>
        </is>
      </c>
      <c r="C442" s="1" t="inlineStr">
        <is>
          <t>Groove Art Snow Decor Tiles</t>
        </is>
      </c>
      <c r="D442" s="1" t="n">
        <v>29.99</v>
      </c>
      <c r="E442" s="1" t="inlineStr">
        <is>
          <t>1200x400mm</t>
        </is>
      </c>
      <c r="F442" s="1" t="inlineStr">
        <is>
          <t>m2</t>
        </is>
      </c>
      <c r="G442" s="1" t="inlineStr">
        <is>
          <t>Ceramic</t>
        </is>
      </c>
      <c r="H442" s="1" t="inlineStr">
        <is>
          <t>Matt</t>
        </is>
      </c>
      <c r="I442" t="n">
        <v>94</v>
      </c>
    </row>
    <row r="443">
      <c r="A443" s="1">
        <f>Hyperlink("https://www.tilemountain.co.uk/p/groove-sand-matt-wall-tile.html","Product")</f>
        <v/>
      </c>
      <c r="B443" s="1" t="inlineStr">
        <is>
          <t>446115</t>
        </is>
      </c>
      <c r="C443" s="1" t="inlineStr">
        <is>
          <t>Groove Sand Matt Wall Tiles</t>
        </is>
      </c>
      <c r="D443" s="1" t="n">
        <v>28.99</v>
      </c>
      <c r="E443" s="1" t="inlineStr">
        <is>
          <t>1200x400mm</t>
        </is>
      </c>
      <c r="F443" s="1" t="inlineStr">
        <is>
          <t>m2</t>
        </is>
      </c>
      <c r="G443" s="1" t="inlineStr">
        <is>
          <t>Ceramic</t>
        </is>
      </c>
      <c r="H443" s="1" t="inlineStr">
        <is>
          <t>Matt</t>
        </is>
      </c>
      <c r="I443" t="n">
        <v>82</v>
      </c>
    </row>
    <row r="444">
      <c r="A444" s="1">
        <f>Hyperlink("https://www.tilemountain.co.uk/p/grout-float-5419.html","Product")</f>
        <v/>
      </c>
      <c r="B444" s="1" t="inlineStr">
        <is>
          <t>450685</t>
        </is>
      </c>
      <c r="C444" s="1" t="inlineStr">
        <is>
          <t>Grout Float</t>
        </is>
      </c>
      <c r="D444" s="1" t="n">
        <v>10.99</v>
      </c>
      <c r="E444" s="1" t="inlineStr">
        <is>
          <t>-</t>
        </is>
      </c>
      <c r="F444" s="1" t="inlineStr">
        <is>
          <t>Qty</t>
        </is>
      </c>
      <c r="G444" s="1" t="inlineStr">
        <is>
          <t>-</t>
        </is>
      </c>
      <c r="H444" s="1" t="inlineStr">
        <is>
          <t>-</t>
        </is>
      </c>
      <c r="I444" t="n">
        <v>40</v>
      </c>
    </row>
    <row r="445">
      <c r="A445" s="1">
        <f>Hyperlink("https://www.tilemountain.co.uk/p/grout-rake.html","Product")</f>
        <v/>
      </c>
      <c r="B445" s="1" t="inlineStr">
        <is>
          <t>450740</t>
        </is>
      </c>
      <c r="C445" s="1" t="inlineStr">
        <is>
          <t>Grout Rake</t>
        </is>
      </c>
      <c r="D445" s="1" t="n">
        <v>5.99</v>
      </c>
      <c r="E445" s="1" t="inlineStr">
        <is>
          <t>-</t>
        </is>
      </c>
      <c r="F445" s="1" t="inlineStr">
        <is>
          <t>Qty</t>
        </is>
      </c>
      <c r="G445" s="1" t="inlineStr">
        <is>
          <t>-</t>
        </is>
      </c>
      <c r="H445" s="1" t="inlineStr">
        <is>
          <t>-</t>
        </is>
      </c>
      <c r="I445" t="inlineStr">
        <is>
          <t>In Stock</t>
        </is>
      </c>
    </row>
    <row r="446">
      <c r="A446" s="1">
        <f>Hyperlink("https://www.tilemountain.co.uk/p/hampton-black.html","Product")</f>
        <v/>
      </c>
      <c r="B446" s="1" t="inlineStr">
        <is>
          <t>ECB003</t>
        </is>
      </c>
      <c r="C446" s="1" t="inlineStr">
        <is>
          <t>Hampton Black Wall Tiles</t>
        </is>
      </c>
      <c r="D446" s="1" t="n">
        <v>22.99</v>
      </c>
      <c r="E446" s="1" t="inlineStr">
        <is>
          <t>150x75mm</t>
        </is>
      </c>
      <c r="F446" s="1" t="inlineStr">
        <is>
          <t>m2</t>
        </is>
      </c>
      <c r="G446" s="1" t="inlineStr">
        <is>
          <t>Ceramic</t>
        </is>
      </c>
      <c r="H446" s="1" t="inlineStr">
        <is>
          <t>Gloss</t>
        </is>
      </c>
      <c r="I446" t="n">
        <v>23</v>
      </c>
    </row>
    <row r="447">
      <c r="A447" s="1">
        <f>Hyperlink("https://www.tilemountain.co.uk/p/hannover-steel.html","Product")</f>
        <v/>
      </c>
      <c r="B447" s="1" t="inlineStr">
        <is>
          <t>446360</t>
        </is>
      </c>
      <c r="C447" s="1" t="inlineStr">
        <is>
          <t>Hannover Steel Floor Tiles</t>
        </is>
      </c>
      <c r="D447" s="1" t="n">
        <v>20.99</v>
      </c>
      <c r="E447" s="1" t="inlineStr">
        <is>
          <t>800x800mm</t>
        </is>
      </c>
      <c r="F447" s="1" t="inlineStr">
        <is>
          <t>m2</t>
        </is>
      </c>
      <c r="G447" s="1" t="inlineStr">
        <is>
          <t>Porcelain</t>
        </is>
      </c>
      <c r="H447" s="1" t="inlineStr">
        <is>
          <t>Matt</t>
        </is>
      </c>
      <c r="I447" t="n">
        <v>37</v>
      </c>
    </row>
    <row r="448">
      <c r="A448" s="1">
        <f>Hyperlink("https://www.tilemountain.co.uk/p/hanoi-black-floor-tile.html","Product")</f>
        <v/>
      </c>
      <c r="B448" s="1" t="inlineStr">
        <is>
          <t>444300</t>
        </is>
      </c>
      <c r="C448" s="1" t="inlineStr">
        <is>
          <t>Hanoi Black Floor Tiles</t>
        </is>
      </c>
      <c r="D448" s="1" t="n">
        <v>17.99</v>
      </c>
      <c r="E448" s="1" t="inlineStr">
        <is>
          <t>327x327mm</t>
        </is>
      </c>
      <c r="F448" s="1" t="inlineStr">
        <is>
          <t>m2</t>
        </is>
      </c>
      <c r="G448" s="1" t="inlineStr">
        <is>
          <t>Porcelain</t>
        </is>
      </c>
      <c r="H448" s="1" t="inlineStr">
        <is>
          <t>Matt</t>
        </is>
      </c>
      <c r="I448" t="n">
        <v>67</v>
      </c>
    </row>
    <row r="449">
      <c r="A449" s="1">
        <f>Hyperlink("https://www.tilemountain.co.uk/p/hanoi-cube-grey-floor-tile.html","Product")</f>
        <v/>
      </c>
      <c r="B449" s="1" t="inlineStr">
        <is>
          <t>444315</t>
        </is>
      </c>
      <c r="C449" s="1" t="inlineStr">
        <is>
          <t>Hanoi Cube Grey Floor Tiles</t>
        </is>
      </c>
      <c r="D449" s="1" t="n">
        <v>19.99</v>
      </c>
      <c r="E449" s="1" t="inlineStr">
        <is>
          <t>327x327mm</t>
        </is>
      </c>
      <c r="F449" s="1" t="inlineStr">
        <is>
          <t>m2</t>
        </is>
      </c>
      <c r="G449" s="1" t="inlineStr">
        <is>
          <t>Porcelain</t>
        </is>
      </c>
      <c r="H449" s="1" t="inlineStr">
        <is>
          <t>Matt</t>
        </is>
      </c>
      <c r="I449" t="n">
        <v>232</v>
      </c>
    </row>
    <row r="450">
      <c r="A450" s="1">
        <f>Hyperlink("https://www.tilemountain.co.uk/p/hanoi-flower-grey-floor-tile.html","Product")</f>
        <v/>
      </c>
      <c r="B450" s="1" t="inlineStr">
        <is>
          <t>444310</t>
        </is>
      </c>
      <c r="C450" s="1" t="inlineStr">
        <is>
          <t>Hanoi Flower Grey Floor Tiles</t>
        </is>
      </c>
      <c r="D450" s="1" t="n">
        <v>19.99</v>
      </c>
      <c r="E450" s="1" t="inlineStr">
        <is>
          <t>327x327mm</t>
        </is>
      </c>
      <c r="F450" s="1" t="inlineStr">
        <is>
          <t>m2</t>
        </is>
      </c>
      <c r="G450" s="1" t="inlineStr">
        <is>
          <t>Porcelain</t>
        </is>
      </c>
      <c r="H450" s="1" t="inlineStr">
        <is>
          <t>Matt</t>
        </is>
      </c>
      <c r="I450" t="n">
        <v>395</v>
      </c>
    </row>
    <row r="451">
      <c r="A451" s="1">
        <f>Hyperlink("https://www.tilemountain.co.uk/p/hanoi-grey-floor-tile.html","Product")</f>
        <v/>
      </c>
      <c r="B451" s="1" t="inlineStr">
        <is>
          <t>444295</t>
        </is>
      </c>
      <c r="C451" s="1" t="inlineStr">
        <is>
          <t>Hanoi Grey Floor Tiles</t>
        </is>
      </c>
      <c r="D451" s="1" t="n">
        <v>19.99</v>
      </c>
      <c r="E451" s="1" t="inlineStr">
        <is>
          <t>327x327mm</t>
        </is>
      </c>
      <c r="F451" s="1" t="inlineStr">
        <is>
          <t>m2</t>
        </is>
      </c>
      <c r="G451" s="1" t="inlineStr">
        <is>
          <t>Porcelain</t>
        </is>
      </c>
      <c r="H451" s="1" t="inlineStr">
        <is>
          <t>Matt</t>
        </is>
      </c>
      <c r="I451" t="n">
        <v>74</v>
      </c>
    </row>
    <row r="452">
      <c r="A452" s="1">
        <f>Hyperlink("https://www.tilemountain.co.uk/p/hanoi-star-blue-floor-tile.html","Product")</f>
        <v/>
      </c>
      <c r="B452" s="1" t="inlineStr">
        <is>
          <t>444305</t>
        </is>
      </c>
      <c r="C452" s="1" t="inlineStr">
        <is>
          <t>Hanoi Star Blue Floor Tiles</t>
        </is>
      </c>
      <c r="D452" s="1" t="n">
        <v>19.99</v>
      </c>
      <c r="E452" s="1" t="inlineStr">
        <is>
          <t>327x327mm</t>
        </is>
      </c>
      <c r="F452" s="1" t="inlineStr">
        <is>
          <t>m2</t>
        </is>
      </c>
      <c r="G452" s="1" t="inlineStr">
        <is>
          <t>Porcelain</t>
        </is>
      </c>
      <c r="H452" s="1" t="inlineStr">
        <is>
          <t>Matt</t>
        </is>
      </c>
      <c r="I452" t="n">
        <v>531</v>
      </c>
    </row>
    <row r="453">
      <c r="A453" s="1">
        <f>Hyperlink("https://www.tilemountain.co.uk/p/hanoi-white-floor-tile.html","Product")</f>
        <v/>
      </c>
      <c r="B453" s="1" t="inlineStr">
        <is>
          <t>444290</t>
        </is>
      </c>
      <c r="C453" s="1" t="inlineStr">
        <is>
          <t>Hanoi White Floor Tiles</t>
        </is>
      </c>
      <c r="D453" s="1" t="n">
        <v>17.99</v>
      </c>
      <c r="E453" s="1" t="inlineStr">
        <is>
          <t>327x327mm</t>
        </is>
      </c>
      <c r="F453" s="1" t="inlineStr">
        <is>
          <t>m2</t>
        </is>
      </c>
      <c r="G453" s="1" t="inlineStr">
        <is>
          <t>Porcelain</t>
        </is>
      </c>
      <c r="H453" s="1" t="inlineStr">
        <is>
          <t>Matt</t>
        </is>
      </c>
      <c r="I453" t="n">
        <v>69</v>
      </c>
    </row>
    <row r="454">
      <c r="A454" s="1">
        <f>Hyperlink("https://www.tilemountain.co.uk/p/hardblue-dark-grey-decor-porcelain-outdoor-slab.html","Product")</f>
        <v/>
      </c>
      <c r="B454" s="1" t="inlineStr">
        <is>
          <t>451320</t>
        </is>
      </c>
      <c r="C454" s="1" t="inlineStr">
        <is>
          <t>Hardblue Dark Grey Decor Porcelain Outdoor Slab</t>
        </is>
      </c>
      <c r="D454" s="1" t="n">
        <v>39.99</v>
      </c>
      <c r="E454" s="1" t="inlineStr">
        <is>
          <t>600x600mm</t>
        </is>
      </c>
      <c r="F454" s="1" t="inlineStr">
        <is>
          <t>m2</t>
        </is>
      </c>
      <c r="G454" s="1" t="inlineStr">
        <is>
          <t>Porcelain</t>
        </is>
      </c>
      <c r="H454" s="1" t="inlineStr">
        <is>
          <t>Matt</t>
        </is>
      </c>
      <c r="I454" t="n">
        <v>207</v>
      </c>
    </row>
    <row r="455">
      <c r="A455" s="1">
        <f>Hyperlink("https://www.tilemountain.co.uk/p/hardblue-grey-decor-porcelain-outdoor-slab.html","Product")</f>
        <v/>
      </c>
      <c r="B455" s="1" t="inlineStr">
        <is>
          <t>451325</t>
        </is>
      </c>
      <c r="C455" s="1" t="inlineStr">
        <is>
          <t>Hardblue Graphite Decor Porcelain Outdoor Slab</t>
        </is>
      </c>
      <c r="D455" s="1" t="n">
        <v>39.99</v>
      </c>
      <c r="E455" s="1" t="inlineStr">
        <is>
          <t>600x600mm</t>
        </is>
      </c>
      <c r="F455" s="1" t="inlineStr">
        <is>
          <t>m2</t>
        </is>
      </c>
      <c r="G455" s="1" t="inlineStr">
        <is>
          <t>Porcelain</t>
        </is>
      </c>
      <c r="H455" s="1" t="inlineStr">
        <is>
          <t>Matt</t>
        </is>
      </c>
      <c r="I455" t="n">
        <v>912</v>
      </c>
    </row>
    <row r="456">
      <c r="A456" s="1">
        <f>Hyperlink("https://www.tilemountain.co.uk/p/hardblue-grey-porcelain-outdoor-slab.html","Product")</f>
        <v/>
      </c>
      <c r="B456" s="1" t="inlineStr">
        <is>
          <t>451305</t>
        </is>
      </c>
      <c r="C456" s="1" t="inlineStr">
        <is>
          <t>Hardblue Graphite Porcelain Outdoor Slab</t>
        </is>
      </c>
      <c r="D456" s="1" t="n">
        <v>38.99</v>
      </c>
      <c r="E456" s="1" t="inlineStr">
        <is>
          <t>600x600mm</t>
        </is>
      </c>
      <c r="F456" s="1" t="inlineStr">
        <is>
          <t>m2</t>
        </is>
      </c>
      <c r="G456" s="1" t="inlineStr">
        <is>
          <t>Porcelain</t>
        </is>
      </c>
      <c r="H456" s="1" t="inlineStr">
        <is>
          <t>Matt</t>
        </is>
      </c>
      <c r="I456" t="n">
        <v>450</v>
      </c>
    </row>
    <row r="457">
      <c r="A457" s="1">
        <f>Hyperlink("https://www.tilemountain.co.uk/p/hardblue-light-grey-porcelain-outdoor-slab.html","Product")</f>
        <v/>
      </c>
      <c r="B457" s="1" t="inlineStr">
        <is>
          <t>451310</t>
        </is>
      </c>
      <c r="C457" s="1" t="inlineStr">
        <is>
          <t>Hardblue Grey Porcelain Outdoor Slab</t>
        </is>
      </c>
      <c r="D457" s="1" t="n">
        <v>38.99</v>
      </c>
      <c r="E457" s="1" t="inlineStr">
        <is>
          <t>600x600mm</t>
        </is>
      </c>
      <c r="F457" s="1" t="inlineStr">
        <is>
          <t>m2</t>
        </is>
      </c>
      <c r="G457" s="1" t="inlineStr">
        <is>
          <t>Porcelain</t>
        </is>
      </c>
      <c r="H457" s="1" t="inlineStr">
        <is>
          <t>Matt</t>
        </is>
      </c>
      <c r="I457" t="n">
        <v>119</v>
      </c>
    </row>
    <row r="458">
      <c r="A458" s="1">
        <f>Hyperlink("https://www.tilemountain.co.uk/p/hardblue-white-porcelain-outdoor-slab.html","Product")</f>
        <v/>
      </c>
      <c r="B458" s="1" t="inlineStr">
        <is>
          <t>451315</t>
        </is>
      </c>
      <c r="C458" s="1" t="inlineStr">
        <is>
          <t>Hardblue White Porcelain Outdoor Slab</t>
        </is>
      </c>
      <c r="D458" s="1" t="n">
        <v>39.99</v>
      </c>
      <c r="E458" s="1" t="inlineStr">
        <is>
          <t>600x600mm</t>
        </is>
      </c>
      <c r="F458" s="1" t="inlineStr">
        <is>
          <t>m2</t>
        </is>
      </c>
      <c r="G458" s="1" t="inlineStr">
        <is>
          <t>Porcelain</t>
        </is>
      </c>
      <c r="H458" s="1" t="inlineStr">
        <is>
          <t>Matt</t>
        </is>
      </c>
      <c r="I458" t="n">
        <v>1730</v>
      </c>
    </row>
    <row r="459">
      <c r="A459" s="1">
        <f>Hyperlink("https://www.tilemountain.co.uk/p/hardblue-white-porcelain-outdoor-slab_1.html","Product")</f>
        <v/>
      </c>
      <c r="B459" s="1" t="inlineStr">
        <is>
          <t>451330</t>
        </is>
      </c>
      <c r="C459" s="1" t="inlineStr">
        <is>
          <t>Hardblue Grey Decor Porcelain Outdoor Slab</t>
        </is>
      </c>
      <c r="D459" s="1" t="n">
        <v>39.99</v>
      </c>
      <c r="E459" s="1" t="inlineStr">
        <is>
          <t>600x600mm</t>
        </is>
      </c>
      <c r="F459" s="1" t="inlineStr">
        <is>
          <t>m2</t>
        </is>
      </c>
      <c r="G459" s="1" t="inlineStr">
        <is>
          <t>Porcelain</t>
        </is>
      </c>
      <c r="H459" s="1" t="inlineStr">
        <is>
          <t>Matt</t>
        </is>
      </c>
      <c r="I459" t="n">
        <v>569</v>
      </c>
    </row>
    <row r="460">
      <c r="A460" s="1">
        <f>Hyperlink("https://www.tilemountain.co.uk/p/hardowood-beige-wood-effect-anti-slip-porcelain-tiles.html","Product")</f>
        <v/>
      </c>
      <c r="B460" s="1" t="inlineStr">
        <is>
          <t>449805</t>
        </is>
      </c>
      <c r="C460" s="1" t="inlineStr">
        <is>
          <t>Hardwood Beige Wood Effect Anti-Slip Porcelain Floor Tile</t>
        </is>
      </c>
      <c r="D460" s="1" t="n">
        <v>17.99</v>
      </c>
      <c r="E460" s="1" t="inlineStr">
        <is>
          <t>900x150mm</t>
        </is>
      </c>
      <c r="F460" s="1" t="inlineStr">
        <is>
          <t>m2</t>
        </is>
      </c>
      <c r="G460" s="1" t="inlineStr">
        <is>
          <t>Porcelain</t>
        </is>
      </c>
      <c r="H460" s="1" t="inlineStr">
        <is>
          <t>Matt</t>
        </is>
      </c>
      <c r="I460" t="inlineStr">
        <is>
          <t>More Stock due 29/10/21</t>
        </is>
      </c>
    </row>
    <row r="461">
      <c r="A461" s="1">
        <f>Hyperlink("https://www.tilemountain.co.uk/p/hardwood-greyed-wood-effect-anti-slip-porcelain-tiles.html","Product")</f>
        <v/>
      </c>
      <c r="B461" s="1" t="inlineStr">
        <is>
          <t>449800</t>
        </is>
      </c>
      <c r="C461" s="1" t="inlineStr">
        <is>
          <t>Hardwood Greyed Wood Effect Anti-Slip Porcelain Floor Tile</t>
        </is>
      </c>
      <c r="D461" s="1" t="n">
        <v>17.99</v>
      </c>
      <c r="E461" s="1" t="inlineStr">
        <is>
          <t>900x150mm</t>
        </is>
      </c>
      <c r="F461" s="1" t="inlineStr">
        <is>
          <t>m2</t>
        </is>
      </c>
      <c r="G461" s="1" t="inlineStr">
        <is>
          <t>Porcelain</t>
        </is>
      </c>
      <c r="H461" s="1" t="inlineStr">
        <is>
          <t>Matt</t>
        </is>
      </c>
      <c r="I461" t="n">
        <v>334</v>
      </c>
    </row>
    <row r="462">
      <c r="A462" s="1">
        <f>Hyperlink("https://www.tilemountain.co.uk/p/hardwood-nature-wood-effect-anti-slip-porcelain-tiles.html","Product")</f>
        <v/>
      </c>
      <c r="B462" s="1" t="inlineStr">
        <is>
          <t>449810</t>
        </is>
      </c>
      <c r="C462" s="1" t="inlineStr">
        <is>
          <t>Hardwood Nature Wood Effect Anti-Slip Porcelain Floor Tile</t>
        </is>
      </c>
      <c r="D462" s="1" t="n">
        <v>17.99</v>
      </c>
      <c r="E462" s="1" t="inlineStr">
        <is>
          <t>900x150mm</t>
        </is>
      </c>
      <c r="F462" s="1" t="inlineStr">
        <is>
          <t>m2</t>
        </is>
      </c>
      <c r="G462" s="1" t="inlineStr">
        <is>
          <t>Porcelain</t>
        </is>
      </c>
      <c r="H462" s="1" t="inlineStr">
        <is>
          <t>Matt</t>
        </is>
      </c>
      <c r="I462" t="n">
        <v>75</v>
      </c>
    </row>
    <row r="463">
      <c r="A463" s="1">
        <f>Hyperlink("https://www.tilemountain.co.uk/p/hardwood-white-wood-effect-anti-slip-porcelain-tiles.html","Product")</f>
        <v/>
      </c>
      <c r="B463" s="1" t="inlineStr">
        <is>
          <t>449795</t>
        </is>
      </c>
      <c r="C463" s="1" t="inlineStr">
        <is>
          <t>Hardwood White Wood Effect Anti-Slip Porcelain Floor Tile</t>
        </is>
      </c>
      <c r="D463" s="1" t="n">
        <v>17.99</v>
      </c>
      <c r="E463" s="1" t="inlineStr">
        <is>
          <t>900x150mm</t>
        </is>
      </c>
      <c r="F463" s="1" t="inlineStr">
        <is>
          <t>m2</t>
        </is>
      </c>
      <c r="G463" s="1" t="inlineStr">
        <is>
          <t>Porcelain</t>
        </is>
      </c>
      <c r="H463" s="1" t="inlineStr">
        <is>
          <t>Matt</t>
        </is>
      </c>
      <c r="I463" t="n">
        <v>122</v>
      </c>
    </row>
    <row r="464">
      <c r="A464" s="1">
        <f>Hyperlink("https://www.tilemountain.co.uk/p/harrogate-pattern-porcelain-floor-tile.html","Product")</f>
        <v/>
      </c>
      <c r="B464" s="1" t="inlineStr">
        <is>
          <t>445505</t>
        </is>
      </c>
      <c r="C464" s="1" t="inlineStr">
        <is>
          <t>Harrogate Pattern Porcelain Floor Tiles</t>
        </is>
      </c>
      <c r="D464" s="1" t="n">
        <v>17.99</v>
      </c>
      <c r="E464" s="1" t="inlineStr">
        <is>
          <t>333x333mm</t>
        </is>
      </c>
      <c r="F464" s="1" t="inlineStr">
        <is>
          <t>m2</t>
        </is>
      </c>
      <c r="G464" s="1" t="inlineStr">
        <is>
          <t>Porcelain</t>
        </is>
      </c>
      <c r="H464" s="1" t="inlineStr">
        <is>
          <t>Matt</t>
        </is>
      </c>
      <c r="I464" t="inlineStr">
        <is>
          <t>More Stock due 03/12/21</t>
        </is>
      </c>
    </row>
    <row r="465">
      <c r="A465" s="1">
        <f>Hyperlink("https://www.tilemountain.co.uk/p/heavy-duty-nipper.html","Product")</f>
        <v/>
      </c>
      <c r="B465" s="1" t="inlineStr">
        <is>
          <t>450690</t>
        </is>
      </c>
      <c r="C465" s="1" t="inlineStr">
        <is>
          <t>Heavy Duty Nipper</t>
        </is>
      </c>
      <c r="D465" s="1" t="n">
        <v>9.99</v>
      </c>
      <c r="E465" s="1" t="inlineStr">
        <is>
          <t>-</t>
        </is>
      </c>
      <c r="F465" s="1" t="inlineStr">
        <is>
          <t>Qty</t>
        </is>
      </c>
      <c r="G465" s="1" t="inlineStr">
        <is>
          <t>-</t>
        </is>
      </c>
      <c r="H465" s="1" t="inlineStr">
        <is>
          <t>-</t>
        </is>
      </c>
      <c r="I465" t="n">
        <v>11</v>
      </c>
    </row>
    <row r="466">
      <c r="A466" s="1">
        <f>Hyperlink("https://www.tilemountain.co.uk/p/hellas-marble-floor-tile-3489.html","Product")</f>
        <v/>
      </c>
      <c r="B466" s="1" t="inlineStr">
        <is>
          <t>443740</t>
        </is>
      </c>
      <c r="C466" s="1" t="inlineStr">
        <is>
          <t>Hellas Marble Effect Floor Tiles</t>
        </is>
      </c>
      <c r="D466" s="1" t="n">
        <v>19.99</v>
      </c>
      <c r="E466" s="1" t="inlineStr">
        <is>
          <t>600x600mm</t>
        </is>
      </c>
      <c r="F466" s="1" t="inlineStr">
        <is>
          <t>m2</t>
        </is>
      </c>
      <c r="G466" s="1" t="inlineStr">
        <is>
          <t>Porcelain</t>
        </is>
      </c>
      <c r="H466" s="1" t="inlineStr">
        <is>
          <t>Gloss</t>
        </is>
      </c>
      <c r="I466" t="n">
        <v>1350</v>
      </c>
    </row>
    <row r="467">
      <c r="A467" s="1">
        <f>Hyperlink("https://www.tilemountain.co.uk/p/hellas-marble-floor-tile.html","Product")</f>
        <v/>
      </c>
      <c r="B467" s="1" t="inlineStr">
        <is>
          <t>439390</t>
        </is>
      </c>
      <c r="C467" s="1" t="inlineStr">
        <is>
          <t>Hellas Marble Effect Floor Tiles</t>
        </is>
      </c>
      <c r="D467" s="1" t="n">
        <v>20.99</v>
      </c>
      <c r="E467" s="1" t="inlineStr">
        <is>
          <t>800x800mm</t>
        </is>
      </c>
      <c r="F467" s="1" t="inlineStr">
        <is>
          <t>m2</t>
        </is>
      </c>
      <c r="G467" s="1" t="inlineStr">
        <is>
          <t>Porcelain</t>
        </is>
      </c>
      <c r="H467" s="1" t="inlineStr">
        <is>
          <t>Gloss</t>
        </is>
      </c>
      <c r="I467" t="n">
        <v>1147</v>
      </c>
    </row>
    <row r="468">
      <c r="A468" s="1">
        <f>Hyperlink("https://www.tilemountain.co.uk/p/helton-silver.html","Product")</f>
        <v/>
      </c>
      <c r="B468" s="1" t="inlineStr">
        <is>
          <t>444450</t>
        </is>
      </c>
      <c r="C468" s="1" t="inlineStr">
        <is>
          <t>Helton Silver Floor Tile</t>
        </is>
      </c>
      <c r="D468" s="1" t="n">
        <v>34.99</v>
      </c>
      <c r="E468" s="1" t="inlineStr">
        <is>
          <t>1200x1200mm</t>
        </is>
      </c>
      <c r="F468" s="1" t="inlineStr">
        <is>
          <t>m2</t>
        </is>
      </c>
      <c r="G468" s="1" t="inlineStr">
        <is>
          <t>Porcelain</t>
        </is>
      </c>
      <c r="H468" s="1" t="inlineStr">
        <is>
          <t>Matt</t>
        </is>
      </c>
      <c r="I468" t="n">
        <v>604</v>
      </c>
    </row>
    <row r="469">
      <c r="A469" s="1">
        <f>Hyperlink("https://www.tilemountain.co.uk/p/heritage-antracita.html","Product")</f>
        <v/>
      </c>
      <c r="B469" s="1" t="inlineStr">
        <is>
          <t>454815</t>
        </is>
      </c>
      <c r="C469" s="1" t="inlineStr">
        <is>
          <t>Heritage Antracita Outdoor Slab</t>
        </is>
      </c>
      <c r="D469" s="1" t="n">
        <v>39.99</v>
      </c>
      <c r="E469" s="1" t="inlineStr">
        <is>
          <t>600x1200mm</t>
        </is>
      </c>
      <c r="F469" s="1" t="inlineStr">
        <is>
          <t>m2</t>
        </is>
      </c>
      <c r="G469" s="1" t="inlineStr">
        <is>
          <t>Porcelain</t>
        </is>
      </c>
      <c r="H469" s="1" t="inlineStr">
        <is>
          <t>Matt</t>
        </is>
      </c>
      <c r="I469" t="n">
        <v>60</v>
      </c>
    </row>
    <row r="470">
      <c r="A470" s="1">
        <f>Hyperlink("https://www.tilemountain.co.uk/p/heritage-ceniza.html","Product")</f>
        <v/>
      </c>
      <c r="B470" s="1" t="inlineStr">
        <is>
          <t>454810</t>
        </is>
      </c>
      <c r="C470" s="1" t="inlineStr">
        <is>
          <t>Heritage Ceniza Outdoor Slab</t>
        </is>
      </c>
      <c r="D470" s="1" t="n">
        <v>39.99</v>
      </c>
      <c r="E470" s="1" t="inlineStr">
        <is>
          <t>600x1200mm</t>
        </is>
      </c>
      <c r="F470" s="1" t="inlineStr">
        <is>
          <t>m2</t>
        </is>
      </c>
      <c r="G470" s="1" t="inlineStr">
        <is>
          <t>Porcelain</t>
        </is>
      </c>
      <c r="H470" s="1" t="inlineStr">
        <is>
          <t>Matt</t>
        </is>
      </c>
      <c r="I470" t="inlineStr">
        <is>
          <t>More Stock</t>
        </is>
      </c>
    </row>
    <row r="471">
      <c r="A471" s="1">
        <f>Hyperlink("https://www.tilemountain.co.uk/p/hester-ocean-floor-tile.html","Product")</f>
        <v/>
      </c>
      <c r="B471" s="1" t="inlineStr">
        <is>
          <t>446420</t>
        </is>
      </c>
      <c r="C471" s="1" t="inlineStr">
        <is>
          <t>Hester Ocean Floor Tiles</t>
        </is>
      </c>
      <c r="D471" s="1" t="n">
        <v>15.99</v>
      </c>
      <c r="E471" s="1" t="inlineStr">
        <is>
          <t>450x450mm</t>
        </is>
      </c>
      <c r="F471" s="1" t="inlineStr">
        <is>
          <t>m2</t>
        </is>
      </c>
      <c r="G471" s="1" t="inlineStr">
        <is>
          <t>Ceramic</t>
        </is>
      </c>
      <c r="H471" s="1" t="inlineStr">
        <is>
          <t>Matt</t>
        </is>
      </c>
      <c r="I471" t="n">
        <v>195</v>
      </c>
    </row>
    <row r="472">
      <c r="A472" s="1">
        <f>Hyperlink("https://www.tilemountain.co.uk/p/hester-silver-floor-tile_1.html","Product")</f>
        <v/>
      </c>
      <c r="B472" s="1" t="inlineStr">
        <is>
          <t>446425</t>
        </is>
      </c>
      <c r="C472" s="1" t="inlineStr">
        <is>
          <t>Hester Silver Floor Tiles</t>
        </is>
      </c>
      <c r="D472" s="1" t="n">
        <v>15.99</v>
      </c>
      <c r="E472" s="1" t="inlineStr">
        <is>
          <t>450x450mm</t>
        </is>
      </c>
      <c r="F472" s="1" t="inlineStr">
        <is>
          <t>m2</t>
        </is>
      </c>
      <c r="G472" s="1" t="inlineStr">
        <is>
          <t>Ceramic</t>
        </is>
      </c>
      <c r="H472" s="1" t="inlineStr">
        <is>
          <t>Matt</t>
        </is>
      </c>
      <c r="I472" t="n">
        <v>127</v>
      </c>
    </row>
    <row r="473">
      <c r="A473" s="1">
        <f>Hyperlink("https://www.tilemountain.co.uk/p/hexagon-black-17-5x20cm.html","Product")</f>
        <v/>
      </c>
      <c r="B473" s="1" t="inlineStr">
        <is>
          <t>1006085</t>
        </is>
      </c>
      <c r="C473" s="1" t="inlineStr">
        <is>
          <t>Hexagon Black Wall Tile</t>
        </is>
      </c>
      <c r="D473" s="1" t="n">
        <v>24.99</v>
      </c>
      <c r="E473" s="1" t="inlineStr">
        <is>
          <t>200x175mm</t>
        </is>
      </c>
      <c r="F473" s="1" t="inlineStr">
        <is>
          <t>m2</t>
        </is>
      </c>
      <c r="G473" s="1" t="inlineStr">
        <is>
          <t>Porcelain</t>
        </is>
      </c>
      <c r="H473" s="1" t="inlineStr">
        <is>
          <t>Matt</t>
        </is>
      </c>
      <c r="I473" t="n">
        <v>130</v>
      </c>
    </row>
    <row r="474">
      <c r="A474" s="1">
        <f>Hyperlink("https://www.tilemountain.co.uk/p/hexagon-blue-mix-decor-wall-tile.html","Product")</f>
        <v/>
      </c>
      <c r="B474" s="1" t="inlineStr">
        <is>
          <t>446680</t>
        </is>
      </c>
      <c r="C474" s="1" t="inlineStr">
        <is>
          <t>Hexagon Blue Mix Wall And Floor Tiles</t>
        </is>
      </c>
      <c r="D474" s="1" t="n">
        <v>24.99</v>
      </c>
      <c r="E474" s="1" t="inlineStr">
        <is>
          <t>510x265mm</t>
        </is>
      </c>
      <c r="F474" s="1" t="inlineStr">
        <is>
          <t>m2</t>
        </is>
      </c>
      <c r="G474" s="1" t="inlineStr">
        <is>
          <t>Porcelain</t>
        </is>
      </c>
      <c r="H474" s="1" t="inlineStr">
        <is>
          <t>Matt</t>
        </is>
      </c>
      <c r="I474" t="n">
        <v>128</v>
      </c>
    </row>
    <row r="475">
      <c r="A475" s="1">
        <f>Hyperlink("https://www.tilemountain.co.uk/p/hexagon-carrara-marble-effect-wall-floor-tile-17-5x20cm.html","Product")</f>
        <v/>
      </c>
      <c r="B475" s="1" t="inlineStr">
        <is>
          <t>300715</t>
        </is>
      </c>
      <c r="C475" s="1" t="inlineStr">
        <is>
          <t>Hexagon Carrara Marble Effect Wall &amp; Floor Tiles</t>
        </is>
      </c>
      <c r="D475" s="1" t="n">
        <v>37.99</v>
      </c>
      <c r="E475" s="1" t="inlineStr">
        <is>
          <t>200x175mm</t>
        </is>
      </c>
      <c r="F475" s="1" t="inlineStr">
        <is>
          <t>m2</t>
        </is>
      </c>
      <c r="G475" s="1" t="inlineStr">
        <is>
          <t>Porcelain</t>
        </is>
      </c>
      <c r="H475" s="1" t="inlineStr">
        <is>
          <t>Satin</t>
        </is>
      </c>
      <c r="I475" t="n">
        <v>347</v>
      </c>
    </row>
    <row r="476">
      <c r="A476" s="1">
        <f>Hyperlink("https://www.tilemountain.co.uk/p/hexagon-grey-17-5x20cm.html","Product")</f>
        <v/>
      </c>
      <c r="B476" s="1" t="inlineStr">
        <is>
          <t>1006090</t>
        </is>
      </c>
      <c r="C476" s="1" t="inlineStr">
        <is>
          <t>Hexagon Grey Wall and Floor Tile</t>
        </is>
      </c>
      <c r="D476" s="1" t="n">
        <v>24.99</v>
      </c>
      <c r="E476" s="1" t="inlineStr">
        <is>
          <t>200x175mm</t>
        </is>
      </c>
      <c r="F476" s="1" t="inlineStr">
        <is>
          <t>m2</t>
        </is>
      </c>
      <c r="G476" s="1" t="inlineStr">
        <is>
          <t>Porcelain</t>
        </is>
      </c>
      <c r="H476" s="1" t="inlineStr">
        <is>
          <t>Matt</t>
        </is>
      </c>
      <c r="I476" t="n">
        <v>174</v>
      </c>
    </row>
    <row r="477">
      <c r="A477" s="1">
        <f>Hyperlink("https://www.tilemountain.co.uk/p/hexagon-white-17-5x20cm.html","Product")</f>
        <v/>
      </c>
      <c r="B477" s="1" t="inlineStr">
        <is>
          <t>1006095</t>
        </is>
      </c>
      <c r="C477" s="1" t="inlineStr">
        <is>
          <t>Hexagon White Wall and Floor Tile</t>
        </is>
      </c>
      <c r="D477" s="1" t="n">
        <v>24.99</v>
      </c>
      <c r="E477" s="1" t="inlineStr">
        <is>
          <t>200x175mm</t>
        </is>
      </c>
      <c r="F477" s="1" t="inlineStr">
        <is>
          <t>m2</t>
        </is>
      </c>
      <c r="G477" s="1" t="inlineStr">
        <is>
          <t>Porcelain</t>
        </is>
      </c>
      <c r="H477" s="1" t="inlineStr">
        <is>
          <t>Matt</t>
        </is>
      </c>
      <c r="I477" t="n">
        <v>180</v>
      </c>
    </row>
    <row r="478">
      <c r="A478" s="1">
        <f>Hyperlink("https://www.tilemountain.co.uk/p/hexagon-white-black-mosaic.html","Product")</f>
        <v/>
      </c>
      <c r="B478" s="1" t="inlineStr">
        <is>
          <t>438550</t>
        </is>
      </c>
      <c r="C478" s="1" t="inlineStr">
        <is>
          <t>Chequered Hexagon Black White Mosaic</t>
        </is>
      </c>
      <c r="D478" s="1" t="n">
        <v>3.99</v>
      </c>
      <c r="E478" s="1" t="inlineStr">
        <is>
          <t>300x300mm</t>
        </is>
      </c>
      <c r="F478" s="1" t="inlineStr">
        <is>
          <t>sheet</t>
        </is>
      </c>
      <c r="G478" s="1" t="inlineStr">
        <is>
          <t>Ceramic</t>
        </is>
      </c>
      <c r="H478" s="1" t="inlineStr">
        <is>
          <t>Gloss</t>
        </is>
      </c>
      <c r="I478" t="n">
        <v>570</v>
      </c>
    </row>
    <row r="479">
      <c r="A479" s="1">
        <f>Hyperlink("https://www.tilemountain.co.uk/p/hexagon-white-decor-wall-tile.html","Product")</f>
        <v/>
      </c>
      <c r="B479" s="1" t="inlineStr">
        <is>
          <t>446675</t>
        </is>
      </c>
      <c r="C479" s="1" t="inlineStr">
        <is>
          <t>Hexagon Lustre White Wall And Floor Tiles</t>
        </is>
      </c>
      <c r="D479" s="1" t="n">
        <v>24.99</v>
      </c>
      <c r="E479" s="1" t="inlineStr">
        <is>
          <t>510x265mm</t>
        </is>
      </c>
      <c r="F479" s="1" t="inlineStr">
        <is>
          <t>m2</t>
        </is>
      </c>
      <c r="G479" s="1" t="inlineStr">
        <is>
          <t>-</t>
        </is>
      </c>
      <c r="H479" s="1" t="inlineStr">
        <is>
          <t>-</t>
        </is>
      </c>
      <c r="I479" t="n">
        <v>412</v>
      </c>
    </row>
    <row r="480">
      <c r="A480" s="1">
        <f>Hyperlink("https://www.tilemountain.co.uk/p/himalaya-black-sparkle-split-face-effect_1.html","Product")</f>
        <v/>
      </c>
      <c r="B480" s="1" t="inlineStr">
        <is>
          <t>454120</t>
        </is>
      </c>
      <c r="C480" s="1" t="inlineStr">
        <is>
          <t>Himalaya Black Shimmer Split Face Effect</t>
        </is>
      </c>
      <c r="D480" s="1" t="n">
        <v>17.99</v>
      </c>
      <c r="E480" s="1" t="inlineStr">
        <is>
          <t>170x520mm</t>
        </is>
      </c>
      <c r="F480" s="1" t="inlineStr">
        <is>
          <t>m2</t>
        </is>
      </c>
      <c r="G480" s="1" t="inlineStr">
        <is>
          <t>Vitrified Ceramic</t>
        </is>
      </c>
      <c r="H480" s="1" t="inlineStr">
        <is>
          <t>Matt</t>
        </is>
      </c>
      <c r="I480" t="n">
        <v>60</v>
      </c>
    </row>
    <row r="481">
      <c r="A481" s="1">
        <f>Hyperlink("https://www.tilemountain.co.uk/p/himalaya-ivory-split-face-effect_1.html","Product")</f>
        <v/>
      </c>
      <c r="B481" s="1" t="inlineStr">
        <is>
          <t>454105</t>
        </is>
      </c>
      <c r="C481" s="1" t="inlineStr">
        <is>
          <t>Himalaya Ivory Split Face Effect</t>
        </is>
      </c>
      <c r="D481" s="1" t="n">
        <v>17.99</v>
      </c>
      <c r="E481" s="1" t="inlineStr">
        <is>
          <t>170x520mm</t>
        </is>
      </c>
      <c r="F481" s="1" t="inlineStr">
        <is>
          <t>m2</t>
        </is>
      </c>
      <c r="G481" s="1" t="inlineStr">
        <is>
          <t>Vitrified Ceramic</t>
        </is>
      </c>
      <c r="H481" s="1" t="inlineStr">
        <is>
          <t>Matt</t>
        </is>
      </c>
      <c r="I481" t="n">
        <v>87</v>
      </c>
    </row>
    <row r="482">
      <c r="A482" s="1">
        <f>Hyperlink("https://www.tilemountain.co.uk/p/himalaya-madera-gris-wood-split-face-effect_1.html","Product")</f>
        <v/>
      </c>
      <c r="B482" s="1" t="inlineStr">
        <is>
          <t>454110</t>
        </is>
      </c>
      <c r="C482" s="1" t="inlineStr">
        <is>
          <t>Himalaya Gris Wood Split Face Effect</t>
        </is>
      </c>
      <c r="D482" s="1" t="n">
        <v>17.99</v>
      </c>
      <c r="E482" s="1" t="inlineStr">
        <is>
          <t>170x520mm</t>
        </is>
      </c>
      <c r="F482" s="1" t="inlineStr">
        <is>
          <t>m2</t>
        </is>
      </c>
      <c r="G482" s="1" t="inlineStr">
        <is>
          <t>Vitrified Ceramic</t>
        </is>
      </c>
      <c r="H482" s="1" t="inlineStr">
        <is>
          <t>Matt</t>
        </is>
      </c>
      <c r="I482" t="n">
        <v>148</v>
      </c>
    </row>
    <row r="483">
      <c r="A483" s="1">
        <f>Hyperlink("https://www.tilemountain.co.uk/p/himalaya-madera-roble-wood-split-face-effect_1.html","Product")</f>
        <v/>
      </c>
      <c r="B483" s="1" t="inlineStr">
        <is>
          <t>454115</t>
        </is>
      </c>
      <c r="C483" s="1" t="inlineStr">
        <is>
          <t>Himalaya Roble Wood Split Face Effect</t>
        </is>
      </c>
      <c r="D483" s="1" t="n">
        <v>17.99</v>
      </c>
      <c r="E483" s="1" t="inlineStr">
        <is>
          <t>170x520mm</t>
        </is>
      </c>
      <c r="F483" s="1" t="inlineStr">
        <is>
          <t>m2</t>
        </is>
      </c>
      <c r="G483" s="1" t="inlineStr">
        <is>
          <t>Vitrified Ceramic</t>
        </is>
      </c>
      <c r="H483" s="1" t="inlineStr">
        <is>
          <t>Matt</t>
        </is>
      </c>
      <c r="I483" t="n">
        <v>119</v>
      </c>
    </row>
    <row r="484">
      <c r="A484" s="1">
        <f>Hyperlink("https://www.tilemountain.co.uk/p/himalaya-white-sparkle-split-face-effect_1.html","Product")</f>
        <v/>
      </c>
      <c r="B484" s="1" t="inlineStr">
        <is>
          <t>454125</t>
        </is>
      </c>
      <c r="C484" s="1" t="inlineStr">
        <is>
          <t>Himalaya White Shimmer Split Face Effect</t>
        </is>
      </c>
      <c r="D484" s="1" t="n">
        <v>17.99</v>
      </c>
      <c r="E484" s="1" t="inlineStr">
        <is>
          <t>170x520mm</t>
        </is>
      </c>
      <c r="F484" s="1" t="inlineStr">
        <is>
          <t>m2</t>
        </is>
      </c>
      <c r="G484" s="1" t="inlineStr">
        <is>
          <t>Vitrified Ceramic</t>
        </is>
      </c>
      <c r="H484" s="1" t="inlineStr">
        <is>
          <t>Matt</t>
        </is>
      </c>
      <c r="I484" t="n">
        <v>147</v>
      </c>
    </row>
    <row r="485">
      <c r="A485" s="1">
        <f>Hyperlink("https://www.tilemountain.co.uk/p/hong-kong-beige-mix-glass-mosaic-23x23.html","Product")</f>
        <v/>
      </c>
      <c r="B485" s="1" t="inlineStr">
        <is>
          <t>430850</t>
        </is>
      </c>
      <c r="C485" s="1" t="inlineStr">
        <is>
          <t>Hong Kong Beige Mix Glass Mosaic 23x23</t>
        </is>
      </c>
      <c r="D485" s="1" t="n">
        <v>7.99</v>
      </c>
      <c r="E485" s="1" t="inlineStr">
        <is>
          <t>300x300mm</t>
        </is>
      </c>
      <c r="F485" s="1" t="inlineStr">
        <is>
          <t>sheet</t>
        </is>
      </c>
      <c r="G485" s="1" t="inlineStr">
        <is>
          <t>Glass</t>
        </is>
      </c>
      <c r="H485" s="1" t="inlineStr">
        <is>
          <t>Gloss</t>
        </is>
      </c>
      <c r="I485" t="n">
        <v>623</v>
      </c>
    </row>
    <row r="486">
      <c r="A486" s="1">
        <f>Hyperlink("https://www.tilemountain.co.uk/p/hong-kong-blue-mix-glass-mosaic-23x23.html","Product")</f>
        <v/>
      </c>
      <c r="B486" s="1" t="inlineStr">
        <is>
          <t>430845</t>
        </is>
      </c>
      <c r="C486" s="1" t="inlineStr">
        <is>
          <t>Hong Kong Blue Mix Glass Mosaic 23x23</t>
        </is>
      </c>
      <c r="D486" s="1" t="n">
        <v>5.75</v>
      </c>
      <c r="E486" s="1" t="inlineStr">
        <is>
          <t>300x300mm</t>
        </is>
      </c>
      <c r="F486" s="1" t="inlineStr">
        <is>
          <t>sheet</t>
        </is>
      </c>
      <c r="G486" s="1" t="inlineStr">
        <is>
          <t>Glass</t>
        </is>
      </c>
      <c r="H486" s="1" t="inlineStr">
        <is>
          <t>Gloss</t>
        </is>
      </c>
      <c r="I486" t="n">
        <v>502</v>
      </c>
    </row>
    <row r="487">
      <c r="A487" s="1">
        <f>Hyperlink("https://www.tilemountain.co.uk/p/hong-kong-silver-mix-glass-mosaic-23x48.html","Product")</f>
        <v/>
      </c>
      <c r="B487" s="1" t="inlineStr">
        <is>
          <t>430860</t>
        </is>
      </c>
      <c r="C487" s="1" t="inlineStr">
        <is>
          <t>Hong Kong Silver Mix Glass Mosaic 23x48</t>
        </is>
      </c>
      <c r="D487" s="1" t="n">
        <v>7.99</v>
      </c>
      <c r="E487" s="1" t="inlineStr">
        <is>
          <t>300x300mm</t>
        </is>
      </c>
      <c r="F487" s="1" t="inlineStr">
        <is>
          <t>sheet</t>
        </is>
      </c>
      <c r="G487" s="1" t="inlineStr">
        <is>
          <t>Glass</t>
        </is>
      </c>
      <c r="H487" s="1" t="inlineStr">
        <is>
          <t>Gloss</t>
        </is>
      </c>
      <c r="I487" t="n">
        <v>468</v>
      </c>
    </row>
    <row r="488">
      <c r="A488" s="1">
        <f>Hyperlink("https://www.tilemountain.co.uk/p/hong-kong-silver-mix-glass-mosaic-48x48.html","Product")</f>
        <v/>
      </c>
      <c r="B488" s="1" t="inlineStr">
        <is>
          <t>430855</t>
        </is>
      </c>
      <c r="C488" s="1" t="inlineStr">
        <is>
          <t>Hong Kong Silver Mix Glass Mosaic 48x48</t>
        </is>
      </c>
      <c r="D488" s="1" t="n">
        <v>7.99</v>
      </c>
      <c r="E488" s="1" t="inlineStr">
        <is>
          <t>300x300mm</t>
        </is>
      </c>
      <c r="F488" s="1" t="inlineStr">
        <is>
          <t>sheet</t>
        </is>
      </c>
      <c r="G488" s="1" t="inlineStr">
        <is>
          <t>Glass</t>
        </is>
      </c>
      <c r="H488" s="1" t="inlineStr">
        <is>
          <t>Gloss</t>
        </is>
      </c>
      <c r="I488" t="n">
        <v>546</v>
      </c>
    </row>
    <row r="489">
      <c r="A489" s="1">
        <f>Hyperlink("https://www.tilemountain.co.uk/p/houston-modular-porcelain-wall-and-floor-tile.html","Product")</f>
        <v/>
      </c>
      <c r="B489" s="1" t="inlineStr">
        <is>
          <t>440640</t>
        </is>
      </c>
      <c r="C489" s="1" t="inlineStr">
        <is>
          <t>Houston Modular Porcelain Wall And Floor Tiles</t>
        </is>
      </c>
      <c r="D489" s="1" t="n">
        <v>32.99</v>
      </c>
      <c r="E489" s="1" t="inlineStr">
        <is>
          <t>870x1000mm</t>
        </is>
      </c>
      <c r="F489" s="1" t="inlineStr">
        <is>
          <t>piece</t>
        </is>
      </c>
      <c r="G489" s="1" t="inlineStr">
        <is>
          <t>Porcelain</t>
        </is>
      </c>
      <c r="H489" s="1" t="inlineStr">
        <is>
          <t>Matt</t>
        </is>
      </c>
      <c r="I489" t="n">
        <v>290</v>
      </c>
    </row>
    <row r="490">
      <c r="A490" s="1">
        <f>Hyperlink("https://www.tilemountain.co.uk/p/hudson-black.html","Product")</f>
        <v/>
      </c>
      <c r="B490" s="1" t="inlineStr">
        <is>
          <t>439425</t>
        </is>
      </c>
      <c r="C490" s="1" t="inlineStr">
        <is>
          <t>Hudson Black  Wall Tiles</t>
        </is>
      </c>
      <c r="D490" s="1" t="n">
        <v>19.99</v>
      </c>
      <c r="E490" s="1" t="inlineStr">
        <is>
          <t>400x100mm</t>
        </is>
      </c>
      <c r="F490" s="1" t="inlineStr">
        <is>
          <t>m2</t>
        </is>
      </c>
      <c r="G490" s="1" t="inlineStr">
        <is>
          <t>Ceramic</t>
        </is>
      </c>
      <c r="H490" s="1" t="inlineStr">
        <is>
          <t>Matt</t>
        </is>
      </c>
      <c r="I490" t="n">
        <v>288</v>
      </c>
    </row>
    <row r="491">
      <c r="A491" s="1">
        <f>Hyperlink("https://www.tilemountain.co.uk/p/hudson-cream.html","Product")</f>
        <v/>
      </c>
      <c r="B491" s="1" t="inlineStr">
        <is>
          <t>439420</t>
        </is>
      </c>
      <c r="C491" s="1" t="inlineStr">
        <is>
          <t>Hudson Cream Wall Tiles</t>
        </is>
      </c>
      <c r="D491" s="1" t="n">
        <v>19.99</v>
      </c>
      <c r="E491" s="1" t="inlineStr">
        <is>
          <t>400x100mm</t>
        </is>
      </c>
      <c r="F491" s="1" t="inlineStr">
        <is>
          <t>m2</t>
        </is>
      </c>
      <c r="G491" s="1" t="inlineStr">
        <is>
          <t>Ceramic</t>
        </is>
      </c>
      <c r="H491" s="1" t="inlineStr">
        <is>
          <t>Matt</t>
        </is>
      </c>
      <c r="I491" t="n">
        <v>108</v>
      </c>
    </row>
    <row r="492">
      <c r="A492" s="1">
        <f>Hyperlink("https://www.tilemountain.co.uk/p/hudson-grey.html","Product")</f>
        <v/>
      </c>
      <c r="B492" s="1" t="inlineStr">
        <is>
          <t>439430</t>
        </is>
      </c>
      <c r="C492" s="1" t="inlineStr">
        <is>
          <t>Hudson Grey Wall Tiles</t>
        </is>
      </c>
      <c r="D492" s="1" t="n">
        <v>19.99</v>
      </c>
      <c r="E492" s="1" t="inlineStr">
        <is>
          <t>400x100mm</t>
        </is>
      </c>
      <c r="F492" s="1" t="inlineStr">
        <is>
          <t>m2</t>
        </is>
      </c>
      <c r="G492" s="1" t="inlineStr">
        <is>
          <t>Ceramic</t>
        </is>
      </c>
      <c r="H492" s="1" t="inlineStr">
        <is>
          <t>Matt</t>
        </is>
      </c>
      <c r="I492" t="n">
        <v>44</v>
      </c>
    </row>
    <row r="493">
      <c r="A493" s="1">
        <f>Hyperlink("https://www.tilemountain.co.uk/p/icarus-beige-porcelain-outdoor-slab.html","Product")</f>
        <v/>
      </c>
      <c r="B493" s="1" t="inlineStr">
        <is>
          <t>451340</t>
        </is>
      </c>
      <c r="C493" s="1" t="inlineStr">
        <is>
          <t>Icarus Beige Porcelain Outdoor Slab</t>
        </is>
      </c>
      <c r="D493" s="1" t="n">
        <v>25.99</v>
      </c>
      <c r="E493" s="1" t="inlineStr">
        <is>
          <t>595x595mm</t>
        </is>
      </c>
      <c r="F493" s="1" t="inlineStr">
        <is>
          <t>m2</t>
        </is>
      </c>
      <c r="G493" s="1" t="inlineStr">
        <is>
          <t>Porcelain</t>
        </is>
      </c>
      <c r="H493" s="1" t="inlineStr">
        <is>
          <t>Matt</t>
        </is>
      </c>
      <c r="I493" t="n">
        <v>1440</v>
      </c>
    </row>
    <row r="494">
      <c r="A494" s="1">
        <f>Hyperlink("https://www.tilemountain.co.uk/p/icon-almond-natural-300x600.html","Product")</f>
        <v/>
      </c>
      <c r="B494" s="1" t="inlineStr">
        <is>
          <t>449460</t>
        </is>
      </c>
      <c r="C494" s="1" t="inlineStr">
        <is>
          <t>Icon Almond Natural Floor Tile</t>
        </is>
      </c>
      <c r="D494" s="1" t="n">
        <v>34.99</v>
      </c>
      <c r="E494" s="1" t="inlineStr">
        <is>
          <t>600x300mm</t>
        </is>
      </c>
      <c r="F494" s="1" t="inlineStr">
        <is>
          <t>m2</t>
        </is>
      </c>
      <c r="G494" s="1" t="inlineStr">
        <is>
          <t>Porcelain</t>
        </is>
      </c>
      <c r="H494" s="1" t="inlineStr">
        <is>
          <t>Matt</t>
        </is>
      </c>
      <c r="I494" t="n">
        <v>26</v>
      </c>
    </row>
    <row r="495">
      <c r="A495" s="1">
        <f>Hyperlink("https://www.tilemountain.co.uk/p/impact-grey-slate-effect-porcelain-tile-31-6x63-7cm_1.html","Product")</f>
        <v/>
      </c>
      <c r="B495" s="1" t="inlineStr">
        <is>
          <t>1006135</t>
        </is>
      </c>
      <c r="C495" s="1" t="inlineStr">
        <is>
          <t>Impact Grey Slate Effect Porcelain Wall and Floor Tile</t>
        </is>
      </c>
      <c r="D495" s="1" t="n">
        <v>21.99</v>
      </c>
      <c r="E495" s="1" t="inlineStr">
        <is>
          <t>637x316mm</t>
        </is>
      </c>
      <c r="F495" s="1" t="inlineStr">
        <is>
          <t>m2</t>
        </is>
      </c>
      <c r="G495" s="1" t="inlineStr">
        <is>
          <t>Porcelain</t>
        </is>
      </c>
      <c r="H495" s="1" t="inlineStr">
        <is>
          <t>Matt</t>
        </is>
      </c>
      <c r="I495" t="n">
        <v>37</v>
      </c>
    </row>
    <row r="496">
      <c r="A496" s="1">
        <f>Hyperlink("https://www.tilemountain.co.uk/p/imperial-grey-polished.html","Product")</f>
        <v/>
      </c>
      <c r="B496" s="1" t="inlineStr">
        <is>
          <t>445620</t>
        </is>
      </c>
      <c r="C496" s="1" t="inlineStr">
        <is>
          <t>Imperial Grey Polished Porcelain Floor Tile</t>
        </is>
      </c>
      <c r="D496" s="1" t="n">
        <v>18.99</v>
      </c>
      <c r="E496" s="1" t="inlineStr">
        <is>
          <t>600x600mm</t>
        </is>
      </c>
      <c r="F496" s="1" t="inlineStr">
        <is>
          <t>m2</t>
        </is>
      </c>
      <c r="G496" s="1" t="inlineStr">
        <is>
          <t>Porcelain</t>
        </is>
      </c>
      <c r="H496" s="1" t="inlineStr">
        <is>
          <t>Polished</t>
        </is>
      </c>
      <c r="I496" t="n">
        <v>1050</v>
      </c>
    </row>
    <row r="497">
      <c r="A497" s="1">
        <f>Hyperlink("https://www.tilemountain.co.uk/p/inverno-grey-marble-mosaic.html","Product")</f>
        <v/>
      </c>
      <c r="B497" s="1" t="inlineStr">
        <is>
          <t>439300</t>
        </is>
      </c>
      <c r="C497" s="1" t="inlineStr">
        <is>
          <t>Inverno Grey Marble Effect  Mosaic</t>
        </is>
      </c>
      <c r="D497" s="1" t="n">
        <v>6.99</v>
      </c>
      <c r="E497" s="1" t="inlineStr">
        <is>
          <t>305x305mm</t>
        </is>
      </c>
      <c r="F497" s="1" t="inlineStr">
        <is>
          <t>sheet</t>
        </is>
      </c>
      <c r="G497" s="1" t="inlineStr">
        <is>
          <t>Glazed Porcelain</t>
        </is>
      </c>
      <c r="H497" s="1" t="inlineStr">
        <is>
          <t>Matt</t>
        </is>
      </c>
      <c r="I497" t="n">
        <v>249</v>
      </c>
    </row>
    <row r="498">
      <c r="A498" s="1">
        <f>Hyperlink("https://www.tilemountain.co.uk/p/inverno-grey-marble-rectified-floor-tile.html","Product")</f>
        <v/>
      </c>
      <c r="B498" s="1" t="inlineStr">
        <is>
          <t>440160</t>
        </is>
      </c>
      <c r="C498" s="1" t="inlineStr">
        <is>
          <t>Inverno Grey Marble Effect Rectified Floor Tiles</t>
        </is>
      </c>
      <c r="D498" s="1" t="n">
        <v>18.99</v>
      </c>
      <c r="E498" s="1" t="inlineStr">
        <is>
          <t>585x585mm</t>
        </is>
      </c>
      <c r="F498" s="1" t="inlineStr">
        <is>
          <t>m2</t>
        </is>
      </c>
      <c r="G498" s="1" t="inlineStr">
        <is>
          <t>Porcelain</t>
        </is>
      </c>
      <c r="H498" s="1" t="inlineStr">
        <is>
          <t>Matt</t>
        </is>
      </c>
      <c r="I498" t="inlineStr">
        <is>
          <t xml:space="preserve">Out Of Stock </t>
        </is>
      </c>
    </row>
    <row r="499">
      <c r="A499" s="1">
        <f>Hyperlink("https://www.tilemountain.co.uk/p/invictus-white-mix-mosaic.html","Product")</f>
        <v/>
      </c>
      <c r="B499" s="1" t="inlineStr">
        <is>
          <t>450600</t>
        </is>
      </c>
      <c r="C499" s="1" t="inlineStr">
        <is>
          <t>Invictus White Mix Mosaic</t>
        </is>
      </c>
      <c r="D499" s="1" t="n">
        <v>8.19</v>
      </c>
      <c r="E499" s="1" t="inlineStr">
        <is>
          <t>300x300mm</t>
        </is>
      </c>
      <c r="F499" s="1" t="inlineStr">
        <is>
          <t>sheet</t>
        </is>
      </c>
      <c r="G499" s="1" t="inlineStr">
        <is>
          <t>Porcelain</t>
        </is>
      </c>
      <c r="H499" s="1" t="inlineStr">
        <is>
          <t>Polished</t>
        </is>
      </c>
      <c r="I499" t="n">
        <v>432</v>
      </c>
    </row>
    <row r="500">
      <c r="A500" s="1">
        <f>Hyperlink("https://www.tilemountain.co.uk/p/invictus-white-polished-porcelain-floor-tile.html","Product")</f>
        <v/>
      </c>
      <c r="B500" s="1" t="inlineStr">
        <is>
          <t>450140</t>
        </is>
      </c>
      <c r="C500" s="1" t="inlineStr">
        <is>
          <t>Invictus White Polished Porcelain Wall and Floor Tile</t>
        </is>
      </c>
      <c r="D500" s="1" t="n">
        <v>24.99</v>
      </c>
      <c r="E500" s="1" t="inlineStr">
        <is>
          <t>800x800mm</t>
        </is>
      </c>
      <c r="F500" s="1" t="inlineStr">
        <is>
          <t>m2</t>
        </is>
      </c>
      <c r="G500" s="1" t="inlineStr">
        <is>
          <t>Porcelain</t>
        </is>
      </c>
      <c r="H500" s="1" t="inlineStr">
        <is>
          <t>Polished</t>
        </is>
      </c>
      <c r="I500" t="n">
        <v>445</v>
      </c>
    </row>
    <row r="501">
      <c r="A501" s="1">
        <f>Hyperlink("https://www.tilemountain.co.uk/p/invisible-marble-gloss-floor-tile-5794.html","Product")</f>
        <v/>
      </c>
      <c r="B501" s="1" t="inlineStr">
        <is>
          <t>452495</t>
        </is>
      </c>
      <c r="C501" s="1" t="inlineStr">
        <is>
          <t>Invisible Marble Gloss Wall and Floor Tile</t>
        </is>
      </c>
      <c r="D501" s="1" t="n">
        <v>19.99</v>
      </c>
      <c r="E501" s="1" t="inlineStr">
        <is>
          <t>1200x600mm</t>
        </is>
      </c>
      <c r="F501" s="1" t="inlineStr">
        <is>
          <t>m2</t>
        </is>
      </c>
      <c r="G501" s="1" t="inlineStr">
        <is>
          <t>Vitrified Ceramic</t>
        </is>
      </c>
      <c r="H501" s="1" t="inlineStr">
        <is>
          <t>Gloss</t>
        </is>
      </c>
      <c r="I501" t="n">
        <v>181</v>
      </c>
    </row>
    <row r="502">
      <c r="A502" s="1">
        <f>Hyperlink("https://www.tilemountain.co.uk/p/invisible-marble-gloss-floor-tile.html","Product")</f>
        <v/>
      </c>
      <c r="B502" s="1" t="inlineStr">
        <is>
          <t>452490</t>
        </is>
      </c>
      <c r="C502" s="1" t="inlineStr">
        <is>
          <t>Invisible Marble Gloss Floor Tile</t>
        </is>
      </c>
      <c r="D502" s="1" t="n">
        <v>17.99</v>
      </c>
      <c r="E502" s="1" t="inlineStr">
        <is>
          <t>600x600mm</t>
        </is>
      </c>
      <c r="F502" s="1" t="inlineStr">
        <is>
          <t>m2</t>
        </is>
      </c>
      <c r="G502" s="1" t="inlineStr">
        <is>
          <t>Vitrified Ceramic</t>
        </is>
      </c>
      <c r="H502" s="1" t="inlineStr">
        <is>
          <t>Gloss</t>
        </is>
      </c>
      <c r="I502" t="n">
        <v>1292</v>
      </c>
    </row>
    <row r="503">
      <c r="A503" s="1">
        <f>Hyperlink("https://www.tilemountain.co.uk/p/ivory-polished.html","Product")</f>
        <v/>
      </c>
      <c r="B503" s="1" t="inlineStr">
        <is>
          <t>445450</t>
        </is>
      </c>
      <c r="C503" s="1" t="inlineStr">
        <is>
          <t>Imperial Ivory Polished Porcelain Floor Tile</t>
        </is>
      </c>
      <c r="D503" s="1" t="n">
        <v>15.99</v>
      </c>
      <c r="E503" s="1" t="inlineStr">
        <is>
          <t>600x600mm</t>
        </is>
      </c>
      <c r="F503" s="1" t="inlineStr">
        <is>
          <t>m2</t>
        </is>
      </c>
      <c r="G503" s="1" t="inlineStr">
        <is>
          <t>Porcelain</t>
        </is>
      </c>
      <c r="H503" s="1" t="inlineStr">
        <is>
          <t>Polished</t>
        </is>
      </c>
      <c r="I503" t="n">
        <v>2637</v>
      </c>
    </row>
    <row r="504">
      <c r="A504" s="1">
        <f>Hyperlink("https://www.tilemountain.co.uk/p/james-vinyl-daily-cleaner_1.html","Product")</f>
        <v/>
      </c>
      <c r="B504" s="1" t="inlineStr">
        <is>
          <t>453895</t>
        </is>
      </c>
      <c r="C504" s="1" t="inlineStr">
        <is>
          <t>James Vinyl Daily Cleaner</t>
        </is>
      </c>
      <c r="D504" s="1" t="n">
        <v>9.99</v>
      </c>
      <c r="E504" s="1" t="inlineStr">
        <is>
          <t>-</t>
        </is>
      </c>
      <c r="F504" s="1" t="inlineStr">
        <is>
          <t>Qty</t>
        </is>
      </c>
      <c r="G504" s="1" t="inlineStr">
        <is>
          <t>-</t>
        </is>
      </c>
      <c r="H504" s="1" t="inlineStr">
        <is>
          <t>-</t>
        </is>
      </c>
      <c r="I504" t="inlineStr"/>
    </row>
    <row r="505">
      <c r="A505" s="1">
        <f>Hyperlink("https://www.tilemountain.co.uk/p/java-amber-grey-matt-rectified-floor-tile.html","Product")</f>
        <v/>
      </c>
      <c r="B505" s="1" t="inlineStr">
        <is>
          <t>445215</t>
        </is>
      </c>
      <c r="C505" s="1" t="inlineStr">
        <is>
          <t>Java Amber Grey Matt Rectified Floor Tiles</t>
        </is>
      </c>
      <c r="D505" s="1" t="n">
        <v>17.99</v>
      </c>
      <c r="E505" s="1" t="inlineStr">
        <is>
          <t>600x600mm</t>
        </is>
      </c>
      <c r="F505" s="1" t="inlineStr">
        <is>
          <t>m2</t>
        </is>
      </c>
      <c r="G505" s="1" t="inlineStr">
        <is>
          <t>Porcelain</t>
        </is>
      </c>
      <c r="H505" s="1" t="inlineStr">
        <is>
          <t>Matt</t>
        </is>
      </c>
      <c r="I505" t="inlineStr">
        <is>
          <t xml:space="preserve">Out Of Stock </t>
        </is>
      </c>
    </row>
    <row r="506">
      <c r="A506" s="1">
        <f>Hyperlink("https://www.tilemountain.co.uk/p/java-oyster-grey-matt-rectified-floor-tile.html","Product")</f>
        <v/>
      </c>
      <c r="B506" s="1" t="inlineStr">
        <is>
          <t>445210</t>
        </is>
      </c>
      <c r="C506" s="1" t="inlineStr">
        <is>
          <t>Java Oyster Grey Matt Rectified Floor Tiles</t>
        </is>
      </c>
      <c r="D506" s="1" t="n">
        <v>17.99</v>
      </c>
      <c r="E506" s="1" t="inlineStr">
        <is>
          <t>600x600mm</t>
        </is>
      </c>
      <c r="F506" s="1" t="inlineStr">
        <is>
          <t>m2</t>
        </is>
      </c>
      <c r="G506" s="1" t="inlineStr">
        <is>
          <t>Porcelain</t>
        </is>
      </c>
      <c r="H506" s="1" t="inlineStr">
        <is>
          <t>Matt</t>
        </is>
      </c>
      <c r="I506" t="n">
        <v>194</v>
      </c>
    </row>
    <row r="507">
      <c r="A507" s="1">
        <f>Hyperlink("https://www.tilemountain.co.uk/p/kalos-rectified-dark-grey-porcelain-floor-tile_1.html","Product")</f>
        <v/>
      </c>
      <c r="B507" s="1" t="inlineStr">
        <is>
          <t>448735</t>
        </is>
      </c>
      <c r="C507" s="1" t="inlineStr">
        <is>
          <t>Kalos Dark Grey Gloss Rectified Porcelain Floor Tiles</t>
        </is>
      </c>
      <c r="D507" s="1" t="n">
        <v>14.99</v>
      </c>
      <c r="E507" s="1" t="inlineStr">
        <is>
          <t>600x600mm</t>
        </is>
      </c>
      <c r="F507" s="1" t="inlineStr">
        <is>
          <t>m2</t>
        </is>
      </c>
      <c r="G507" s="1" t="inlineStr">
        <is>
          <t>Porcelain</t>
        </is>
      </c>
      <c r="H507" s="1" t="inlineStr">
        <is>
          <t>Gloss</t>
        </is>
      </c>
      <c r="I507" t="n">
        <v>471</v>
      </c>
    </row>
    <row r="508">
      <c r="A508" s="1">
        <f>Hyperlink("https://www.tilemountain.co.uk/p/kalos-rectified-light-grey-porcelain-floor-tiles_1.html","Product")</f>
        <v/>
      </c>
      <c r="B508" s="1" t="inlineStr">
        <is>
          <t>448730</t>
        </is>
      </c>
      <c r="C508" s="1" t="inlineStr">
        <is>
          <t>Kalos Light Grey Gloss Rectified Porcelain Floor Tiles</t>
        </is>
      </c>
      <c r="D508" s="1" t="n">
        <v>14.99</v>
      </c>
      <c r="E508" s="1" t="inlineStr">
        <is>
          <t>600x600mm</t>
        </is>
      </c>
      <c r="F508" s="1" t="inlineStr">
        <is>
          <t>m2</t>
        </is>
      </c>
      <c r="G508" s="1" t="inlineStr">
        <is>
          <t>Porcelain</t>
        </is>
      </c>
      <c r="H508" s="1" t="inlineStr">
        <is>
          <t>Gloss</t>
        </is>
      </c>
      <c r="I508" t="inlineStr">
        <is>
          <t>More Stock</t>
        </is>
      </c>
    </row>
    <row r="509">
      <c r="A509" s="1">
        <f>Hyperlink("https://www.tilemountain.co.uk/p/kanna-ceniza-porcelain-floor-tile.html","Product")</f>
        <v/>
      </c>
      <c r="B509" s="1" t="inlineStr">
        <is>
          <t>445370</t>
        </is>
      </c>
      <c r="C509" s="1" t="inlineStr">
        <is>
          <t>Kanna Ceniza Wood Effect Floor Tiles</t>
        </is>
      </c>
      <c r="D509" s="1" t="n">
        <v>14.99</v>
      </c>
      <c r="E509" s="1" t="inlineStr">
        <is>
          <t>608x608mm</t>
        </is>
      </c>
      <c r="F509" s="1" t="inlineStr">
        <is>
          <t>m2</t>
        </is>
      </c>
      <c r="G509" s="1" t="inlineStr">
        <is>
          <t>Porcelain</t>
        </is>
      </c>
      <c r="H509" s="1" t="inlineStr">
        <is>
          <t>Matt</t>
        </is>
      </c>
      <c r="I509" t="n">
        <v>430</v>
      </c>
    </row>
    <row r="510">
      <c r="A510" s="1">
        <f>Hyperlink("https://www.tilemountain.co.uk/p/kanna-natural-porcelain-floor-tile.html","Product")</f>
        <v/>
      </c>
      <c r="B510" s="1" t="inlineStr">
        <is>
          <t>445380</t>
        </is>
      </c>
      <c r="C510" s="1" t="inlineStr">
        <is>
          <t>Kanna Natural Wood Effect Floor Tiles</t>
        </is>
      </c>
      <c r="D510" s="1" t="n">
        <v>14.99</v>
      </c>
      <c r="E510" s="1" t="inlineStr">
        <is>
          <t>608x608mm</t>
        </is>
      </c>
      <c r="F510" s="1" t="inlineStr">
        <is>
          <t>m2</t>
        </is>
      </c>
      <c r="G510" s="1" t="inlineStr">
        <is>
          <t>Porcelain</t>
        </is>
      </c>
      <c r="H510" s="1" t="inlineStr">
        <is>
          <t>Matt</t>
        </is>
      </c>
      <c r="I510" t="n">
        <v>235</v>
      </c>
    </row>
    <row r="511">
      <c r="A511" s="1">
        <f>Hyperlink("https://www.tilemountain.co.uk/p/kanna-nogal-porcelain-floor-tile.html","Product")</f>
        <v/>
      </c>
      <c r="B511" s="1" t="inlineStr">
        <is>
          <t>445375</t>
        </is>
      </c>
      <c r="C511" s="1" t="inlineStr">
        <is>
          <t>Kanna Nogal Wood Effect Floor Tiles</t>
        </is>
      </c>
      <c r="D511" s="1" t="n">
        <v>14.99</v>
      </c>
      <c r="E511" s="1" t="inlineStr">
        <is>
          <t>608x608mm</t>
        </is>
      </c>
      <c r="F511" s="1" t="inlineStr">
        <is>
          <t>m2</t>
        </is>
      </c>
      <c r="G511" s="1" t="inlineStr">
        <is>
          <t>Porcelain</t>
        </is>
      </c>
      <c r="H511" s="1" t="inlineStr">
        <is>
          <t>Matt</t>
        </is>
      </c>
      <c r="I511" t="n">
        <v>428</v>
      </c>
    </row>
    <row r="512">
      <c r="A512" s="1">
        <f>Hyperlink("https://www.tilemountain.co.uk/p/kashmir-natura.html","Product")</f>
        <v/>
      </c>
      <c r="B512" s="1" t="inlineStr">
        <is>
          <t>446975</t>
        </is>
      </c>
      <c r="C512" s="1" t="inlineStr">
        <is>
          <t>Kashmir Natura Outdoor Slab Tiles</t>
        </is>
      </c>
      <c r="D512" s="1" t="n">
        <v>25.99</v>
      </c>
      <c r="E512" s="1" t="inlineStr">
        <is>
          <t>600x600mm</t>
        </is>
      </c>
      <c r="F512" s="1" t="inlineStr">
        <is>
          <t>m2</t>
        </is>
      </c>
      <c r="G512" s="1" t="inlineStr">
        <is>
          <t>Porcelain</t>
        </is>
      </c>
      <c r="H512" s="1" t="inlineStr">
        <is>
          <t>Matt</t>
        </is>
      </c>
      <c r="I512" t="n">
        <v>1429</v>
      </c>
    </row>
    <row r="513">
      <c r="A513" s="1">
        <f>Hyperlink("https://www.tilemountain.co.uk/p/keracolor-flex-pearl-321-5kg.html","Product")</f>
        <v/>
      </c>
      <c r="B513" s="1" t="inlineStr">
        <is>
          <t>5N32105</t>
        </is>
      </c>
      <c r="C513" s="1" t="inlineStr">
        <is>
          <t>Keracolor Flex Pearl 321 5kg</t>
        </is>
      </c>
      <c r="D513" s="1" t="n">
        <v>10.99</v>
      </c>
      <c r="E513" s="1" t="inlineStr">
        <is>
          <t>-</t>
        </is>
      </c>
      <c r="F513" s="1" t="inlineStr">
        <is>
          <t>Qty</t>
        </is>
      </c>
      <c r="G513" s="1" t="inlineStr">
        <is>
          <t>-</t>
        </is>
      </c>
      <c r="H513" s="1" t="inlineStr">
        <is>
          <t>-</t>
        </is>
      </c>
      <c r="I513" t="n">
        <v>13</v>
      </c>
    </row>
    <row r="514">
      <c r="A514" s="1">
        <f>Hyperlink("https://www.tilemountain.co.uk/p/keracolor-flex-pebble-317-5kg.html","Product")</f>
        <v/>
      </c>
      <c r="B514" s="1" t="inlineStr">
        <is>
          <t>5N31705</t>
        </is>
      </c>
      <c r="C514" s="1" t="inlineStr">
        <is>
          <t>Keracolor Flex Pebble 317 5kg</t>
        </is>
      </c>
      <c r="D514" s="1" t="n">
        <v>10.99</v>
      </c>
      <c r="E514" s="1" t="inlineStr">
        <is>
          <t>-</t>
        </is>
      </c>
      <c r="F514" s="1" t="inlineStr">
        <is>
          <t>Qty</t>
        </is>
      </c>
      <c r="G514" s="1" t="inlineStr">
        <is>
          <t>-</t>
        </is>
      </c>
      <c r="H514" s="1" t="inlineStr">
        <is>
          <t>-</t>
        </is>
      </c>
      <c r="I514" t="inlineStr">
        <is>
          <t>In Stock</t>
        </is>
      </c>
    </row>
    <row r="515">
      <c r="A515" s="1">
        <f>Hyperlink("https://www.tilemountain.co.uk/p/keracolor-sf-100-white-grout-5kg-2318.html","Product")</f>
        <v/>
      </c>
      <c r="B515" s="1" t="inlineStr">
        <is>
          <t>4B10005</t>
        </is>
      </c>
      <c r="C515" s="1" t="inlineStr">
        <is>
          <t>Keracolor SF 100 White Grout 5KG</t>
        </is>
      </c>
      <c r="D515" s="1" t="n">
        <v>9.99</v>
      </c>
      <c r="E515" s="1" t="inlineStr">
        <is>
          <t>-</t>
        </is>
      </c>
      <c r="F515" s="1" t="inlineStr">
        <is>
          <t>Qty</t>
        </is>
      </c>
      <c r="G515" s="1" t="inlineStr">
        <is>
          <t>-</t>
        </is>
      </c>
      <c r="H515" s="1" t="inlineStr">
        <is>
          <t>-</t>
        </is>
      </c>
      <c r="I515" t="n">
        <v>14</v>
      </c>
    </row>
    <row r="516">
      <c r="A516" s="1">
        <f>Hyperlink("https://www.tilemountain.co.uk/p/keracolor-sf-113-cement-grey-grout-5kg.html","Product")</f>
        <v/>
      </c>
      <c r="B516" s="1" t="inlineStr">
        <is>
          <t>4B11305</t>
        </is>
      </c>
      <c r="C516" s="1" t="inlineStr">
        <is>
          <t>Keracolor SF 113 Cement Grey Grout 5kg</t>
        </is>
      </c>
      <c r="D516" s="1" t="n">
        <v>10.99</v>
      </c>
      <c r="E516" s="1" t="inlineStr">
        <is>
          <t>-</t>
        </is>
      </c>
      <c r="F516" s="1" t="inlineStr">
        <is>
          <t>Qty</t>
        </is>
      </c>
      <c r="G516" s="1" t="inlineStr">
        <is>
          <t>-</t>
        </is>
      </c>
      <c r="H516" s="1" t="inlineStr">
        <is>
          <t>-</t>
        </is>
      </c>
      <c r="I516" t="n">
        <v>21</v>
      </c>
    </row>
    <row r="517">
      <c r="A517" s="1">
        <f>Hyperlink("https://www.tilemountain.co.uk/p/keracolor-sf-114-anthracite-grout-5kg.html","Product")</f>
        <v/>
      </c>
      <c r="B517" s="1" t="inlineStr">
        <is>
          <t>4B11405</t>
        </is>
      </c>
      <c r="C517" s="1" t="inlineStr">
        <is>
          <t>Keracolor SF 114 Anthracite Grout 5KG</t>
        </is>
      </c>
      <c r="D517" s="1" t="n">
        <v>10.99</v>
      </c>
      <c r="E517" s="1" t="inlineStr">
        <is>
          <t>-</t>
        </is>
      </c>
      <c r="F517" s="1" t="inlineStr">
        <is>
          <t>Qty</t>
        </is>
      </c>
      <c r="G517" s="1" t="inlineStr">
        <is>
          <t>-</t>
        </is>
      </c>
      <c r="H517" s="1" t="inlineStr">
        <is>
          <t>-</t>
        </is>
      </c>
      <c r="I517" t="inlineStr">
        <is>
          <t>In Stock</t>
        </is>
      </c>
    </row>
    <row r="518">
      <c r="A518" s="1">
        <f>Hyperlink("https://www.tilemountain.co.uk/p/keracolor-sf-130-jasmine-grout-5kg.html","Product")</f>
        <v/>
      </c>
      <c r="B518" s="1" t="inlineStr">
        <is>
          <t>4B13005</t>
        </is>
      </c>
      <c r="C518" s="1" t="inlineStr">
        <is>
          <t>Keracolor SF 130 Jasmine Grout 5KG</t>
        </is>
      </c>
      <c r="D518" s="1" t="n">
        <v>10.99</v>
      </c>
      <c r="E518" s="1" t="inlineStr">
        <is>
          <t>-</t>
        </is>
      </c>
      <c r="F518" s="1" t="inlineStr">
        <is>
          <t>Qty</t>
        </is>
      </c>
      <c r="G518" s="1" t="inlineStr">
        <is>
          <t>-</t>
        </is>
      </c>
      <c r="H518" s="1" t="inlineStr">
        <is>
          <t>-</t>
        </is>
      </c>
      <c r="I518" t="inlineStr">
        <is>
          <t>In Stock</t>
        </is>
      </c>
    </row>
    <row r="519">
      <c r="A519" s="1">
        <f>Hyperlink("https://www.tilemountain.co.uk/p/keracolor-sf-132-beige-grout-5kg.html","Product")</f>
        <v/>
      </c>
      <c r="B519" s="1" t="inlineStr">
        <is>
          <t>4B13205</t>
        </is>
      </c>
      <c r="C519" s="1" t="inlineStr">
        <is>
          <t>Keracolor SF 132 Beige Grout 5kg</t>
        </is>
      </c>
      <c r="D519" s="1" t="n">
        <v>10.99</v>
      </c>
      <c r="E519" s="1" t="inlineStr">
        <is>
          <t>-</t>
        </is>
      </c>
      <c r="F519" s="1" t="inlineStr">
        <is>
          <t>Qty</t>
        </is>
      </c>
      <c r="G519" s="1" t="inlineStr">
        <is>
          <t>-</t>
        </is>
      </c>
      <c r="H519" s="1" t="inlineStr">
        <is>
          <t>-</t>
        </is>
      </c>
      <c r="I519" t="inlineStr">
        <is>
          <t>In Stock</t>
        </is>
      </c>
    </row>
    <row r="520">
      <c r="A520" s="1">
        <f>Hyperlink("https://www.tilemountain.co.uk/p/keraflex-maxi-s1-grey-slow-setting-adhesive-20kg-pallet-deal-48-bags.html","Product")</f>
        <v/>
      </c>
      <c r="B520" s="1" t="inlineStr">
        <is>
          <t>1202620-pd</t>
        </is>
      </c>
      <c r="C520" s="1" t="inlineStr">
        <is>
          <t>Keraflex Maxi S1 Grey Slow Setting Adhesive 20kg Pallet Deal- 48 Bags</t>
        </is>
      </c>
      <c r="D520" s="1" t="n">
        <v>849.99</v>
      </c>
      <c r="E520" s="1" t="inlineStr">
        <is>
          <t>PALLET</t>
        </is>
      </c>
      <c r="F520" s="1" t="inlineStr">
        <is>
          <t>Qty</t>
        </is>
      </c>
      <c r="G520" s="1" t="inlineStr">
        <is>
          <t>-</t>
        </is>
      </c>
      <c r="H520" s="1" t="inlineStr">
        <is>
          <t>-</t>
        </is>
      </c>
      <c r="I520" t="inlineStr">
        <is>
          <t>In Stock</t>
        </is>
      </c>
    </row>
    <row r="521">
      <c r="A521" s="1">
        <f>Hyperlink("https://www.tilemountain.co.uk/p/keraflex-maxi-s1-grey-slow-setting-adhesive-20kg.html","Product")</f>
        <v/>
      </c>
      <c r="B521" s="1" t="inlineStr">
        <is>
          <t>1202620</t>
        </is>
      </c>
      <c r="C521" s="1" t="inlineStr">
        <is>
          <t>Keraflex Maxi S1 Grey Slow Setting Adhesive 20kg</t>
        </is>
      </c>
      <c r="D521" s="1" t="n">
        <v>21.49</v>
      </c>
      <c r="E521" s="1" t="inlineStr">
        <is>
          <t>-</t>
        </is>
      </c>
      <c r="F521" s="1" t="inlineStr">
        <is>
          <t>Qty</t>
        </is>
      </c>
      <c r="G521" s="1" t="inlineStr">
        <is>
          <t>-</t>
        </is>
      </c>
      <c r="H521" s="1" t="inlineStr">
        <is>
          <t>-</t>
        </is>
      </c>
      <c r="I521" t="inlineStr">
        <is>
          <t>In Stock</t>
        </is>
      </c>
    </row>
    <row r="522">
      <c r="A522" s="1">
        <f>Hyperlink("https://www.tilemountain.co.uk/p/keraflex-maxi-s1-white-slow-setting-adhesive-20kg-pallet-deal-48-bags.html","Product")</f>
        <v/>
      </c>
      <c r="B522" s="1" t="inlineStr">
        <is>
          <t>1202120-pd</t>
        </is>
      </c>
      <c r="C522" s="1" t="inlineStr">
        <is>
          <t>Keraflex Maxi S1 White Slow Setting Adhesive 20kg Pallet Deal- 48 Bags</t>
        </is>
      </c>
      <c r="D522" s="1" t="n">
        <v>799.99</v>
      </c>
      <c r="E522" s="1" t="inlineStr">
        <is>
          <t>PALLET</t>
        </is>
      </c>
      <c r="F522" s="1" t="inlineStr">
        <is>
          <t>Qty</t>
        </is>
      </c>
      <c r="G522" s="1" t="inlineStr">
        <is>
          <t>-</t>
        </is>
      </c>
      <c r="H522" s="1" t="inlineStr">
        <is>
          <t>-</t>
        </is>
      </c>
      <c r="I522" t="inlineStr">
        <is>
          <t>In Stock</t>
        </is>
      </c>
    </row>
    <row r="523">
      <c r="A523" s="1">
        <f>Hyperlink("https://www.tilemountain.co.uk/p/keraflex-maxi-s1-white-slow-setting-adhesive-20kg.html","Product")</f>
        <v/>
      </c>
      <c r="B523" s="1" t="inlineStr">
        <is>
          <t>1202120</t>
        </is>
      </c>
      <c r="C523" s="1" t="inlineStr">
        <is>
          <t>Keraflex Maxi S1 White Slow Setting Adhesive 20kg</t>
        </is>
      </c>
      <c r="D523" s="1" t="n">
        <v>24.49</v>
      </c>
      <c r="E523" s="1" t="inlineStr">
        <is>
          <t>-</t>
        </is>
      </c>
      <c r="F523" s="1" t="inlineStr">
        <is>
          <t>Qty</t>
        </is>
      </c>
      <c r="G523" s="1" t="inlineStr">
        <is>
          <t>-</t>
        </is>
      </c>
      <c r="H523" s="1" t="inlineStr">
        <is>
          <t>-</t>
        </is>
      </c>
      <c r="I523" t="n">
        <v>12</v>
      </c>
    </row>
    <row r="524">
      <c r="A524" s="1">
        <f>Hyperlink("https://www.tilemountain.co.uk/p/kerapoxy-design-anthracite-114-grout-3kg.html","Product")</f>
        <v/>
      </c>
      <c r="B524" s="1" t="inlineStr">
        <is>
          <t>5K11403</t>
        </is>
      </c>
      <c r="C524" s="1" t="inlineStr">
        <is>
          <t>Kerapoxy Design Anthracite 114 Grout 3kg</t>
        </is>
      </c>
      <c r="D524" s="1" t="n">
        <v>34.99</v>
      </c>
      <c r="E524" s="1" t="inlineStr">
        <is>
          <t>-</t>
        </is>
      </c>
      <c r="F524" s="1" t="inlineStr">
        <is>
          <t>Qty</t>
        </is>
      </c>
      <c r="G524" s="1" t="inlineStr">
        <is>
          <t>-</t>
        </is>
      </c>
      <c r="H524" s="1" t="inlineStr">
        <is>
          <t>-</t>
        </is>
      </c>
      <c r="I524" t="inlineStr">
        <is>
          <t>In Stock</t>
        </is>
      </c>
    </row>
    <row r="525">
      <c r="A525" s="1">
        <f>Hyperlink("https://www.tilemountain.co.uk/p/kerapoxy-design-ice-white-710-grout-3kg.html","Product")</f>
        <v/>
      </c>
      <c r="B525" s="1" t="inlineStr">
        <is>
          <t>5K71003</t>
        </is>
      </c>
      <c r="C525" s="1" t="inlineStr">
        <is>
          <t>Kerapoxy Design Ice White 710 Grout 3kg</t>
        </is>
      </c>
      <c r="D525" s="1" t="n">
        <v>35.99</v>
      </c>
      <c r="E525" s="1" t="inlineStr">
        <is>
          <t>-</t>
        </is>
      </c>
      <c r="F525" s="1" t="inlineStr">
        <is>
          <t>Qty</t>
        </is>
      </c>
      <c r="G525" s="1" t="inlineStr">
        <is>
          <t>-</t>
        </is>
      </c>
      <c r="H525" s="1" t="inlineStr">
        <is>
          <t>-</t>
        </is>
      </c>
      <c r="I525" t="inlineStr">
        <is>
          <t>More Stock due 24/11/21</t>
        </is>
      </c>
    </row>
    <row r="526">
      <c r="A526" s="1">
        <f>Hyperlink("https://www.tilemountain.co.uk/p/kerapoxy-design-pearl-grey-720-grout-3kg.html","Product")</f>
        <v/>
      </c>
      <c r="B526" s="1" t="inlineStr">
        <is>
          <t>5K72003</t>
        </is>
      </c>
      <c r="C526" s="1" t="inlineStr">
        <is>
          <t>Kerapoxy Design Pearl Grey 720 Grout 3kg</t>
        </is>
      </c>
      <c r="D526" s="1" t="n">
        <v>35.99</v>
      </c>
      <c r="E526" s="1" t="inlineStr">
        <is>
          <t>-</t>
        </is>
      </c>
      <c r="F526" s="1" t="inlineStr">
        <is>
          <t>Qty</t>
        </is>
      </c>
      <c r="G526" s="1" t="inlineStr">
        <is>
          <t>-</t>
        </is>
      </c>
      <c r="H526" s="1" t="inlineStr">
        <is>
          <t>-</t>
        </is>
      </c>
      <c r="I526" t="inlineStr">
        <is>
          <t>In Stock</t>
        </is>
      </c>
    </row>
    <row r="527">
      <c r="A527" s="1">
        <f>Hyperlink("https://www.tilemountain.co.uk/p/kerapoxy-design-translucent-700-grout-3kg.html","Product")</f>
        <v/>
      </c>
      <c r="B527" s="1" t="inlineStr">
        <is>
          <t>5K70003</t>
        </is>
      </c>
      <c r="C527" s="1" t="inlineStr">
        <is>
          <t>Kerapoxy Design Translucent 700 Grout 3kg</t>
        </is>
      </c>
      <c r="D527" s="1" t="n">
        <v>35.99</v>
      </c>
      <c r="E527" s="1" t="inlineStr">
        <is>
          <t>-</t>
        </is>
      </c>
      <c r="F527" s="1" t="inlineStr">
        <is>
          <t>Qty</t>
        </is>
      </c>
      <c r="G527" s="1" t="inlineStr">
        <is>
          <t>-</t>
        </is>
      </c>
      <c r="H527" s="1" t="inlineStr">
        <is>
          <t>-</t>
        </is>
      </c>
      <c r="I527" t="n">
        <v>13</v>
      </c>
    </row>
    <row r="528">
      <c r="A528" s="1">
        <f>Hyperlink("https://www.tilemountain.co.uk/p/kerapoxy-jasmine-130-grout-5kg.html","Product")</f>
        <v/>
      </c>
      <c r="B528" s="1" t="inlineStr">
        <is>
          <t>KJG5KG</t>
        </is>
      </c>
      <c r="C528" s="1" t="inlineStr">
        <is>
          <t>Kerapoxy Jasmine 130 Grout 5kg</t>
        </is>
      </c>
      <c r="D528" s="1" t="n">
        <v>34.99</v>
      </c>
      <c r="E528" s="1" t="inlineStr">
        <is>
          <t>-</t>
        </is>
      </c>
      <c r="F528" s="1" t="inlineStr">
        <is>
          <t>Qty</t>
        </is>
      </c>
      <c r="G528" s="1" t="inlineStr">
        <is>
          <t>-</t>
        </is>
      </c>
      <c r="H528" s="1" t="inlineStr">
        <is>
          <t>-</t>
        </is>
      </c>
      <c r="I528" t="inlineStr">
        <is>
          <t>In Stock</t>
        </is>
      </c>
    </row>
    <row r="529">
      <c r="A529" s="1">
        <f>Hyperlink("https://www.tilemountain.co.uk/p/kerapoxy-white-100-grout-5kg.html","Product")</f>
        <v/>
      </c>
      <c r="B529" s="1" t="inlineStr">
        <is>
          <t>4510005</t>
        </is>
      </c>
      <c r="C529" s="1" t="inlineStr">
        <is>
          <t>Kerapoxy White 100 Grout 5kg</t>
        </is>
      </c>
      <c r="D529" s="1" t="n">
        <v>34.99</v>
      </c>
      <c r="E529" s="1" t="inlineStr">
        <is>
          <t>-</t>
        </is>
      </c>
      <c r="F529" s="1" t="inlineStr">
        <is>
          <t>Qty</t>
        </is>
      </c>
      <c r="G529" s="1" t="inlineStr">
        <is>
          <t>-</t>
        </is>
      </c>
      <c r="H529" s="1" t="inlineStr">
        <is>
          <t>-</t>
        </is>
      </c>
      <c r="I529" t="n">
        <v>12</v>
      </c>
    </row>
    <row r="530">
      <c r="A530" s="1">
        <f>Hyperlink("https://www.tilemountain.co.uk/p/keraquick-grey-fast-setting-adhesive-20kg-pallet-deal-48-bags.html","Product")</f>
        <v/>
      </c>
      <c r="B530" s="1" t="inlineStr">
        <is>
          <t>012120UK-pd</t>
        </is>
      </c>
      <c r="C530" s="1" t="inlineStr">
        <is>
          <t>Keraquick Grey Fast Setting Adhesive 20kg Pallet Deal- 48 Bags</t>
        </is>
      </c>
      <c r="D530" s="1" t="n">
        <v>767.52</v>
      </c>
      <c r="E530" s="1" t="inlineStr">
        <is>
          <t>PALLET</t>
        </is>
      </c>
      <c r="F530" s="1" t="inlineStr">
        <is>
          <t>Qty</t>
        </is>
      </c>
      <c r="G530" s="1" t="inlineStr">
        <is>
          <t>-</t>
        </is>
      </c>
      <c r="H530" s="1" t="inlineStr">
        <is>
          <t>-</t>
        </is>
      </c>
      <c r="I530" t="inlineStr">
        <is>
          <t>In Stock</t>
        </is>
      </c>
    </row>
    <row r="531">
      <c r="A531" s="1">
        <f>Hyperlink("https://www.tilemountain.co.uk/p/keraquick-grey-fast-setting-adhesive-20kg.html","Product")</f>
        <v/>
      </c>
      <c r="B531" s="1" t="inlineStr">
        <is>
          <t>012120UK</t>
        </is>
      </c>
      <c r="C531" s="1" t="inlineStr">
        <is>
          <t>Keraquick Grey Fast Setting Adhesive 20kg</t>
        </is>
      </c>
      <c r="D531" s="1" t="n">
        <v>21.49</v>
      </c>
      <c r="E531" s="1" t="inlineStr">
        <is>
          <t>-</t>
        </is>
      </c>
      <c r="F531" s="1" t="inlineStr">
        <is>
          <t>Qty</t>
        </is>
      </c>
      <c r="G531" s="1" t="inlineStr">
        <is>
          <t>-</t>
        </is>
      </c>
      <c r="H531" s="1" t="inlineStr">
        <is>
          <t>-</t>
        </is>
      </c>
      <c r="I531" t="inlineStr">
        <is>
          <t>In Stock</t>
        </is>
      </c>
    </row>
    <row r="532">
      <c r="A532" s="1">
        <f>Hyperlink("https://www.tilemountain.co.uk/p/keraquick-white-fast-setting-adhesive-20kg-pallet-deal-48-bags.html","Product")</f>
        <v/>
      </c>
      <c r="B532" s="1" t="inlineStr">
        <is>
          <t>012520-pd</t>
        </is>
      </c>
      <c r="C532" s="1" t="inlineStr">
        <is>
          <t>Keraquick White Fast Setting Adhesive 20kg Pallet Deal-48 Bags</t>
        </is>
      </c>
      <c r="D532" s="1" t="n">
        <v>919.6799999999999</v>
      </c>
      <c r="E532" s="1" t="inlineStr">
        <is>
          <t>PALLET</t>
        </is>
      </c>
      <c r="F532" s="1" t="inlineStr">
        <is>
          <t>Qty</t>
        </is>
      </c>
      <c r="G532" s="1" t="inlineStr">
        <is>
          <t>-</t>
        </is>
      </c>
      <c r="H532" s="1" t="inlineStr">
        <is>
          <t>-</t>
        </is>
      </c>
      <c r="I532" t="inlineStr">
        <is>
          <t>In Stock</t>
        </is>
      </c>
    </row>
    <row r="533">
      <c r="A533" s="1">
        <f>Hyperlink("https://www.tilemountain.co.uk/p/keraquick-white-fast-setting-adhesive-20kg.html","Product")</f>
        <v/>
      </c>
      <c r="B533" s="1" t="inlineStr">
        <is>
          <t>012520</t>
        </is>
      </c>
      <c r="C533" s="1" t="inlineStr">
        <is>
          <t>Keraquick White Fast Setting Adhesive 20kg</t>
        </is>
      </c>
      <c r="D533" s="1" t="n">
        <v>25.99</v>
      </c>
      <c r="E533" s="1" t="inlineStr">
        <is>
          <t>-</t>
        </is>
      </c>
      <c r="F533" s="1" t="inlineStr">
        <is>
          <t>Qty</t>
        </is>
      </c>
      <c r="G533" s="1" t="inlineStr">
        <is>
          <t>-</t>
        </is>
      </c>
      <c r="H533" s="1" t="inlineStr">
        <is>
          <t>-</t>
        </is>
      </c>
      <c r="I533" t="inlineStr">
        <is>
          <t>In Stock</t>
        </is>
      </c>
    </row>
    <row r="534">
      <c r="A534" s="1">
        <f>Hyperlink("https://www.tilemountain.co.uk/p/key-bond_1.html","Product")</f>
        <v/>
      </c>
      <c r="B534" s="1" t="inlineStr">
        <is>
          <t>450400</t>
        </is>
      </c>
      <c r="C534" s="1" t="inlineStr">
        <is>
          <t>Key Bond For Porous &amp; Non-Porous Substrates</t>
        </is>
      </c>
      <c r="D534" s="1" t="n">
        <v>27.99</v>
      </c>
      <c r="E534" s="1" t="inlineStr">
        <is>
          <t>-</t>
        </is>
      </c>
      <c r="F534" s="1" t="inlineStr">
        <is>
          <t>Qty</t>
        </is>
      </c>
      <c r="G534" s="1" t="inlineStr">
        <is>
          <t>-</t>
        </is>
      </c>
      <c r="H534" s="1" t="inlineStr">
        <is>
          <t>-</t>
        </is>
      </c>
      <c r="I534" t="n">
        <v>22</v>
      </c>
    </row>
    <row r="535">
      <c r="A535" s="1">
        <f>Hyperlink("https://www.tilemountain.co.uk/p/keystone-brown-matte-slate-effect-tile.html","Product")</f>
        <v/>
      </c>
      <c r="B535" s="1" t="inlineStr">
        <is>
          <t>448415</t>
        </is>
      </c>
      <c r="C535" s="1" t="inlineStr">
        <is>
          <t>Keystone Brown Matte Slate Effect Wall and Floor Tile</t>
        </is>
      </c>
      <c r="D535" s="1" t="n">
        <v>14.99</v>
      </c>
      <c r="E535" s="1" t="inlineStr">
        <is>
          <t>600x400mm</t>
        </is>
      </c>
      <c r="F535" s="1" t="inlineStr">
        <is>
          <t>m2</t>
        </is>
      </c>
      <c r="G535" s="1" t="inlineStr">
        <is>
          <t>Porcelain</t>
        </is>
      </c>
      <c r="H535" s="1" t="inlineStr">
        <is>
          <t>Matt</t>
        </is>
      </c>
      <c r="I535" t="n">
        <v>128</v>
      </c>
    </row>
    <row r="536">
      <c r="A536" s="1">
        <f>Hyperlink("https://www.tilemountain.co.uk/p/keystone-grey-matte-slate-effect-tile_1.html","Product")</f>
        <v/>
      </c>
      <c r="B536" s="1" t="inlineStr">
        <is>
          <t>448420</t>
        </is>
      </c>
      <c r="C536" s="1" t="inlineStr">
        <is>
          <t>Keystone Grey Matte Slate Effect Wall and Floor Tile</t>
        </is>
      </c>
      <c r="D536" s="1" t="n">
        <v>14.99</v>
      </c>
      <c r="E536" s="1" t="inlineStr">
        <is>
          <t>600x400mm</t>
        </is>
      </c>
      <c r="F536" s="1" t="inlineStr">
        <is>
          <t>m2</t>
        </is>
      </c>
      <c r="G536" s="1" t="inlineStr">
        <is>
          <t>Porcelain</t>
        </is>
      </c>
      <c r="H536" s="1" t="inlineStr">
        <is>
          <t>Matt</t>
        </is>
      </c>
      <c r="I536" t="n">
        <v>80</v>
      </c>
    </row>
    <row r="537">
      <c r="A537" s="1">
        <f>Hyperlink("https://www.tilemountain.co.uk/p/kite-gloss-grey-floor-tile.html","Product")</f>
        <v/>
      </c>
      <c r="B537" s="1" t="inlineStr">
        <is>
          <t>448665</t>
        </is>
      </c>
      <c r="C537" s="1" t="inlineStr">
        <is>
          <t>Kite Gloss Grey Floor Tile</t>
        </is>
      </c>
      <c r="D537" s="1" t="n">
        <v>11.99</v>
      </c>
      <c r="E537" s="1" t="inlineStr">
        <is>
          <t>450x450mm</t>
        </is>
      </c>
      <c r="F537" s="1" t="inlineStr">
        <is>
          <t>m2</t>
        </is>
      </c>
      <c r="G537" s="1" t="inlineStr">
        <is>
          <t>Ceramic</t>
        </is>
      </c>
      <c r="H537" s="1" t="inlineStr">
        <is>
          <t>Gloss</t>
        </is>
      </c>
      <c r="I537" t="n">
        <v>157</v>
      </c>
    </row>
    <row r="538">
      <c r="A538" s="1">
        <f>Hyperlink("https://www.tilemountain.co.uk/p/kite-gloss-grey-split-face-effect-wall-tile.html","Product")</f>
        <v/>
      </c>
      <c r="B538" s="1" t="inlineStr">
        <is>
          <t>448660</t>
        </is>
      </c>
      <c r="C538" s="1" t="inlineStr">
        <is>
          <t>Kite Gloss Grey Split Face Effect Wall Tile</t>
        </is>
      </c>
      <c r="D538" s="1" t="n">
        <v>14.99</v>
      </c>
      <c r="E538" s="1" t="inlineStr">
        <is>
          <t>600x316mm</t>
        </is>
      </c>
      <c r="F538" s="1" t="inlineStr">
        <is>
          <t>m2</t>
        </is>
      </c>
      <c r="G538" s="1" t="inlineStr">
        <is>
          <t>Ceramic</t>
        </is>
      </c>
      <c r="H538" s="1" t="inlineStr">
        <is>
          <t>Gloss</t>
        </is>
      </c>
      <c r="I538" t="n">
        <v>141</v>
      </c>
    </row>
    <row r="539">
      <c r="A539" s="1">
        <f>Hyperlink("https://www.tilemountain.co.uk/p/kite-gloss-perla-wall-tile.html","Product")</f>
        <v/>
      </c>
      <c r="B539" s="1" t="inlineStr">
        <is>
          <t>448650</t>
        </is>
      </c>
      <c r="C539" s="1" t="inlineStr">
        <is>
          <t>Kite Gloss Perla Wall Tile</t>
        </is>
      </c>
      <c r="D539" s="1" t="n">
        <v>11.99</v>
      </c>
      <c r="E539" s="1" t="inlineStr">
        <is>
          <t>600x316mm</t>
        </is>
      </c>
      <c r="F539" s="1" t="inlineStr">
        <is>
          <t>m2</t>
        </is>
      </c>
      <c r="G539" s="1" t="inlineStr">
        <is>
          <t>Ceramic</t>
        </is>
      </c>
      <c r="H539" s="1" t="inlineStr">
        <is>
          <t>Gloss</t>
        </is>
      </c>
      <c r="I539" t="n">
        <v>126</v>
      </c>
    </row>
    <row r="540">
      <c r="A540" s="1">
        <f>Hyperlink("https://www.tilemountain.co.uk/p/kite-matt-grey-split-face-effect-wall-tile.html","Product")</f>
        <v/>
      </c>
      <c r="B540" s="1" t="inlineStr">
        <is>
          <t>448640</t>
        </is>
      </c>
      <c r="C540" s="1" t="inlineStr">
        <is>
          <t>Kite Matt Grey Split Face Effect Wall Tile</t>
        </is>
      </c>
      <c r="D540" s="1" t="n">
        <v>14.99</v>
      </c>
      <c r="E540" s="1" t="inlineStr">
        <is>
          <t>600x316mm</t>
        </is>
      </c>
      <c r="F540" s="1" t="inlineStr">
        <is>
          <t>m2</t>
        </is>
      </c>
      <c r="G540" s="1" t="inlineStr">
        <is>
          <t>Ceramic</t>
        </is>
      </c>
      <c r="H540" s="1" t="inlineStr">
        <is>
          <t>Matt</t>
        </is>
      </c>
      <c r="I540" t="n">
        <v>25</v>
      </c>
    </row>
    <row r="541">
      <c r="A541" s="1">
        <f>Hyperlink("https://www.tilemountain.co.uk/p/kite-matt-grey-wall-tile.html","Product")</f>
        <v/>
      </c>
      <c r="B541" s="1" t="inlineStr">
        <is>
          <t>448635</t>
        </is>
      </c>
      <c r="C541" s="1" t="inlineStr">
        <is>
          <t>Kite Matt Grey Wall Tile</t>
        </is>
      </c>
      <c r="D541" s="1" t="n">
        <v>11.99</v>
      </c>
      <c r="E541" s="1" t="inlineStr">
        <is>
          <t>600x316mm</t>
        </is>
      </c>
      <c r="F541" s="1" t="inlineStr">
        <is>
          <t>m2</t>
        </is>
      </c>
      <c r="G541" s="1" t="inlineStr">
        <is>
          <t>Ceramic</t>
        </is>
      </c>
      <c r="H541" s="1" t="inlineStr">
        <is>
          <t>Matt</t>
        </is>
      </c>
      <c r="I541" t="inlineStr">
        <is>
          <t xml:space="preserve">Out Of Stock </t>
        </is>
      </c>
    </row>
    <row r="542">
      <c r="A542" s="1">
        <f>Hyperlink("https://www.tilemountain.co.uk/p/kite-matt-perla-wall-tile.html","Product")</f>
        <v/>
      </c>
      <c r="B542" s="1" t="inlineStr">
        <is>
          <t>448630</t>
        </is>
      </c>
      <c r="C542" s="1" t="inlineStr">
        <is>
          <t>Kite Matt Perla Wall Tile</t>
        </is>
      </c>
      <c r="D542" s="1" t="n">
        <v>11.99</v>
      </c>
      <c r="E542" s="1" t="inlineStr">
        <is>
          <t>600x316mm</t>
        </is>
      </c>
      <c r="F542" s="1" t="inlineStr">
        <is>
          <t>m2</t>
        </is>
      </c>
      <c r="G542" s="1" t="inlineStr">
        <is>
          <t>Ceramic</t>
        </is>
      </c>
      <c r="H542" s="1" t="inlineStr">
        <is>
          <t>Matt</t>
        </is>
      </c>
      <c r="I542" t="n">
        <v>363</v>
      </c>
    </row>
    <row r="543">
      <c r="A543" s="1">
        <f>Hyperlink("https://www.tilemountain.co.uk/p/kromatika-black-wall-tile.html","Product")</f>
        <v/>
      </c>
      <c r="B543" s="1" t="inlineStr">
        <is>
          <t>451680</t>
        </is>
      </c>
      <c r="C543" s="1" t="inlineStr">
        <is>
          <t>Kromatika Hexagon Black Porcelain Wall &amp; Floor Tile</t>
        </is>
      </c>
      <c r="D543" s="1" t="n">
        <v>39.95</v>
      </c>
      <c r="E543" s="1" t="inlineStr">
        <is>
          <t>116x101mm</t>
        </is>
      </c>
      <c r="F543" s="1" t="inlineStr">
        <is>
          <t>m2</t>
        </is>
      </c>
      <c r="G543" s="1" t="inlineStr">
        <is>
          <t>Porcelain</t>
        </is>
      </c>
      <c r="H543" s="1" t="inlineStr">
        <is>
          <t>Matt</t>
        </is>
      </c>
      <c r="I543" t="n">
        <v>138</v>
      </c>
    </row>
    <row r="544">
      <c r="A544" s="1">
        <f>Hyperlink("https://www.tilemountain.co.uk/p/kromatika-bleu-clair-wall-tile.html","Product")</f>
        <v/>
      </c>
      <c r="B544" s="1" t="inlineStr">
        <is>
          <t>451685</t>
        </is>
      </c>
      <c r="C544" s="1" t="inlineStr">
        <is>
          <t>Kromatika Hexagon Bleu Clair Porcelain Wall &amp; Floor Tile</t>
        </is>
      </c>
      <c r="D544" s="1" t="n">
        <v>39.95</v>
      </c>
      <c r="E544" s="1" t="inlineStr">
        <is>
          <t>116x101mm</t>
        </is>
      </c>
      <c r="F544" s="1" t="inlineStr">
        <is>
          <t>m2</t>
        </is>
      </c>
      <c r="G544" s="1" t="inlineStr">
        <is>
          <t>Porcelain</t>
        </is>
      </c>
      <c r="H544" s="1" t="inlineStr">
        <is>
          <t>Matt</t>
        </is>
      </c>
      <c r="I544" t="n">
        <v>151</v>
      </c>
    </row>
    <row r="545">
      <c r="A545" s="1">
        <f>Hyperlink("https://www.tilemountain.co.uk/p/kromatika-green-wall-tile.html","Product")</f>
        <v/>
      </c>
      <c r="B545" s="1" t="inlineStr">
        <is>
          <t>451705</t>
        </is>
      </c>
      <c r="C545" s="1" t="inlineStr">
        <is>
          <t>Kromatika Hexagon Green Porcelain Wall &amp; Floor Tile</t>
        </is>
      </c>
      <c r="D545" s="1" t="n">
        <v>39.95</v>
      </c>
      <c r="E545" s="1" t="inlineStr">
        <is>
          <t>116x101mm</t>
        </is>
      </c>
      <c r="F545" s="1" t="inlineStr">
        <is>
          <t>m2</t>
        </is>
      </c>
      <c r="G545" s="1" t="inlineStr">
        <is>
          <t>Porcelain</t>
        </is>
      </c>
      <c r="H545" s="1" t="inlineStr">
        <is>
          <t>Matt</t>
        </is>
      </c>
      <c r="I545" t="n">
        <v>45</v>
      </c>
    </row>
    <row r="546">
      <c r="A546" s="1">
        <f>Hyperlink("https://www.tilemountain.co.uk/p/kromatika-grey-wall-tile.html","Product")</f>
        <v/>
      </c>
      <c r="B546" s="1" t="inlineStr">
        <is>
          <t>451710</t>
        </is>
      </c>
      <c r="C546" s="1" t="inlineStr">
        <is>
          <t>Kromatika Hexagon Grey Porcelain Wall &amp; Floor Tile</t>
        </is>
      </c>
      <c r="D546" s="1" t="n">
        <v>39.95</v>
      </c>
      <c r="E546" s="1" t="inlineStr">
        <is>
          <t>116x101mm</t>
        </is>
      </c>
      <c r="F546" s="1" t="inlineStr">
        <is>
          <t>m2</t>
        </is>
      </c>
      <c r="G546" s="1" t="inlineStr">
        <is>
          <t>Porcelain</t>
        </is>
      </c>
      <c r="H546" s="1" t="inlineStr">
        <is>
          <t>Matt</t>
        </is>
      </c>
      <c r="I546" t="n">
        <v>126</v>
      </c>
    </row>
    <row r="547">
      <c r="A547" s="1">
        <f>Hyperlink("https://www.tilemountain.co.uk/p/kromatika-naval-blue-wall-tile.html","Product")</f>
        <v/>
      </c>
      <c r="B547" s="1" t="inlineStr">
        <is>
          <t>451720</t>
        </is>
      </c>
      <c r="C547" s="1" t="inlineStr">
        <is>
          <t>Kromatika Hexagon Naval Blue Wall &amp; Floor Tile</t>
        </is>
      </c>
      <c r="D547" s="1" t="n">
        <v>39.95</v>
      </c>
      <c r="E547" s="1" t="inlineStr">
        <is>
          <t>116x101mm</t>
        </is>
      </c>
      <c r="F547" s="1" t="inlineStr">
        <is>
          <t>m2</t>
        </is>
      </c>
      <c r="G547" s="1" t="inlineStr">
        <is>
          <t>Porcelain</t>
        </is>
      </c>
      <c r="H547" s="1" t="inlineStr">
        <is>
          <t>Matt</t>
        </is>
      </c>
      <c r="I547" t="n">
        <v>73</v>
      </c>
    </row>
    <row r="548">
      <c r="A548" s="1">
        <f>Hyperlink("https://www.tilemountain.co.uk/p/kromatika-rosa-wall-tile.html","Product")</f>
        <v/>
      </c>
      <c r="B548" s="1" t="inlineStr">
        <is>
          <t>451725</t>
        </is>
      </c>
      <c r="C548" s="1" t="inlineStr">
        <is>
          <t>Kromatika Hexagon Rosa Pink Porcelain Wall &amp; Floor Tile</t>
        </is>
      </c>
      <c r="D548" s="1" t="n">
        <v>39.95</v>
      </c>
      <c r="E548" s="1" t="inlineStr">
        <is>
          <t>116x101mm</t>
        </is>
      </c>
      <c r="F548" s="1" t="inlineStr">
        <is>
          <t>m2</t>
        </is>
      </c>
      <c r="G548" s="1" t="inlineStr">
        <is>
          <t>Porcelain</t>
        </is>
      </c>
      <c r="H548" s="1" t="inlineStr">
        <is>
          <t>Matt</t>
        </is>
      </c>
      <c r="I548" t="n">
        <v>154</v>
      </c>
    </row>
    <row r="549">
      <c r="A549" s="1">
        <f>Hyperlink("https://www.tilemountain.co.uk/p/kromatika-white-wall-tile.html","Product")</f>
        <v/>
      </c>
      <c r="B549" s="1" t="inlineStr">
        <is>
          <t>451730</t>
        </is>
      </c>
      <c r="C549" s="1" t="inlineStr">
        <is>
          <t>Kromatika Hexagon White Porcelain Wall &amp; Floor Tile</t>
        </is>
      </c>
      <c r="D549" s="1" t="n">
        <v>39.95</v>
      </c>
      <c r="E549" s="1" t="inlineStr">
        <is>
          <t>116x101mm</t>
        </is>
      </c>
      <c r="F549" s="1" t="inlineStr">
        <is>
          <t>m2</t>
        </is>
      </c>
      <c r="G549" s="1" t="inlineStr">
        <is>
          <t>Porcelain</t>
        </is>
      </c>
      <c r="H549" s="1" t="inlineStr">
        <is>
          <t>Matt</t>
        </is>
      </c>
      <c r="I549" t="n">
        <v>378</v>
      </c>
    </row>
    <row r="550">
      <c r="A550" s="1">
        <f>Hyperlink("https://www.tilemountain.co.uk/p/lancaster-grey-patterned-porcelain-wall-and-floor-tile-1_1.html","Product")</f>
        <v/>
      </c>
      <c r="B550" s="1" t="inlineStr">
        <is>
          <t>448680</t>
        </is>
      </c>
      <c r="C550" s="1" t="inlineStr">
        <is>
          <t>Lancaster Grey Patterned Porcelain Wall and Floor Tile</t>
        </is>
      </c>
      <c r="D550" s="1" t="n">
        <v>17.99</v>
      </c>
      <c r="E550" s="1" t="inlineStr">
        <is>
          <t>450x450mm</t>
        </is>
      </c>
      <c r="F550" s="1" t="inlineStr">
        <is>
          <t>m2</t>
        </is>
      </c>
      <c r="G550" s="1" t="inlineStr">
        <is>
          <t>Porcelain</t>
        </is>
      </c>
      <c r="H550" s="1" t="inlineStr">
        <is>
          <t>Matt</t>
        </is>
      </c>
      <c r="I550" t="inlineStr">
        <is>
          <t>More Stock due 18/10/21</t>
        </is>
      </c>
    </row>
    <row r="551">
      <c r="A551" s="1">
        <f>Hyperlink("https://www.tilemountain.co.uk/p/lancaster-white-outdoor-slab-tiles.html","Product")</f>
        <v/>
      </c>
      <c r="B551" s="1" t="inlineStr">
        <is>
          <t>451655</t>
        </is>
      </c>
      <c r="C551" s="1" t="inlineStr">
        <is>
          <t>Carrara Marble White Outdoor Slab Tiles</t>
        </is>
      </c>
      <c r="D551" s="1" t="n">
        <v>29.99</v>
      </c>
      <c r="E551" s="1" t="inlineStr">
        <is>
          <t>595x595mm</t>
        </is>
      </c>
      <c r="F551" s="1" t="inlineStr">
        <is>
          <t>m2</t>
        </is>
      </c>
      <c r="G551" s="1" t="inlineStr">
        <is>
          <t>Porcelain</t>
        </is>
      </c>
      <c r="H551" s="1" t="inlineStr">
        <is>
          <t>Matt</t>
        </is>
      </c>
      <c r="I551" t="n">
        <v>1730</v>
      </c>
    </row>
    <row r="552">
      <c r="A552" s="1">
        <f>Hyperlink("https://www.tilemountain.co.uk/p/latex-plus-6kg.html","Product")</f>
        <v/>
      </c>
      <c r="B552" s="1" t="inlineStr">
        <is>
          <t>215106UK</t>
        </is>
      </c>
      <c r="C552" s="1" t="inlineStr">
        <is>
          <t>Latex Plus 6kg</t>
        </is>
      </c>
      <c r="D552" s="1" t="n">
        <v>27.99</v>
      </c>
      <c r="E552" s="1" t="inlineStr">
        <is>
          <t>-</t>
        </is>
      </c>
      <c r="F552" s="1" t="inlineStr">
        <is>
          <t>Qty</t>
        </is>
      </c>
      <c r="G552" s="1" t="inlineStr">
        <is>
          <t>-</t>
        </is>
      </c>
      <c r="H552" s="1" t="inlineStr">
        <is>
          <t>-</t>
        </is>
      </c>
      <c r="I552" t="n">
        <v>64</v>
      </c>
    </row>
    <row r="553">
      <c r="A553" s="1">
        <f>Hyperlink("https://www.tilemountain.co.uk/p/laura-ashley-artisan-white-wall-tiles-7-5x15cm.html","Product")</f>
        <v/>
      </c>
      <c r="B553" s="1" t="inlineStr">
        <is>
          <t>1003760</t>
        </is>
      </c>
      <c r="C553" s="1" t="inlineStr">
        <is>
          <t>Laura Ashley Artisan White Wall Tiles</t>
        </is>
      </c>
      <c r="D553" s="1" t="n">
        <v>49.99</v>
      </c>
      <c r="E553" s="1" t="inlineStr">
        <is>
          <t>150x75mm</t>
        </is>
      </c>
      <c r="F553" s="1" t="inlineStr">
        <is>
          <t>m2</t>
        </is>
      </c>
      <c r="G553" s="1" t="inlineStr">
        <is>
          <t>Ceramic</t>
        </is>
      </c>
      <c r="H553" s="1" t="inlineStr">
        <is>
          <t>Gloss</t>
        </is>
      </c>
      <c r="I553" t="inlineStr">
        <is>
          <t>In Stock</t>
        </is>
      </c>
    </row>
    <row r="554">
      <c r="A554" s="1">
        <f>Hyperlink("https://www.tilemountain.co.uk/p/lemmy-excalibur-grey-wall-and-floor-tiles-600x1200mm.html","Product")</f>
        <v/>
      </c>
      <c r="B554" s="1" t="inlineStr">
        <is>
          <t>454375</t>
        </is>
      </c>
      <c r="C554" s="1" t="inlineStr">
        <is>
          <t>Lemmy Excalibur Grey Wall and Floor Tiles</t>
        </is>
      </c>
      <c r="D554" s="1" t="n">
        <v>34.99</v>
      </c>
      <c r="E554" s="1" t="inlineStr">
        <is>
          <t>600x1200mm</t>
        </is>
      </c>
      <c r="F554" s="1" t="inlineStr">
        <is>
          <t>m2</t>
        </is>
      </c>
      <c r="G554" s="1" t="inlineStr">
        <is>
          <t>Porcelain</t>
        </is>
      </c>
      <c r="H554" s="1" t="inlineStr">
        <is>
          <t>Matt</t>
        </is>
      </c>
      <c r="I554" t="inlineStr">
        <is>
          <t>More Stock</t>
        </is>
      </c>
    </row>
    <row r="555">
      <c r="A555" s="1">
        <f>Hyperlink("https://www.tilemountain.co.uk/p/lemmy-indio-blue-wall-and-floor-tiles-600x1200mm.html","Product")</f>
        <v/>
      </c>
      <c r="B555" s="1" t="inlineStr">
        <is>
          <t>454385</t>
        </is>
      </c>
      <c r="C555" s="1" t="inlineStr">
        <is>
          <t>Lemmy Indio Blue Wall and Floor Tiles</t>
        </is>
      </c>
      <c r="D555" s="1" t="n">
        <v>34.99</v>
      </c>
      <c r="E555" s="1" t="inlineStr">
        <is>
          <t>600x1200mm</t>
        </is>
      </c>
      <c r="F555" s="1" t="inlineStr">
        <is>
          <t>m2</t>
        </is>
      </c>
      <c r="G555" s="1" t="inlineStr">
        <is>
          <t>Porcelain</t>
        </is>
      </c>
      <c r="H555" s="1" t="inlineStr">
        <is>
          <t>Matt</t>
        </is>
      </c>
      <c r="I555" t="inlineStr">
        <is>
          <t>More Stock</t>
        </is>
      </c>
    </row>
    <row r="556">
      <c r="A556" s="1">
        <f>Hyperlink("https://www.tilemountain.co.uk/p/lemmy-nimbus-grey-wall-and-floor-tiles-600x1200mm.html","Product")</f>
        <v/>
      </c>
      <c r="B556" s="1" t="inlineStr">
        <is>
          <t>454370</t>
        </is>
      </c>
      <c r="C556" s="1" t="inlineStr">
        <is>
          <t>Lemmy Nimbus Grey Wall and Floor Tiles</t>
        </is>
      </c>
      <c r="D556" s="1" t="n">
        <v>34.99</v>
      </c>
      <c r="E556" s="1" t="inlineStr">
        <is>
          <t>600x1200mm</t>
        </is>
      </c>
      <c r="F556" s="1" t="inlineStr">
        <is>
          <t>m2</t>
        </is>
      </c>
      <c r="G556" s="1" t="inlineStr">
        <is>
          <t>Porcelain</t>
        </is>
      </c>
      <c r="H556" s="1" t="inlineStr">
        <is>
          <t>Matt</t>
        </is>
      </c>
      <c r="I556" t="inlineStr">
        <is>
          <t>More Stock</t>
        </is>
      </c>
    </row>
    <row r="557">
      <c r="A557" s="1">
        <f>Hyperlink("https://www.tilemountain.co.uk/p/lemmy-nimbus-grey-wall-and-floor-tiles-600x600mm.html","Product")</f>
        <v/>
      </c>
      <c r="B557" s="1" t="inlineStr">
        <is>
          <t>454355</t>
        </is>
      </c>
      <c r="C557" s="1" t="inlineStr">
        <is>
          <t>Lemmy Nimbus Grey Wall and Floor Tiles</t>
        </is>
      </c>
      <c r="D557" s="1" t="n">
        <v>28.99</v>
      </c>
      <c r="E557" s="1" t="inlineStr">
        <is>
          <t>600x600mm</t>
        </is>
      </c>
      <c r="F557" s="1" t="inlineStr">
        <is>
          <t>m2</t>
        </is>
      </c>
      <c r="G557" s="1" t="inlineStr">
        <is>
          <t>Porcelain</t>
        </is>
      </c>
      <c r="H557" s="1" t="inlineStr">
        <is>
          <t>Matt</t>
        </is>
      </c>
      <c r="I557" t="inlineStr">
        <is>
          <t>More Stock</t>
        </is>
      </c>
    </row>
    <row r="558">
      <c r="A558" s="1">
        <f>Hyperlink("https://www.tilemountain.co.uk/p/lemmy-pumpkin-gold-wall-and-floor-tiles-600x1200mm.html","Product")</f>
        <v/>
      </c>
      <c r="B558" s="1" t="inlineStr">
        <is>
          <t>454390</t>
        </is>
      </c>
      <c r="C558" s="1" t="inlineStr">
        <is>
          <t>Lemmy Pumpkin Gold Wall and Floor Tiles</t>
        </is>
      </c>
      <c r="D558" s="1" t="n">
        <v>34.99</v>
      </c>
      <c r="E558" s="1" t="inlineStr">
        <is>
          <t>600x1200mm</t>
        </is>
      </c>
      <c r="F558" s="1" t="inlineStr">
        <is>
          <t>m2</t>
        </is>
      </c>
      <c r="G558" s="1" t="inlineStr">
        <is>
          <t>Porcelain</t>
        </is>
      </c>
      <c r="H558" s="1" t="inlineStr">
        <is>
          <t>Matt</t>
        </is>
      </c>
      <c r="I558" t="inlineStr">
        <is>
          <t>More Stock</t>
        </is>
      </c>
    </row>
    <row r="559">
      <c r="A559" s="1">
        <f>Hyperlink("https://www.tilemountain.co.uk/p/lemmy-venom-black-wall-and-floor-tiles-600x1200mm.html","Product")</f>
        <v/>
      </c>
      <c r="B559" s="1" t="inlineStr">
        <is>
          <t>454365</t>
        </is>
      </c>
      <c r="C559" s="1" t="inlineStr">
        <is>
          <t>Lemmy Venom Black Wall and Floor Tiles</t>
        </is>
      </c>
      <c r="D559" s="1" t="n">
        <v>34.99</v>
      </c>
      <c r="E559" s="1" t="inlineStr">
        <is>
          <t>600x1200mm</t>
        </is>
      </c>
      <c r="F559" s="1" t="inlineStr">
        <is>
          <t>m2</t>
        </is>
      </c>
      <c r="G559" s="1" t="inlineStr">
        <is>
          <t>Porcelain</t>
        </is>
      </c>
      <c r="H559" s="1" t="inlineStr">
        <is>
          <t>Matt</t>
        </is>
      </c>
      <c r="I559" t="inlineStr">
        <is>
          <t>More Stock</t>
        </is>
      </c>
    </row>
    <row r="560">
      <c r="A560" s="1">
        <f>Hyperlink("https://www.tilemountain.co.uk/p/lemmy-venom-black-wall-and-floor-tiles-600x600mm.html","Product")</f>
        <v/>
      </c>
      <c r="B560" s="1" t="inlineStr">
        <is>
          <t>454350</t>
        </is>
      </c>
      <c r="C560" s="1" t="inlineStr">
        <is>
          <t>Lemmy Venom Black Wall and Floor Tiles</t>
        </is>
      </c>
      <c r="D560" s="1" t="n">
        <v>28.99</v>
      </c>
      <c r="E560" s="1" t="inlineStr">
        <is>
          <t>600x600mm</t>
        </is>
      </c>
      <c r="F560" s="1" t="inlineStr">
        <is>
          <t>m2</t>
        </is>
      </c>
      <c r="G560" s="1" t="inlineStr">
        <is>
          <t>Porcelain</t>
        </is>
      </c>
      <c r="H560" s="1" t="inlineStr">
        <is>
          <t>Matt</t>
        </is>
      </c>
      <c r="I560" t="inlineStr">
        <is>
          <t>More Stock</t>
        </is>
      </c>
    </row>
    <row r="561">
      <c r="A561" s="1">
        <f>Hyperlink("https://www.tilemountain.co.uk/p/lemmy-viridium-green-wall-and-floor-tiles-600x1200mm.html","Product")</f>
        <v/>
      </c>
      <c r="B561" s="1" t="inlineStr">
        <is>
          <t>454380</t>
        </is>
      </c>
      <c r="C561" s="1" t="inlineStr">
        <is>
          <t>Lemmy Viridium Green Wall and Floor Tiles</t>
        </is>
      </c>
      <c r="D561" s="1" t="n">
        <v>34.99</v>
      </c>
      <c r="E561" s="1" t="inlineStr">
        <is>
          <t>600x1200mm</t>
        </is>
      </c>
      <c r="F561" s="1" t="inlineStr">
        <is>
          <t>m2</t>
        </is>
      </c>
      <c r="G561" s="1" t="inlineStr">
        <is>
          <t>Porcelain</t>
        </is>
      </c>
      <c r="H561" s="1" t="inlineStr">
        <is>
          <t>Matt</t>
        </is>
      </c>
      <c r="I561" t="inlineStr">
        <is>
          <t>More Stock</t>
        </is>
      </c>
    </row>
    <row r="562">
      <c r="A562" s="1">
        <f>Hyperlink("https://www.tilemountain.co.uk/p/limestone-matt-almond-floor-and-wall-tile.html","Product")</f>
        <v/>
      </c>
      <c r="B562" s="1" t="inlineStr">
        <is>
          <t>434850</t>
        </is>
      </c>
      <c r="C562" s="1" t="inlineStr">
        <is>
          <t>Limestone Matt Almond Floor and Wall Tiles</t>
        </is>
      </c>
      <c r="D562" s="1" t="n">
        <v>24.99</v>
      </c>
      <c r="E562" s="1" t="inlineStr">
        <is>
          <t>300x600mm</t>
        </is>
      </c>
      <c r="F562" s="1" t="inlineStr">
        <is>
          <t>m2</t>
        </is>
      </c>
      <c r="G562" s="1" t="inlineStr">
        <is>
          <t>Glazed Porcelain</t>
        </is>
      </c>
      <c r="H562" s="1" t="inlineStr">
        <is>
          <t>Matt</t>
        </is>
      </c>
      <c r="I562" t="n">
        <v>161</v>
      </c>
    </row>
    <row r="563">
      <c r="A563" s="1">
        <f>Hyperlink("https://www.tilemountain.co.uk/p/limestone-matt-almond-floor-tile-1640.html","Product")</f>
        <v/>
      </c>
      <c r="B563" s="1" t="inlineStr">
        <is>
          <t>434860</t>
        </is>
      </c>
      <c r="C563" s="1" t="inlineStr">
        <is>
          <t>Limestone Matt Almond Floor Tiles</t>
        </is>
      </c>
      <c r="D563" s="1" t="n">
        <v>30.99</v>
      </c>
      <c r="E563" s="1" t="inlineStr">
        <is>
          <t>500x1000mm</t>
        </is>
      </c>
      <c r="F563" s="1" t="inlineStr">
        <is>
          <t>m2</t>
        </is>
      </c>
      <c r="G563" s="1" t="inlineStr">
        <is>
          <t>Through Bodied Porcelain</t>
        </is>
      </c>
      <c r="H563" s="1" t="inlineStr">
        <is>
          <t>Matt</t>
        </is>
      </c>
      <c r="I563" t="n">
        <v>367</v>
      </c>
    </row>
    <row r="564">
      <c r="A564" s="1">
        <f>Hyperlink("https://www.tilemountain.co.uk/p/limestone-matt-almond-floor-tile.html","Product")</f>
        <v/>
      </c>
      <c r="B564" s="1" t="inlineStr">
        <is>
          <t>434855</t>
        </is>
      </c>
      <c r="C564" s="1" t="inlineStr">
        <is>
          <t>Limestone Matt Almond Floor Tiles</t>
        </is>
      </c>
      <c r="D564" s="1" t="n">
        <v>24.99</v>
      </c>
      <c r="E564" s="1" t="inlineStr">
        <is>
          <t>600x600mm</t>
        </is>
      </c>
      <c r="F564" s="1" t="inlineStr">
        <is>
          <t>m2</t>
        </is>
      </c>
      <c r="G564" s="1" t="inlineStr">
        <is>
          <t>Through Bodied Porcelain</t>
        </is>
      </c>
      <c r="H564" s="1" t="inlineStr">
        <is>
          <t>Matt</t>
        </is>
      </c>
      <c r="I564" t="n">
        <v>246</v>
      </c>
    </row>
    <row r="565">
      <c r="A565" s="1">
        <f>Hyperlink("https://www.tilemountain.co.uk/p/limestone-matt-white-wall-and-floor-tile.html","Product")</f>
        <v/>
      </c>
      <c r="B565" s="1" t="inlineStr">
        <is>
          <t>440525</t>
        </is>
      </c>
      <c r="C565" s="1" t="inlineStr">
        <is>
          <t>Limestone Matt White Wall And Floor Tiles</t>
        </is>
      </c>
      <c r="D565" s="1" t="n">
        <v>24.99</v>
      </c>
      <c r="E565" s="1" t="inlineStr">
        <is>
          <t>300x600mm</t>
        </is>
      </c>
      <c r="F565" s="1" t="inlineStr">
        <is>
          <t>m2</t>
        </is>
      </c>
      <c r="G565" s="1" t="inlineStr">
        <is>
          <t>Porcelain</t>
        </is>
      </c>
      <c r="H565" s="1" t="inlineStr">
        <is>
          <t>Matt</t>
        </is>
      </c>
      <c r="I565" t="n">
        <v>343</v>
      </c>
    </row>
    <row r="566">
      <c r="A566" s="1">
        <f>Hyperlink("https://www.tilemountain.co.uk/p/lineal-white-gloss-wall-tile-250x500.html","Product")</f>
        <v/>
      </c>
      <c r="B566" s="1" t="inlineStr">
        <is>
          <t>449050</t>
        </is>
      </c>
      <c r="C566" s="1" t="inlineStr">
        <is>
          <t>Lineal White Gloss Wall Tiles</t>
        </is>
      </c>
      <c r="D566" s="1" t="n">
        <v>12.99</v>
      </c>
      <c r="E566" s="1" t="inlineStr">
        <is>
          <t>500x250mm</t>
        </is>
      </c>
      <c r="F566" s="1" t="inlineStr">
        <is>
          <t>m2</t>
        </is>
      </c>
      <c r="G566" s="1" t="inlineStr">
        <is>
          <t>Ceramic</t>
        </is>
      </c>
      <c r="H566" s="1" t="inlineStr">
        <is>
          <t>Gloss</t>
        </is>
      </c>
      <c r="I566" t="n">
        <v>424</v>
      </c>
    </row>
    <row r="567">
      <c r="A567" s="1">
        <f>Hyperlink("https://www.tilemountain.co.uk/p/linear-black-gloss-wall-tile.html","Product")</f>
        <v/>
      </c>
      <c r="B567" s="1" t="inlineStr">
        <is>
          <t>435530</t>
        </is>
      </c>
      <c r="C567" s="1" t="inlineStr">
        <is>
          <t>Linear Black Gloss Wall Tiles</t>
        </is>
      </c>
      <c r="D567" s="1" t="n">
        <v>17.99</v>
      </c>
      <c r="E567" s="1" t="inlineStr">
        <is>
          <t>300x100mm</t>
        </is>
      </c>
      <c r="F567" s="1" t="inlineStr">
        <is>
          <t>m2</t>
        </is>
      </c>
      <c r="G567" s="1" t="inlineStr">
        <is>
          <t>Ceramic</t>
        </is>
      </c>
      <c r="H567" s="1" t="inlineStr">
        <is>
          <t>Gloss</t>
        </is>
      </c>
      <c r="I567" t="inlineStr">
        <is>
          <t>More Stock due 29/10/21</t>
        </is>
      </c>
    </row>
    <row r="568">
      <c r="A568" s="1">
        <f>Hyperlink("https://www.tilemountain.co.uk/p/linear-blue-gloss-wall-tile.html","Product")</f>
        <v/>
      </c>
      <c r="B568" s="1" t="inlineStr">
        <is>
          <t>435470</t>
        </is>
      </c>
      <c r="C568" s="1" t="inlineStr">
        <is>
          <t>Linear Blue Gloss Wall Tiles</t>
        </is>
      </c>
      <c r="D568" s="1" t="n">
        <v>17.99</v>
      </c>
      <c r="E568" s="1" t="inlineStr">
        <is>
          <t>300x100mm</t>
        </is>
      </c>
      <c r="F568" s="1" t="inlineStr">
        <is>
          <t>m2</t>
        </is>
      </c>
      <c r="G568" s="1" t="inlineStr">
        <is>
          <t>Ceramic</t>
        </is>
      </c>
      <c r="H568" s="1" t="inlineStr">
        <is>
          <t>Gloss</t>
        </is>
      </c>
      <c r="I568" t="n">
        <v>189</v>
      </c>
    </row>
    <row r="569">
      <c r="A569" s="1">
        <f>Hyperlink("https://www.tilemountain.co.uk/p/linear-cappuccino-gloss-wall-tile.html","Product")</f>
        <v/>
      </c>
      <c r="B569" s="1" t="inlineStr">
        <is>
          <t>435505</t>
        </is>
      </c>
      <c r="C569" s="1" t="inlineStr">
        <is>
          <t>Linear Cappuccino Gloss Wall Tiles</t>
        </is>
      </c>
      <c r="D569" s="1" t="n">
        <v>17.99</v>
      </c>
      <c r="E569" s="1" t="inlineStr">
        <is>
          <t>300x100mm</t>
        </is>
      </c>
      <c r="F569" s="1" t="inlineStr">
        <is>
          <t>m2</t>
        </is>
      </c>
      <c r="G569" s="1" t="inlineStr">
        <is>
          <t>Ceramic</t>
        </is>
      </c>
      <c r="H569" s="1" t="inlineStr">
        <is>
          <t>Gloss</t>
        </is>
      </c>
      <c r="I569" t="n">
        <v>33</v>
      </c>
    </row>
    <row r="570">
      <c r="A570" s="1">
        <f>Hyperlink("https://www.tilemountain.co.uk/p/linear-cream-gloss-wall-tile.html","Product")</f>
        <v/>
      </c>
      <c r="B570" s="1" t="inlineStr">
        <is>
          <t>435510</t>
        </is>
      </c>
      <c r="C570" s="1" t="inlineStr">
        <is>
          <t>Linear Cream Gloss Wall Tiles</t>
        </is>
      </c>
      <c r="D570" s="1" t="n">
        <v>17.99</v>
      </c>
      <c r="E570" s="1" t="inlineStr">
        <is>
          <t>300x100mm</t>
        </is>
      </c>
      <c r="F570" s="1" t="inlineStr">
        <is>
          <t>m2</t>
        </is>
      </c>
      <c r="G570" s="1" t="inlineStr">
        <is>
          <t>Ceramic</t>
        </is>
      </c>
      <c r="H570" s="1" t="inlineStr">
        <is>
          <t>Gloss</t>
        </is>
      </c>
      <c r="I570" t="n">
        <v>80</v>
      </c>
    </row>
    <row r="571">
      <c r="A571" s="1">
        <f>Hyperlink("https://www.tilemountain.co.uk/p/linear-dark-grey-gloss-wall-tile.html","Product")</f>
        <v/>
      </c>
      <c r="B571" s="1" t="inlineStr">
        <is>
          <t>435500</t>
        </is>
      </c>
      <c r="C571" s="1" t="inlineStr">
        <is>
          <t>Linear Dark Grey Gloss Wall Tiles</t>
        </is>
      </c>
      <c r="D571" s="1" t="n">
        <v>17.99</v>
      </c>
      <c r="E571" s="1" t="inlineStr">
        <is>
          <t>300x100mm</t>
        </is>
      </c>
      <c r="F571" s="1" t="inlineStr">
        <is>
          <t>m2</t>
        </is>
      </c>
      <c r="G571" s="1" t="inlineStr">
        <is>
          <t>Ceramic</t>
        </is>
      </c>
      <c r="H571" s="1" t="inlineStr">
        <is>
          <t>Gloss</t>
        </is>
      </c>
      <c r="I571" t="n">
        <v>142</v>
      </c>
    </row>
    <row r="572">
      <c r="A572" s="1">
        <f>Hyperlink("https://www.tilemountain.co.uk/p/linear-green-gloss-wall-tile.html","Product")</f>
        <v/>
      </c>
      <c r="B572" s="1" t="inlineStr">
        <is>
          <t>435485</t>
        </is>
      </c>
      <c r="C572" s="1" t="inlineStr">
        <is>
          <t>Linear Green Gloss Wall Tiles</t>
        </is>
      </c>
      <c r="D572" s="1" t="n">
        <v>17.99</v>
      </c>
      <c r="E572" s="1" t="inlineStr">
        <is>
          <t>300x100mm</t>
        </is>
      </c>
      <c r="F572" s="1" t="inlineStr">
        <is>
          <t>m2</t>
        </is>
      </c>
      <c r="G572" s="1" t="inlineStr">
        <is>
          <t>Ceramic</t>
        </is>
      </c>
      <c r="H572" s="1" t="inlineStr">
        <is>
          <t>Gloss</t>
        </is>
      </c>
      <c r="I572" t="n">
        <v>92</v>
      </c>
    </row>
    <row r="573">
      <c r="A573" s="1">
        <f>Hyperlink("https://www.tilemountain.co.uk/p/linear-grey-gloss-wall-tile.html","Product")</f>
        <v/>
      </c>
      <c r="B573" s="1" t="inlineStr">
        <is>
          <t>435525</t>
        </is>
      </c>
      <c r="C573" s="1" t="inlineStr">
        <is>
          <t>Linear Grey Gloss Wall Tiles</t>
        </is>
      </c>
      <c r="D573" s="1" t="n">
        <v>17.99</v>
      </c>
      <c r="E573" s="1" t="inlineStr">
        <is>
          <t>300x100mm</t>
        </is>
      </c>
      <c r="F573" s="1" t="inlineStr">
        <is>
          <t>m2</t>
        </is>
      </c>
      <c r="G573" s="1" t="inlineStr">
        <is>
          <t>Ceramic</t>
        </is>
      </c>
      <c r="H573" s="1" t="inlineStr">
        <is>
          <t>Gloss</t>
        </is>
      </c>
      <c r="I573" t="n">
        <v>631</v>
      </c>
    </row>
    <row r="574">
      <c r="A574" s="1">
        <f>Hyperlink("https://www.tilemountain.co.uk/p/linear-navy-blue-gloss-wall-tile.html","Product")</f>
        <v/>
      </c>
      <c r="B574" s="1" t="inlineStr">
        <is>
          <t>435490</t>
        </is>
      </c>
      <c r="C574" s="1" t="inlineStr">
        <is>
          <t>Linear Navy Blue Gloss Wall Tiles</t>
        </is>
      </c>
      <c r="D574" s="1" t="n">
        <v>17.99</v>
      </c>
      <c r="E574" s="1" t="inlineStr">
        <is>
          <t>300x100mm</t>
        </is>
      </c>
      <c r="F574" s="1" t="inlineStr">
        <is>
          <t>m2</t>
        </is>
      </c>
      <c r="G574" s="1" t="inlineStr">
        <is>
          <t>Ceramic</t>
        </is>
      </c>
      <c r="H574" s="1" t="inlineStr">
        <is>
          <t>Gloss</t>
        </is>
      </c>
      <c r="I574" t="n">
        <v>144</v>
      </c>
    </row>
    <row r="575">
      <c r="A575" s="1">
        <f>Hyperlink("https://www.tilemountain.co.uk/p/linear-red-gloss-wall-tile.html","Product")</f>
        <v/>
      </c>
      <c r="B575" s="1" t="inlineStr">
        <is>
          <t>435515</t>
        </is>
      </c>
      <c r="C575" s="1" t="inlineStr">
        <is>
          <t>Linear Red Gloss Wall Tiles</t>
        </is>
      </c>
      <c r="D575" s="1" t="n">
        <v>19.99</v>
      </c>
      <c r="E575" s="1" t="inlineStr">
        <is>
          <t>300x100mm</t>
        </is>
      </c>
      <c r="F575" s="1" t="inlineStr">
        <is>
          <t>m2</t>
        </is>
      </c>
      <c r="G575" s="1" t="inlineStr">
        <is>
          <t>Ceramic</t>
        </is>
      </c>
      <c r="H575" s="1" t="inlineStr">
        <is>
          <t>Gloss</t>
        </is>
      </c>
      <c r="I575" t="n">
        <v>36</v>
      </c>
    </row>
    <row r="576">
      <c r="A576" s="1">
        <f>Hyperlink("https://www.tilemountain.co.uk/p/linear-white-gloss-wall-tile.html","Product")</f>
        <v/>
      </c>
      <c r="B576" s="1" t="inlineStr">
        <is>
          <t>435475</t>
        </is>
      </c>
      <c r="C576" s="1" t="inlineStr">
        <is>
          <t>Linear White Gloss Wall Tiles</t>
        </is>
      </c>
      <c r="D576" s="1" t="n">
        <v>17.99</v>
      </c>
      <c r="E576" s="1" t="inlineStr">
        <is>
          <t>300x100mm</t>
        </is>
      </c>
      <c r="F576" s="1" t="inlineStr">
        <is>
          <t>m2</t>
        </is>
      </c>
      <c r="G576" s="1" t="inlineStr">
        <is>
          <t>Ceramic</t>
        </is>
      </c>
      <c r="H576" s="1" t="inlineStr">
        <is>
          <t>Gloss</t>
        </is>
      </c>
      <c r="I576" t="n">
        <v>677</v>
      </c>
    </row>
    <row r="577">
      <c r="A577" s="1">
        <f>Hyperlink("https://www.tilemountain.co.uk/p/london-red-brick-wall-tile.html","Product")</f>
        <v/>
      </c>
      <c r="B577" s="1" t="inlineStr">
        <is>
          <t>437920</t>
        </is>
      </c>
      <c r="C577" s="1" t="inlineStr">
        <is>
          <t>London Red Brick Wall Tiles</t>
        </is>
      </c>
      <c r="D577" s="1" t="n">
        <v>21.99</v>
      </c>
      <c r="E577" s="1" t="inlineStr">
        <is>
          <t>660x440mm</t>
        </is>
      </c>
      <c r="F577" s="1" t="inlineStr">
        <is>
          <t>m2</t>
        </is>
      </c>
      <c r="G577" s="1" t="inlineStr">
        <is>
          <t>Glazed Porcelain</t>
        </is>
      </c>
      <c r="H577" s="1" t="inlineStr">
        <is>
          <t>Matt</t>
        </is>
      </c>
      <c r="I577" t="n">
        <v>156</v>
      </c>
    </row>
    <row r="578">
      <c r="A578" s="1">
        <f>Hyperlink("https://www.tilemountain.co.uk/p/london-white-brick-wall-tile.html","Product")</f>
        <v/>
      </c>
      <c r="B578" s="1" t="inlineStr">
        <is>
          <t>437915</t>
        </is>
      </c>
      <c r="C578" s="1" t="inlineStr">
        <is>
          <t>London White Brick Wall Tiles</t>
        </is>
      </c>
      <c r="D578" s="1" t="n">
        <v>21.99</v>
      </c>
      <c r="E578" s="1" t="inlineStr">
        <is>
          <t>660x440mm</t>
        </is>
      </c>
      <c r="F578" s="1" t="inlineStr">
        <is>
          <t>m2</t>
        </is>
      </c>
      <c r="G578" s="1" t="inlineStr">
        <is>
          <t>Glazed Porcelain</t>
        </is>
      </c>
      <c r="H578" s="1" t="inlineStr">
        <is>
          <t>Matt</t>
        </is>
      </c>
      <c r="I578" t="n">
        <v>233</v>
      </c>
    </row>
    <row r="579">
      <c r="A579" s="1">
        <f>Hyperlink("https://www.tilemountain.co.uk/p/lounge-black-matt-porcelain-870.html","Product")</f>
        <v/>
      </c>
      <c r="B579" s="1" t="inlineStr">
        <is>
          <t>431285</t>
        </is>
      </c>
      <c r="C579" s="1" t="inlineStr">
        <is>
          <t>Lounge Black Matt Porcelain Floor Tile</t>
        </is>
      </c>
      <c r="D579" s="1" t="n">
        <v>23.99</v>
      </c>
      <c r="E579" s="1" t="inlineStr">
        <is>
          <t>600x600mm</t>
        </is>
      </c>
      <c r="F579" s="1" t="inlineStr">
        <is>
          <t>m2</t>
        </is>
      </c>
      <c r="G579" s="1" t="inlineStr">
        <is>
          <t>Porcelain</t>
        </is>
      </c>
      <c r="H579" s="1" t="inlineStr">
        <is>
          <t>Matt</t>
        </is>
      </c>
      <c r="I579" t="n">
        <v>905</v>
      </c>
    </row>
    <row r="580">
      <c r="A580" s="1">
        <f>Hyperlink("https://www.tilemountain.co.uk/p/lounge-black-matt-porcelain.html","Product")</f>
        <v/>
      </c>
      <c r="B580" s="1" t="inlineStr">
        <is>
          <t>431270</t>
        </is>
      </c>
      <c r="C580" s="1" t="inlineStr">
        <is>
          <t>Lounge Black Matt Porcelain Wall and Floor Tile</t>
        </is>
      </c>
      <c r="D580" s="1" t="n">
        <v>22.95</v>
      </c>
      <c r="E580" s="1" t="inlineStr">
        <is>
          <t>300x600mm</t>
        </is>
      </c>
      <c r="F580" s="1" t="inlineStr">
        <is>
          <t>m2</t>
        </is>
      </c>
      <c r="G580" s="1" t="inlineStr">
        <is>
          <t>Porcelain</t>
        </is>
      </c>
      <c r="H580" s="1" t="inlineStr">
        <is>
          <t>Matt</t>
        </is>
      </c>
      <c r="I580" t="n">
        <v>291</v>
      </c>
    </row>
    <row r="581">
      <c r="A581" s="1">
        <f>Hyperlink("https://www.tilemountain.co.uk/p/lounge-black-polished-porcelain-873.html","Product")</f>
        <v/>
      </c>
      <c r="B581" s="1" t="inlineStr">
        <is>
          <t>431280</t>
        </is>
      </c>
      <c r="C581" s="1" t="inlineStr">
        <is>
          <t>Lounge Black Polished Porcelain Floor Tile</t>
        </is>
      </c>
      <c r="D581" s="1" t="n">
        <v>24.99</v>
      </c>
      <c r="E581" s="1" t="inlineStr">
        <is>
          <t>600x600mm</t>
        </is>
      </c>
      <c r="F581" s="1" t="inlineStr">
        <is>
          <t>m2</t>
        </is>
      </c>
      <c r="G581" s="1" t="inlineStr">
        <is>
          <t>Porcelain</t>
        </is>
      </c>
      <c r="H581" s="1" t="inlineStr">
        <is>
          <t>Polished</t>
        </is>
      </c>
      <c r="I581" t="n">
        <v>641</v>
      </c>
    </row>
    <row r="582">
      <c r="A582" s="1">
        <f>Hyperlink("https://www.tilemountain.co.uk/p/lounge-black-polished-porcelain.html","Product")</f>
        <v/>
      </c>
      <c r="B582" s="1" t="inlineStr">
        <is>
          <t>431265</t>
        </is>
      </c>
      <c r="C582" s="1" t="inlineStr">
        <is>
          <t>Lounge Black Polished Porcelain Wall and Floor Tile</t>
        </is>
      </c>
      <c r="D582" s="1" t="n">
        <v>23.95</v>
      </c>
      <c r="E582" s="1" t="inlineStr">
        <is>
          <t>300x600mm</t>
        </is>
      </c>
      <c r="F582" s="1" t="inlineStr">
        <is>
          <t>m2</t>
        </is>
      </c>
      <c r="G582" s="1" t="inlineStr">
        <is>
          <t>Porcelain</t>
        </is>
      </c>
      <c r="H582" s="1" t="inlineStr">
        <is>
          <t>Polished</t>
        </is>
      </c>
      <c r="I582" t="n">
        <v>416</v>
      </c>
    </row>
    <row r="583">
      <c r="A583" s="1">
        <f>Hyperlink("https://www.tilemountain.co.uk/p/lounge-dark-grey-polished.html","Product")</f>
        <v/>
      </c>
      <c r="B583" s="1" t="inlineStr">
        <is>
          <t>446270</t>
        </is>
      </c>
      <c r="C583" s="1" t="inlineStr">
        <is>
          <t>Lounge Dark Grey Polished Floor Tile</t>
        </is>
      </c>
      <c r="D583" s="1" t="n">
        <v>21.99</v>
      </c>
      <c r="E583" s="1" t="inlineStr">
        <is>
          <t>600x600mm</t>
        </is>
      </c>
      <c r="F583" s="1" t="inlineStr">
        <is>
          <t>m2</t>
        </is>
      </c>
      <c r="G583" s="1" t="inlineStr">
        <is>
          <t>Porcelain</t>
        </is>
      </c>
      <c r="H583" s="1" t="inlineStr">
        <is>
          <t>Polished</t>
        </is>
      </c>
      <c r="I583" t="n">
        <v>32</v>
      </c>
    </row>
    <row r="584">
      <c r="A584" s="1">
        <f>Hyperlink("https://www.tilemountain.co.uk/p/lounge-ivory-matt-porcelain-879.html","Product")</f>
        <v/>
      </c>
      <c r="B584" s="1" t="inlineStr">
        <is>
          <t>431315</t>
        </is>
      </c>
      <c r="C584" s="1" t="inlineStr">
        <is>
          <t>Lounge Ivory Matt Porcelain Floor Tile</t>
        </is>
      </c>
      <c r="D584" s="1" t="n">
        <v>23.99</v>
      </c>
      <c r="E584" s="1" t="inlineStr">
        <is>
          <t>600x600mm</t>
        </is>
      </c>
      <c r="F584" s="1" t="inlineStr">
        <is>
          <t>m2</t>
        </is>
      </c>
      <c r="G584" s="1" t="inlineStr">
        <is>
          <t>Porcelain</t>
        </is>
      </c>
      <c r="H584" s="1" t="inlineStr">
        <is>
          <t>Matt</t>
        </is>
      </c>
      <c r="I584" t="n">
        <v>1693</v>
      </c>
    </row>
    <row r="585">
      <c r="A585" s="1">
        <f>Hyperlink("https://www.tilemountain.co.uk/p/lounge-ivory-matt-porcelain.html","Product")</f>
        <v/>
      </c>
      <c r="B585" s="1" t="inlineStr">
        <is>
          <t>431305</t>
        </is>
      </c>
      <c r="C585" s="1" t="inlineStr">
        <is>
          <t>Lounge Ivory Matt Porcelain Wall and Floor Tile</t>
        </is>
      </c>
      <c r="D585" s="1" t="n">
        <v>22.95</v>
      </c>
      <c r="E585" s="1" t="inlineStr">
        <is>
          <t>300x600mm</t>
        </is>
      </c>
      <c r="F585" s="1" t="inlineStr">
        <is>
          <t>m2</t>
        </is>
      </c>
      <c r="G585" s="1" t="inlineStr">
        <is>
          <t>Porcelain</t>
        </is>
      </c>
      <c r="H585" s="1" t="inlineStr">
        <is>
          <t>Matt</t>
        </is>
      </c>
      <c r="I585" t="n">
        <v>492</v>
      </c>
    </row>
    <row r="586">
      <c r="A586" s="1">
        <f>Hyperlink("https://www.tilemountain.co.uk/p/lounge-ivory-polished-porcelain-877.html","Product")</f>
        <v/>
      </c>
      <c r="B586" s="1" t="inlineStr">
        <is>
          <t>431310</t>
        </is>
      </c>
      <c r="C586" s="1" t="inlineStr">
        <is>
          <t>Lounge Ivory Polished Porcelain Floor Tile</t>
        </is>
      </c>
      <c r="D586" s="1" t="n">
        <v>24.99</v>
      </c>
      <c r="E586" s="1" t="inlineStr">
        <is>
          <t>600x600mm</t>
        </is>
      </c>
      <c r="F586" s="1" t="inlineStr">
        <is>
          <t>m2</t>
        </is>
      </c>
      <c r="G586" s="1" t="inlineStr">
        <is>
          <t>Polished Porcelain</t>
        </is>
      </c>
      <c r="H586" s="1" t="inlineStr">
        <is>
          <t>Polished</t>
        </is>
      </c>
      <c r="I586" t="n">
        <v>996</v>
      </c>
    </row>
    <row r="587">
      <c r="A587" s="1">
        <f>Hyperlink("https://www.tilemountain.co.uk/p/lounge-light-grey-matt-porcelain-882.html","Product")</f>
        <v/>
      </c>
      <c r="B587" s="1" t="inlineStr">
        <is>
          <t>431255</t>
        </is>
      </c>
      <c r="C587" s="1" t="inlineStr">
        <is>
          <t>Lounge Light Grey Matt Porcelain Floor Tile</t>
        </is>
      </c>
      <c r="D587" s="1" t="n">
        <v>23.99</v>
      </c>
      <c r="E587" s="1" t="inlineStr">
        <is>
          <t>600x600mm</t>
        </is>
      </c>
      <c r="F587" s="1" t="inlineStr">
        <is>
          <t>m2</t>
        </is>
      </c>
      <c r="G587" s="1" t="inlineStr">
        <is>
          <t>Porcelain</t>
        </is>
      </c>
      <c r="H587" s="1" t="inlineStr">
        <is>
          <t>Matt</t>
        </is>
      </c>
      <c r="I587" t="n">
        <v>640</v>
      </c>
    </row>
    <row r="588">
      <c r="A588" s="1">
        <f>Hyperlink("https://www.tilemountain.co.uk/p/lounge-light-grey-matt-porcelain.html","Product")</f>
        <v/>
      </c>
      <c r="B588" s="1" t="inlineStr">
        <is>
          <t>431245</t>
        </is>
      </c>
      <c r="C588" s="1" t="inlineStr">
        <is>
          <t>Lounge Light Grey Matt Porcelain Wall and Floor Tile</t>
        </is>
      </c>
      <c r="D588" s="1" t="n">
        <v>22.95</v>
      </c>
      <c r="E588" s="1" t="inlineStr">
        <is>
          <t>300x600mm</t>
        </is>
      </c>
      <c r="F588" s="1" t="inlineStr">
        <is>
          <t>m2</t>
        </is>
      </c>
      <c r="G588" s="1" t="inlineStr">
        <is>
          <t>Porcelain</t>
        </is>
      </c>
      <c r="H588" s="1" t="inlineStr">
        <is>
          <t>Matt</t>
        </is>
      </c>
      <c r="I588" t="n">
        <v>3581</v>
      </c>
    </row>
    <row r="589">
      <c r="A589" s="1">
        <f>Hyperlink("https://www.tilemountain.co.uk/p/lounge-light-grey-polished-porcelain-885.html","Product")</f>
        <v/>
      </c>
      <c r="B589" s="1" t="inlineStr">
        <is>
          <t>431250</t>
        </is>
      </c>
      <c r="C589" s="1" t="inlineStr">
        <is>
          <t>Lounge Light Grey Polished Porcelain Floor Tile</t>
        </is>
      </c>
      <c r="D589" s="1" t="n">
        <v>24.99</v>
      </c>
      <c r="E589" s="1" t="inlineStr">
        <is>
          <t>600x600mm</t>
        </is>
      </c>
      <c r="F589" s="1" t="inlineStr">
        <is>
          <t>m2</t>
        </is>
      </c>
      <c r="G589" s="1" t="inlineStr">
        <is>
          <t>Polished Porcelain</t>
        </is>
      </c>
      <c r="H589" s="1" t="inlineStr">
        <is>
          <t>Polished</t>
        </is>
      </c>
      <c r="I589" t="n">
        <v>743</v>
      </c>
    </row>
    <row r="590">
      <c r="A590" s="1">
        <f>Hyperlink("https://www.tilemountain.co.uk/p/lounge-light-grey-polished-porcelain.html","Product")</f>
        <v/>
      </c>
      <c r="B590" s="1" t="inlineStr">
        <is>
          <t>431240</t>
        </is>
      </c>
      <c r="C590" s="1" t="inlineStr">
        <is>
          <t>Lounge Light Grey Polished Porcelain Wall and Floor Tile</t>
        </is>
      </c>
      <c r="D590" s="1" t="n">
        <v>23.95</v>
      </c>
      <c r="E590" s="1" t="inlineStr">
        <is>
          <t>300x600mm</t>
        </is>
      </c>
      <c r="F590" s="1" t="inlineStr">
        <is>
          <t>m2</t>
        </is>
      </c>
      <c r="G590" s="1" t="inlineStr">
        <is>
          <t>Polished Porcelain</t>
        </is>
      </c>
      <c r="H590" s="1" t="inlineStr">
        <is>
          <t>Polished</t>
        </is>
      </c>
      <c r="I590" t="n">
        <v>100</v>
      </c>
    </row>
    <row r="591">
      <c r="A591" s="1">
        <f>Hyperlink("https://www.tilemountain.co.uk/p/ltp-black-spot-algae-remover-5-litre.html","Product")</f>
        <v/>
      </c>
      <c r="B591" s="1" t="inlineStr">
        <is>
          <t>LTP405</t>
        </is>
      </c>
      <c r="C591" s="1" t="inlineStr">
        <is>
          <t>LTP Black Spot &amp; Algae Remover (5 Litre)</t>
        </is>
      </c>
      <c r="D591" s="1" t="n">
        <v>44.99</v>
      </c>
      <c r="E591" s="1" t="inlineStr">
        <is>
          <t>-</t>
        </is>
      </c>
      <c r="F591" s="1" t="inlineStr">
        <is>
          <t>Qty</t>
        </is>
      </c>
      <c r="G591" s="1" t="inlineStr">
        <is>
          <t>-</t>
        </is>
      </c>
      <c r="H591" s="1" t="inlineStr">
        <is>
          <t>-</t>
        </is>
      </c>
      <c r="I591" t="inlineStr">
        <is>
          <t>In Stock</t>
        </is>
      </c>
    </row>
    <row r="592">
      <c r="A592" s="1">
        <f>Hyperlink("https://www.tilemountain.co.uk/p/ltp-cement-grout-salt-residue-remover-1-litre.html","Product")</f>
        <v/>
      </c>
      <c r="B592" s="1" t="inlineStr">
        <is>
          <t>LTP381</t>
        </is>
      </c>
      <c r="C592" s="1" t="inlineStr">
        <is>
          <t>LTP Cement,Grout &amp; Salt Residue Remover (1 Litre)</t>
        </is>
      </c>
      <c r="D592" s="1" t="n">
        <v>16.9</v>
      </c>
      <c r="E592" s="1" t="inlineStr">
        <is>
          <t>-</t>
        </is>
      </c>
      <c r="F592" s="1" t="inlineStr">
        <is>
          <t>Qty</t>
        </is>
      </c>
      <c r="G592" s="1" t="inlineStr">
        <is>
          <t>-</t>
        </is>
      </c>
      <c r="H592" s="1" t="inlineStr">
        <is>
          <t>-</t>
        </is>
      </c>
      <c r="I592" t="inlineStr">
        <is>
          <t>In Stock</t>
        </is>
      </c>
    </row>
    <row r="593">
      <c r="A593" s="1">
        <f>Hyperlink("https://www.tilemountain.co.uk/p/ltp-colour-intensifier-1-litre.html","Product")</f>
        <v/>
      </c>
      <c r="B593" s="1" t="inlineStr">
        <is>
          <t>LTP131</t>
        </is>
      </c>
      <c r="C593" s="1" t="inlineStr">
        <is>
          <t>LTP Colour Intensifier (1 Litre)</t>
        </is>
      </c>
      <c r="D593" s="1" t="n">
        <v>15.99</v>
      </c>
      <c r="E593" s="1" t="inlineStr">
        <is>
          <t>-</t>
        </is>
      </c>
      <c r="F593" s="1" t="inlineStr">
        <is>
          <t>Qty</t>
        </is>
      </c>
      <c r="G593" s="1" t="inlineStr">
        <is>
          <t>-</t>
        </is>
      </c>
      <c r="H593" s="1" t="inlineStr">
        <is>
          <t>-</t>
        </is>
      </c>
      <c r="I593" t="inlineStr"/>
    </row>
    <row r="594">
      <c r="A594" s="1">
        <f>Hyperlink("https://www.tilemountain.co.uk/p/ltp-floorshine-1-litre.html","Product")</f>
        <v/>
      </c>
      <c r="B594" s="1" t="inlineStr">
        <is>
          <t>LTP61</t>
        </is>
      </c>
      <c r="C594" s="1" t="inlineStr">
        <is>
          <t>LTP Floorshine (1 Litre)</t>
        </is>
      </c>
      <c r="D594" s="1" t="n">
        <v>10.99</v>
      </c>
      <c r="E594" s="1" t="inlineStr">
        <is>
          <t>-</t>
        </is>
      </c>
      <c r="F594" s="1" t="inlineStr">
        <is>
          <t>Qty</t>
        </is>
      </c>
      <c r="G594" s="1" t="inlineStr">
        <is>
          <t>-</t>
        </is>
      </c>
      <c r="H594" s="1" t="inlineStr">
        <is>
          <t>-</t>
        </is>
      </c>
      <c r="I594" t="inlineStr"/>
    </row>
    <row r="595">
      <c r="A595" s="1">
        <f>Hyperlink("https://www.tilemountain.co.uk/p/ltp-glaze-protector-1-litre.html","Product")</f>
        <v/>
      </c>
      <c r="B595" s="1" t="inlineStr">
        <is>
          <t>LTP201</t>
        </is>
      </c>
      <c r="C595" s="1" t="inlineStr">
        <is>
          <t>LTP Glaze Protector (1 Litre)</t>
        </is>
      </c>
      <c r="D595" s="1" t="n">
        <v>15.99</v>
      </c>
      <c r="E595" s="1" t="inlineStr">
        <is>
          <t>-</t>
        </is>
      </c>
      <c r="F595" s="1" t="inlineStr">
        <is>
          <t>Qty</t>
        </is>
      </c>
      <c r="G595" s="1" t="inlineStr">
        <is>
          <t>-</t>
        </is>
      </c>
      <c r="H595" s="1" t="inlineStr">
        <is>
          <t>-</t>
        </is>
      </c>
      <c r="I595" t="inlineStr"/>
    </row>
    <row r="596">
      <c r="A596" s="1">
        <f>Hyperlink("https://www.tilemountain.co.uk/p/ltp-grimex-heavy-duty-tile-cleaner.html","Product")</f>
        <v/>
      </c>
      <c r="B596" s="1" t="inlineStr">
        <is>
          <t>LTP71</t>
        </is>
      </c>
      <c r="C596" s="1" t="inlineStr">
        <is>
          <t>LTP Grimex Heavy Duty Tile Cleaner</t>
        </is>
      </c>
      <c r="D596" s="1" t="n">
        <v>8.99</v>
      </c>
      <c r="E596" s="1" t="inlineStr">
        <is>
          <t>-</t>
        </is>
      </c>
      <c r="F596" s="1" t="inlineStr">
        <is>
          <t>Qty</t>
        </is>
      </c>
      <c r="G596" s="1" t="inlineStr">
        <is>
          <t>-</t>
        </is>
      </c>
      <c r="H596" s="1" t="inlineStr">
        <is>
          <t>-</t>
        </is>
      </c>
      <c r="I596" t="inlineStr">
        <is>
          <t>In Stock</t>
        </is>
      </c>
    </row>
    <row r="597">
      <c r="A597" s="1">
        <f>Hyperlink("https://www.tilemountain.co.uk/p/ltp-grout-protector-spray-600ml.html","Product")</f>
        <v/>
      </c>
      <c r="B597" s="1" t="inlineStr">
        <is>
          <t>LTP156</t>
        </is>
      </c>
      <c r="C597" s="1" t="inlineStr">
        <is>
          <t>LTP Grout Protector Spray 600ml</t>
        </is>
      </c>
      <c r="D597" s="1" t="n">
        <v>14.95</v>
      </c>
      <c r="E597" s="1" t="inlineStr">
        <is>
          <t>-</t>
        </is>
      </c>
      <c r="F597" s="1" t="inlineStr">
        <is>
          <t>Qty</t>
        </is>
      </c>
      <c r="G597" s="1" t="inlineStr">
        <is>
          <t>-</t>
        </is>
      </c>
      <c r="H597" s="1" t="inlineStr">
        <is>
          <t>-</t>
        </is>
      </c>
      <c r="I597" t="n">
        <v>40</v>
      </c>
    </row>
    <row r="598">
      <c r="A598" s="1">
        <f>Hyperlink("https://www.tilemountain.co.uk/p/ltp-grout-stain-residue-remover-1-litre.html","Product")</f>
        <v/>
      </c>
      <c r="B598" s="1" t="inlineStr">
        <is>
          <t>LTP81</t>
        </is>
      </c>
      <c r="C598" s="1" t="inlineStr">
        <is>
          <t>LTP Grout Stain Residue Remover 1 Litre</t>
        </is>
      </c>
      <c r="D598" s="1" t="n">
        <v>8.949999999999999</v>
      </c>
      <c r="E598" s="1" t="inlineStr">
        <is>
          <t>-</t>
        </is>
      </c>
      <c r="F598" s="1" t="inlineStr">
        <is>
          <t>Qty</t>
        </is>
      </c>
      <c r="G598" s="1" t="inlineStr">
        <is>
          <t>-</t>
        </is>
      </c>
      <c r="H598" s="1" t="inlineStr">
        <is>
          <t>-</t>
        </is>
      </c>
      <c r="I598" t="inlineStr">
        <is>
          <t>In Stock</t>
        </is>
      </c>
    </row>
    <row r="599">
      <c r="A599" s="1">
        <f>Hyperlink("https://www.tilemountain.co.uk/p/ltp-mattstone-1-litre.html","Product")</f>
        <v/>
      </c>
      <c r="B599" s="1" t="inlineStr">
        <is>
          <t>LTP121</t>
        </is>
      </c>
      <c r="C599" s="1" t="inlineStr">
        <is>
          <t>LTP Mattstone (1 Litre)</t>
        </is>
      </c>
      <c r="D599" s="1" t="n">
        <v>15.49</v>
      </c>
      <c r="E599" s="1" t="inlineStr">
        <is>
          <t>-</t>
        </is>
      </c>
      <c r="F599" s="1" t="inlineStr">
        <is>
          <t>Qty</t>
        </is>
      </c>
      <c r="G599" s="1" t="inlineStr">
        <is>
          <t>-</t>
        </is>
      </c>
      <c r="H599" s="1" t="inlineStr">
        <is>
          <t>-</t>
        </is>
      </c>
      <c r="I599" t="n">
        <v>6</v>
      </c>
    </row>
    <row r="600">
      <c r="A600" s="1">
        <f>Hyperlink("https://www.tilemountain.co.uk/p/ltp-mouldex-spray-500ml.html","Product")</f>
        <v/>
      </c>
      <c r="B600" s="1" t="inlineStr">
        <is>
          <t>LTP25</t>
        </is>
      </c>
      <c r="C600" s="1" t="inlineStr">
        <is>
          <t>LTP Mouldex Spray (500ml)</t>
        </is>
      </c>
      <c r="D600" s="1" t="n">
        <v>8.949999999999999</v>
      </c>
      <c r="E600" s="1" t="inlineStr">
        <is>
          <t>-</t>
        </is>
      </c>
      <c r="F600" s="1" t="inlineStr">
        <is>
          <t>Qty</t>
        </is>
      </c>
      <c r="G600" s="1" t="inlineStr">
        <is>
          <t>-</t>
        </is>
      </c>
      <c r="H600" s="1" t="inlineStr">
        <is>
          <t>-</t>
        </is>
      </c>
      <c r="I600" t="inlineStr">
        <is>
          <t>In Stock</t>
        </is>
      </c>
    </row>
    <row r="601">
      <c r="A601" s="1">
        <f>Hyperlink("https://www.tilemountain.co.uk/p/ltp-mpg-polished-tile-sealer-5119.html","Product")</f>
        <v/>
      </c>
      <c r="B601" s="1" t="inlineStr">
        <is>
          <t>LTP211</t>
        </is>
      </c>
      <c r="C601" s="1" t="inlineStr">
        <is>
          <t>LTP MPG Polished Tile Sealer 1L</t>
        </is>
      </c>
      <c r="D601" s="1" t="n">
        <v>18.95</v>
      </c>
      <c r="E601" s="1" t="inlineStr">
        <is>
          <t>-</t>
        </is>
      </c>
      <c r="F601" s="1" t="inlineStr">
        <is>
          <t>Qty</t>
        </is>
      </c>
      <c r="G601" s="1" t="inlineStr">
        <is>
          <t>-</t>
        </is>
      </c>
      <c r="H601" s="1" t="inlineStr">
        <is>
          <t>-</t>
        </is>
      </c>
      <c r="I601" t="n">
        <v>8</v>
      </c>
    </row>
    <row r="602">
      <c r="A602" s="1">
        <f>Hyperlink("https://www.tilemountain.co.uk/p/ltp-mpg-polished-tile-sealer.html","Product")</f>
        <v/>
      </c>
      <c r="B602" s="1" t="inlineStr">
        <is>
          <t>LTP2112</t>
        </is>
      </c>
      <c r="C602" s="1" t="inlineStr">
        <is>
          <t>LTP MPG Polished Tile Sealer 500ml</t>
        </is>
      </c>
      <c r="D602" s="1" t="n">
        <v>12.95</v>
      </c>
      <c r="E602" s="1" t="inlineStr">
        <is>
          <t>-</t>
        </is>
      </c>
      <c r="F602" s="1" t="inlineStr">
        <is>
          <t>Qty</t>
        </is>
      </c>
      <c r="G602" s="1" t="inlineStr">
        <is>
          <t>-</t>
        </is>
      </c>
      <c r="H602" s="1" t="inlineStr">
        <is>
          <t>-</t>
        </is>
      </c>
      <c r="I602" t="n">
        <v>8</v>
      </c>
    </row>
    <row r="603">
      <c r="A603" s="1">
        <f>Hyperlink("https://www.tilemountain.co.uk/p/ltp-multiclean-500ml-spray.html","Product")</f>
        <v/>
      </c>
      <c r="B603" s="1" t="inlineStr">
        <is>
          <t>LTP23</t>
        </is>
      </c>
      <c r="C603" s="1" t="inlineStr">
        <is>
          <t>LTP Multiclean (500ml) spray</t>
        </is>
      </c>
      <c r="D603" s="1" t="n">
        <v>7.99</v>
      </c>
      <c r="E603" s="1" t="inlineStr">
        <is>
          <t>-</t>
        </is>
      </c>
      <c r="F603" s="1" t="inlineStr">
        <is>
          <t>Qty</t>
        </is>
      </c>
      <c r="G603" s="1" t="inlineStr">
        <is>
          <t>-</t>
        </is>
      </c>
      <c r="H603" s="1" t="inlineStr">
        <is>
          <t>-</t>
        </is>
      </c>
      <c r="I603" t="inlineStr"/>
    </row>
    <row r="604">
      <c r="A604" s="1">
        <f>Hyperlink("https://www.tilemountain.co.uk/p/ltp-porcelain-tile-cleaner.html","Product")</f>
        <v/>
      </c>
      <c r="B604" s="1" t="inlineStr">
        <is>
          <t>LTP101</t>
        </is>
      </c>
      <c r="C604" s="1" t="inlineStr">
        <is>
          <t>LTP Porcelain Tile Cleaner</t>
        </is>
      </c>
      <c r="D604" s="1" t="n">
        <v>9.49</v>
      </c>
      <c r="E604" s="1" t="inlineStr">
        <is>
          <t>-</t>
        </is>
      </c>
      <c r="F604" s="1" t="inlineStr">
        <is>
          <t>Qty</t>
        </is>
      </c>
      <c r="G604" s="1" t="inlineStr">
        <is>
          <t>-</t>
        </is>
      </c>
      <c r="H604" s="1" t="inlineStr">
        <is>
          <t>-</t>
        </is>
      </c>
      <c r="I604" t="inlineStr">
        <is>
          <t>In Stock</t>
        </is>
      </c>
    </row>
    <row r="605">
      <c r="A605" s="1">
        <f>Hyperlink("https://www.tilemountain.co.uk/p/ltp-porcelain-tile-protector-pre-grout-treatment-interior-exterior-use.html","Product")</f>
        <v/>
      </c>
      <c r="B605" s="1" t="inlineStr">
        <is>
          <t>LTP391</t>
        </is>
      </c>
      <c r="C605" s="1" t="inlineStr">
        <is>
          <t>LTP Porcelain Tile Protector - Pre Grout Treatment Interior &amp; Exterior Use</t>
        </is>
      </c>
      <c r="D605" s="1" t="n">
        <v>19.95</v>
      </c>
      <c r="E605" s="1" t="inlineStr">
        <is>
          <t>-</t>
        </is>
      </c>
      <c r="F605" s="1" t="inlineStr">
        <is>
          <t>Qty</t>
        </is>
      </c>
      <c r="G605" s="1" t="inlineStr">
        <is>
          <t>-</t>
        </is>
      </c>
      <c r="H605" s="1" t="inlineStr">
        <is>
          <t>-</t>
        </is>
      </c>
      <c r="I605" t="n">
        <v>64</v>
      </c>
    </row>
    <row r="606">
      <c r="A606" s="1">
        <f>Hyperlink("https://www.tilemountain.co.uk/p/ltp-power-stripper-intensive-tile-cleaner.html","Product")</f>
        <v/>
      </c>
      <c r="B606" s="1" t="inlineStr">
        <is>
          <t>LTP161</t>
        </is>
      </c>
      <c r="C606" s="1" t="inlineStr">
        <is>
          <t>LTP Power Stripper Intensive Tile Cleaner</t>
        </is>
      </c>
      <c r="D606" s="1" t="n">
        <v>14.49</v>
      </c>
      <c r="E606" s="1" t="inlineStr">
        <is>
          <t>-</t>
        </is>
      </c>
      <c r="F606" s="1" t="inlineStr">
        <is>
          <t>Qty</t>
        </is>
      </c>
      <c r="G606" s="1" t="inlineStr">
        <is>
          <t>-</t>
        </is>
      </c>
      <c r="H606" s="1" t="inlineStr">
        <is>
          <t>-</t>
        </is>
      </c>
      <c r="I606" t="inlineStr">
        <is>
          <t>In Stock</t>
        </is>
      </c>
    </row>
    <row r="607">
      <c r="A607" s="1">
        <f>Hyperlink("https://www.tilemountain.co.uk/p/ltp-rust-stain-remover-250-ml.html","Product")</f>
        <v/>
      </c>
      <c r="B607" s="1" t="inlineStr">
        <is>
          <t>LTP125</t>
        </is>
      </c>
      <c r="C607" s="1" t="inlineStr">
        <is>
          <t>LTP Rust Stain Remover (250 ml)</t>
        </is>
      </c>
      <c r="D607" s="1" t="n">
        <v>6.95</v>
      </c>
      <c r="E607" s="1" t="inlineStr">
        <is>
          <t>-</t>
        </is>
      </c>
      <c r="F607" s="1" t="inlineStr">
        <is>
          <t>Qty</t>
        </is>
      </c>
      <c r="G607" s="1" t="inlineStr">
        <is>
          <t>-</t>
        </is>
      </c>
      <c r="H607" s="1" t="inlineStr">
        <is>
          <t>-</t>
        </is>
      </c>
      <c r="I607" t="inlineStr">
        <is>
          <t>In Stock</t>
        </is>
      </c>
    </row>
    <row r="608">
      <c r="A608" s="1">
        <f>Hyperlink("https://www.tilemountain.co.uk/p/ltp-solvex-1-litre.html","Product")</f>
        <v/>
      </c>
      <c r="B608" s="1" t="inlineStr">
        <is>
          <t>LTP241</t>
        </is>
      </c>
      <c r="C608" s="1" t="inlineStr">
        <is>
          <t>LTP Solvex (1 Litre)</t>
        </is>
      </c>
      <c r="D608" s="1" t="n">
        <v>14.99</v>
      </c>
      <c r="E608" s="1" t="inlineStr">
        <is>
          <t>-</t>
        </is>
      </c>
      <c r="F608" s="1" t="inlineStr">
        <is>
          <t>Qty</t>
        </is>
      </c>
      <c r="G608" s="1" t="inlineStr">
        <is>
          <t>-</t>
        </is>
      </c>
      <c r="H608" s="1" t="inlineStr">
        <is>
          <t>-</t>
        </is>
      </c>
      <c r="I608" t="inlineStr">
        <is>
          <t>In Stock</t>
        </is>
      </c>
    </row>
    <row r="609">
      <c r="A609" s="1">
        <f>Hyperlink("https://www.tilemountain.co.uk/p/ltp-stonewash-500ml-spray.html","Product")</f>
        <v/>
      </c>
      <c r="B609" s="1" t="inlineStr">
        <is>
          <t>LTP22</t>
        </is>
      </c>
      <c r="C609" s="1" t="inlineStr">
        <is>
          <t>LTP Stonewash (500ml) spray</t>
        </is>
      </c>
      <c r="D609" s="1" t="n">
        <v>7.99</v>
      </c>
      <c r="E609" s="1" t="inlineStr">
        <is>
          <t>-</t>
        </is>
      </c>
      <c r="F609" s="1" t="inlineStr">
        <is>
          <t>Qty</t>
        </is>
      </c>
      <c r="G609" s="1" t="inlineStr">
        <is>
          <t>-</t>
        </is>
      </c>
      <c r="H609" s="1" t="inlineStr">
        <is>
          <t>-</t>
        </is>
      </c>
      <c r="I609" t="inlineStr"/>
    </row>
    <row r="610">
      <c r="A610" s="1">
        <f>Hyperlink("https://www.tilemountain.co.uk/p/lumber-beige.html","Product")</f>
        <v/>
      </c>
      <c r="B610" s="1" t="inlineStr">
        <is>
          <t>448390</t>
        </is>
      </c>
      <c r="C610" s="1" t="inlineStr">
        <is>
          <t>Reclaimed Natural Beige Oak Nailed Wood Effect Floor Tile</t>
        </is>
      </c>
      <c r="D610" s="1" t="n">
        <v>15.99</v>
      </c>
      <c r="E610" s="1" t="inlineStr">
        <is>
          <t>660x150mm</t>
        </is>
      </c>
      <c r="F610" s="1" t="inlineStr">
        <is>
          <t>m2</t>
        </is>
      </c>
      <c r="G610" s="1" t="inlineStr">
        <is>
          <t>Porcelain</t>
        </is>
      </c>
      <c r="H610" s="1" t="inlineStr">
        <is>
          <t>Matt</t>
        </is>
      </c>
      <c r="I610" t="n">
        <v>24</v>
      </c>
    </row>
    <row r="611">
      <c r="A611" s="1">
        <f>Hyperlink("https://www.tilemountain.co.uk/p/lumber-grey.html","Product")</f>
        <v/>
      </c>
      <c r="B611" s="1" t="inlineStr">
        <is>
          <t>448395</t>
        </is>
      </c>
      <c r="C611" s="1" t="inlineStr">
        <is>
          <t>Reclaimed Misty Grey Oak Nailed Wood Effect Floor Tile</t>
        </is>
      </c>
      <c r="D611" s="1" t="n">
        <v>15.99</v>
      </c>
      <c r="E611" s="1" t="inlineStr">
        <is>
          <t>660x150mm</t>
        </is>
      </c>
      <c r="F611" s="1" t="inlineStr">
        <is>
          <t>m2</t>
        </is>
      </c>
      <c r="G611" s="1" t="inlineStr">
        <is>
          <t>Porcelain</t>
        </is>
      </c>
      <c r="H611" s="1" t="inlineStr">
        <is>
          <t>Matt</t>
        </is>
      </c>
      <c r="I611" t="inlineStr">
        <is>
          <t>More Stock</t>
        </is>
      </c>
    </row>
    <row r="612">
      <c r="A612" s="1">
        <f>Hyperlink("https://www.tilemountain.co.uk/p/lumber-nature.html","Product")</f>
        <v/>
      </c>
      <c r="B612" s="1" t="inlineStr">
        <is>
          <t>448400</t>
        </is>
      </c>
      <c r="C612" s="1" t="inlineStr">
        <is>
          <t>Reclaimed Dark Oak Nailed Wood Effect Floor Tile</t>
        </is>
      </c>
      <c r="D612" s="1" t="n">
        <v>15.99</v>
      </c>
      <c r="E612" s="1" t="inlineStr">
        <is>
          <t>660x150mm</t>
        </is>
      </c>
      <c r="F612" s="1" t="inlineStr">
        <is>
          <t>m2</t>
        </is>
      </c>
      <c r="G612" s="1" t="inlineStr">
        <is>
          <t>Porcelain</t>
        </is>
      </c>
      <c r="H612" s="1" t="inlineStr">
        <is>
          <t>Matt</t>
        </is>
      </c>
      <c r="I612" t="n">
        <v>44</v>
      </c>
    </row>
    <row r="613">
      <c r="A613" s="1">
        <f>Hyperlink("https://www.tilemountain.co.uk/p/lumber-white.html","Product")</f>
        <v/>
      </c>
      <c r="B613" s="1" t="inlineStr">
        <is>
          <t>448405</t>
        </is>
      </c>
      <c r="C613" s="1" t="inlineStr">
        <is>
          <t>Reclaimed White Oak Nailed Wood Effect Floor Tile</t>
        </is>
      </c>
      <c r="D613" s="1" t="n">
        <v>15.99</v>
      </c>
      <c r="E613" s="1" t="inlineStr">
        <is>
          <t>660x150mm</t>
        </is>
      </c>
      <c r="F613" s="1" t="inlineStr">
        <is>
          <t>m2</t>
        </is>
      </c>
      <c r="G613" s="1" t="inlineStr">
        <is>
          <t>Porcelain</t>
        </is>
      </c>
      <c r="H613" s="1" t="inlineStr">
        <is>
          <t>Matt</t>
        </is>
      </c>
      <c r="I613" t="n">
        <v>16</v>
      </c>
    </row>
    <row r="614">
      <c r="A614" s="1">
        <f>Hyperlink("https://www.tilemountain.co.uk/p/luminous-grey-glass-mosaic_1.html","Product")</f>
        <v/>
      </c>
      <c r="B614" s="1" t="inlineStr">
        <is>
          <t>450540</t>
        </is>
      </c>
      <c r="C614" s="1" t="inlineStr">
        <is>
          <t>Luminous Grey Glass Mosaic</t>
        </is>
      </c>
      <c r="D614" s="1" t="n">
        <v>12.99</v>
      </c>
      <c r="E614" s="1" t="inlineStr">
        <is>
          <t>300x300mm</t>
        </is>
      </c>
      <c r="F614" s="1" t="inlineStr">
        <is>
          <t>sheet</t>
        </is>
      </c>
      <c r="G614" s="1" t="inlineStr">
        <is>
          <t>Glass</t>
        </is>
      </c>
      <c r="H614" s="1" t="inlineStr">
        <is>
          <t>Gloss</t>
        </is>
      </c>
      <c r="I614" t="inlineStr">
        <is>
          <t>In Stock</t>
        </is>
      </c>
    </row>
    <row r="615">
      <c r="A615" s="1">
        <f>Hyperlink("https://www.tilemountain.co.uk/p/luminous-white-glass-mosaic.html","Product")</f>
        <v/>
      </c>
      <c r="B615" s="1" t="inlineStr">
        <is>
          <t>450535</t>
        </is>
      </c>
      <c r="C615" s="1" t="inlineStr">
        <is>
          <t>Luminous White Glass Mosaic</t>
        </is>
      </c>
      <c r="D615" s="1" t="n">
        <v>12.99</v>
      </c>
      <c r="E615" s="1" t="inlineStr">
        <is>
          <t>300x300mm</t>
        </is>
      </c>
      <c r="F615" s="1" t="inlineStr">
        <is>
          <t>sheet</t>
        </is>
      </c>
      <c r="G615" s="1" t="inlineStr">
        <is>
          <t>Glass</t>
        </is>
      </c>
      <c r="H615" s="1" t="inlineStr">
        <is>
          <t>Gloss</t>
        </is>
      </c>
      <c r="I615" t="n">
        <v>73</v>
      </c>
    </row>
    <row r="616">
      <c r="A616" s="1">
        <f>Hyperlink("https://www.tilemountain.co.uk/p/luna-ash-outdoor-matt-porcelain-slab-tile.html","Product")</f>
        <v/>
      </c>
      <c r="B616" s="1" t="inlineStr">
        <is>
          <t>442890</t>
        </is>
      </c>
      <c r="C616" s="1" t="inlineStr">
        <is>
          <t>Luna Ash Outdoor Matt Porcelain Slab Tiles</t>
        </is>
      </c>
      <c r="D616" s="1" t="n">
        <v>30.99</v>
      </c>
      <c r="E616" s="1" t="inlineStr">
        <is>
          <t>600x600mm</t>
        </is>
      </c>
      <c r="F616" s="1" t="inlineStr">
        <is>
          <t>m2</t>
        </is>
      </c>
      <c r="G616" s="1" t="inlineStr">
        <is>
          <t>Porcelain</t>
        </is>
      </c>
      <c r="H616" s="1" t="inlineStr">
        <is>
          <t>Matt</t>
        </is>
      </c>
      <c r="I616" t="n">
        <v>699</v>
      </c>
    </row>
    <row r="617">
      <c r="A617" s="1">
        <f>Hyperlink("https://www.tilemountain.co.uk/p/luna-mid-grey-outdoor-matt-porcelain-slab-tile.html","Product")</f>
        <v/>
      </c>
      <c r="B617" s="1" t="inlineStr">
        <is>
          <t>442900</t>
        </is>
      </c>
      <c r="C617" s="1" t="inlineStr">
        <is>
          <t>Luna Mid Grey Outdoor Matt Porcelain Slab Tiles</t>
        </is>
      </c>
      <c r="D617" s="1" t="n">
        <v>30.99</v>
      </c>
      <c r="E617" s="1" t="inlineStr">
        <is>
          <t>600x600mm</t>
        </is>
      </c>
      <c r="F617" s="1" t="inlineStr">
        <is>
          <t>m2</t>
        </is>
      </c>
      <c r="G617" s="1" t="inlineStr">
        <is>
          <t>Porcelain</t>
        </is>
      </c>
      <c r="H617" s="1" t="inlineStr">
        <is>
          <t>Matt</t>
        </is>
      </c>
      <c r="I617" t="n">
        <v>517</v>
      </c>
    </row>
    <row r="618">
      <c r="A618" s="1">
        <f>Hyperlink("https://www.tilemountain.co.uk/p/lyric-grey-matt-wall-tile.html","Product")</f>
        <v/>
      </c>
      <c r="B618" s="1" t="inlineStr">
        <is>
          <t>448880</t>
        </is>
      </c>
      <c r="C618" s="1" t="inlineStr">
        <is>
          <t>Lyric Grey Matt Wall Tile</t>
        </is>
      </c>
      <c r="D618" s="1" t="n">
        <v>9.99</v>
      </c>
      <c r="E618" s="1" t="inlineStr">
        <is>
          <t>550x330mm</t>
        </is>
      </c>
      <c r="F618" s="1" t="inlineStr">
        <is>
          <t>m2</t>
        </is>
      </c>
      <c r="G618" s="1" t="inlineStr">
        <is>
          <t>Ceramic</t>
        </is>
      </c>
      <c r="H618" s="1" t="inlineStr">
        <is>
          <t>Matt</t>
        </is>
      </c>
      <c r="I618" t="n">
        <v>237</v>
      </c>
    </row>
    <row r="619">
      <c r="A619" s="1">
        <f>Hyperlink("https://www.tilemountain.co.uk/p/lyric-perla-matt-wall-tile.html","Product")</f>
        <v/>
      </c>
      <c r="B619" s="1" t="inlineStr">
        <is>
          <t>448875</t>
        </is>
      </c>
      <c r="C619" s="1" t="inlineStr">
        <is>
          <t>Lyric Perla Matt Wall Tile</t>
        </is>
      </c>
      <c r="D619" s="1" t="n">
        <v>9.99</v>
      </c>
      <c r="E619" s="1" t="inlineStr">
        <is>
          <t>550x330mm</t>
        </is>
      </c>
      <c r="F619" s="1" t="inlineStr">
        <is>
          <t>m2</t>
        </is>
      </c>
      <c r="G619" s="1" t="inlineStr">
        <is>
          <t>Ceramic</t>
        </is>
      </c>
      <c r="H619" s="1" t="inlineStr">
        <is>
          <t>Matt</t>
        </is>
      </c>
      <c r="I619" t="n">
        <v>153</v>
      </c>
    </row>
    <row r="620">
      <c r="A620" s="1">
        <f>Hyperlink("https://www.tilemountain.co.uk/p/lyric-relieve-grey-split-face-effect-wall-tile.html","Product")</f>
        <v/>
      </c>
      <c r="B620" s="1" t="inlineStr">
        <is>
          <t>448885</t>
        </is>
      </c>
      <c r="C620" s="1" t="inlineStr">
        <is>
          <t>Lyric Relieve Grey Split Face Effect Wall Tile</t>
        </is>
      </c>
      <c r="D620" s="1" t="n">
        <v>11.99</v>
      </c>
      <c r="E620" s="1" t="inlineStr">
        <is>
          <t>550x330mm</t>
        </is>
      </c>
      <c r="F620" s="1" t="inlineStr">
        <is>
          <t>m2</t>
        </is>
      </c>
      <c r="G620" s="1" t="inlineStr">
        <is>
          <t>Ceramic</t>
        </is>
      </c>
      <c r="H620" s="1" t="inlineStr">
        <is>
          <t>Matt</t>
        </is>
      </c>
      <c r="I620" t="n">
        <v>388</v>
      </c>
    </row>
    <row r="621">
      <c r="A621" s="1">
        <f>Hyperlink("https://www.tilemountain.co.uk/p/lyric-relieve-sand-split-face-effect-wall-tile.html","Product")</f>
        <v/>
      </c>
      <c r="B621" s="1" t="inlineStr">
        <is>
          <t>448895</t>
        </is>
      </c>
      <c r="C621" s="1" t="inlineStr">
        <is>
          <t>Lyric Relieve Sand Split Face Effect Wall Tile</t>
        </is>
      </c>
      <c r="D621" s="1" t="n">
        <v>11.99</v>
      </c>
      <c r="E621" s="1" t="inlineStr">
        <is>
          <t>550x330mm</t>
        </is>
      </c>
      <c r="F621" s="1" t="inlineStr">
        <is>
          <t>m2</t>
        </is>
      </c>
      <c r="G621" s="1" t="inlineStr">
        <is>
          <t>Ceramic</t>
        </is>
      </c>
      <c r="H621" s="1" t="inlineStr">
        <is>
          <t>Matt</t>
        </is>
      </c>
      <c r="I621" t="n">
        <v>179</v>
      </c>
    </row>
    <row r="622">
      <c r="A622" s="1">
        <f>Hyperlink("https://www.tilemountain.co.uk/p/lyric-sand-matt-wall-tile.html","Product")</f>
        <v/>
      </c>
      <c r="B622" s="1" t="inlineStr">
        <is>
          <t>448890</t>
        </is>
      </c>
      <c r="C622" s="1" t="inlineStr">
        <is>
          <t>Lyric Sand Matt Wall Tile</t>
        </is>
      </c>
      <c r="D622" s="1" t="n">
        <v>9.99</v>
      </c>
      <c r="E622" s="1" t="inlineStr">
        <is>
          <t>550x330mm</t>
        </is>
      </c>
      <c r="F622" s="1" t="inlineStr">
        <is>
          <t>m2</t>
        </is>
      </c>
      <c r="G622" s="1" t="inlineStr">
        <is>
          <t>Ceramic</t>
        </is>
      </c>
      <c r="H622" s="1" t="inlineStr">
        <is>
          <t>Matt</t>
        </is>
      </c>
      <c r="I622" t="n">
        <v>254</v>
      </c>
    </row>
    <row r="623">
      <c r="A623" s="1">
        <f>Hyperlink("https://www.tilemountain.co.uk/p/maddox-antracita-indoor-out-porcelain-floor-tile_1.html","Product")</f>
        <v/>
      </c>
      <c r="B623" s="1" t="inlineStr">
        <is>
          <t>449300</t>
        </is>
      </c>
      <c r="C623" s="1" t="inlineStr">
        <is>
          <t>Maddox Dark Grey Indoor/Out Porcelain Floor Tile</t>
        </is>
      </c>
      <c r="D623" s="1" t="n">
        <v>14.99</v>
      </c>
      <c r="E623" s="1" t="inlineStr">
        <is>
          <t>605x605mm</t>
        </is>
      </c>
      <c r="F623" s="1" t="inlineStr">
        <is>
          <t>m2</t>
        </is>
      </c>
      <c r="G623" s="1" t="inlineStr">
        <is>
          <t>Porcelain</t>
        </is>
      </c>
      <c r="H623" s="1" t="inlineStr">
        <is>
          <t>Matt</t>
        </is>
      </c>
      <c r="I623" t="n">
        <v>104</v>
      </c>
    </row>
    <row r="624">
      <c r="A624" s="1">
        <f>Hyperlink("https://www.tilemountain.co.uk/p/maddox-blanco-indoor-out-porcelain-floor-tile_1.html","Product")</f>
        <v/>
      </c>
      <c r="B624" s="1" t="inlineStr">
        <is>
          <t>449290</t>
        </is>
      </c>
      <c r="C624" s="1" t="inlineStr">
        <is>
          <t>Maddox Light Grey Indoor/Out Porcelain Floor Tile</t>
        </is>
      </c>
      <c r="D624" s="1" t="n">
        <v>14.99</v>
      </c>
      <c r="E624" s="1" t="inlineStr">
        <is>
          <t>605x605mm</t>
        </is>
      </c>
      <c r="F624" s="1" t="inlineStr">
        <is>
          <t>m2</t>
        </is>
      </c>
      <c r="G624" s="1" t="inlineStr">
        <is>
          <t>Porcelain</t>
        </is>
      </c>
      <c r="H624" s="1" t="inlineStr">
        <is>
          <t>Matt</t>
        </is>
      </c>
      <c r="I624" t="n">
        <v>1037</v>
      </c>
    </row>
    <row r="625">
      <c r="A625" s="1">
        <f>Hyperlink("https://www.tilemountain.co.uk/p/maddox-grey-indoor-out-porcelain-floor-tile_1.html","Product")</f>
        <v/>
      </c>
      <c r="B625" s="1" t="inlineStr">
        <is>
          <t>449295</t>
        </is>
      </c>
      <c r="C625" s="1" t="inlineStr">
        <is>
          <t>Maddox Grey Indoor/Out Porcelain Floor Tile</t>
        </is>
      </c>
      <c r="D625" s="1" t="n">
        <v>14.99</v>
      </c>
      <c r="E625" s="1" t="inlineStr">
        <is>
          <t>605x605mm</t>
        </is>
      </c>
      <c r="F625" s="1" t="inlineStr">
        <is>
          <t>m2</t>
        </is>
      </c>
      <c r="G625" s="1" t="inlineStr">
        <is>
          <t>Porcelain</t>
        </is>
      </c>
      <c r="H625" s="1" t="inlineStr">
        <is>
          <t>Matt</t>
        </is>
      </c>
      <c r="I625" t="n">
        <v>683</v>
      </c>
    </row>
    <row r="626">
      <c r="A626" s="1">
        <f>Hyperlink("https://www.tilemountain.co.uk/p/maddox-grey-porcelain-floor-tile.html","Product")</f>
        <v/>
      </c>
      <c r="B626" s="1" t="inlineStr">
        <is>
          <t>448700</t>
        </is>
      </c>
      <c r="C626" s="1" t="inlineStr">
        <is>
          <t>Maddox Grey Porcelain Floor Tile</t>
        </is>
      </c>
      <c r="D626" s="1" t="n">
        <v>18.99</v>
      </c>
      <c r="E626" s="1" t="inlineStr">
        <is>
          <t>750x750mm</t>
        </is>
      </c>
      <c r="F626" s="1" t="inlineStr">
        <is>
          <t>m2</t>
        </is>
      </c>
      <c r="G626" s="1" t="inlineStr">
        <is>
          <t>Porcelain</t>
        </is>
      </c>
      <c r="H626" s="1" t="inlineStr">
        <is>
          <t>Matt</t>
        </is>
      </c>
      <c r="I626" t="n">
        <v>1025</v>
      </c>
    </row>
    <row r="627">
      <c r="A627" s="1">
        <f>Hyperlink("https://www.tilemountain.co.uk/p/maddox-light-grey-porcelain-floor-tile.html","Product")</f>
        <v/>
      </c>
      <c r="B627" s="1" t="inlineStr">
        <is>
          <t>448695</t>
        </is>
      </c>
      <c r="C627" s="1" t="inlineStr">
        <is>
          <t>Maddox Light Grey Porcelain Floor Tile</t>
        </is>
      </c>
      <c r="D627" s="1" t="n">
        <v>18.99</v>
      </c>
      <c r="E627" s="1" t="inlineStr">
        <is>
          <t>750x750mm</t>
        </is>
      </c>
      <c r="F627" s="1" t="inlineStr">
        <is>
          <t>m2</t>
        </is>
      </c>
      <c r="G627" s="1" t="inlineStr">
        <is>
          <t>Porcelain</t>
        </is>
      </c>
      <c r="H627" s="1" t="inlineStr">
        <is>
          <t>Matt</t>
        </is>
      </c>
      <c r="I627" t="n">
        <v>235</v>
      </c>
    </row>
    <row r="628">
      <c r="A628" s="1">
        <f>Hyperlink("https://www.tilemountain.co.uk/p/madison-oak-3822.html","Product")</f>
        <v/>
      </c>
      <c r="B628" s="1" t="inlineStr">
        <is>
          <t>445340</t>
        </is>
      </c>
      <c r="C628" s="1" t="inlineStr">
        <is>
          <t>Madison Oak Luxury Vinyl Tiles</t>
        </is>
      </c>
      <c r="D628" s="1" t="n">
        <v>20.99</v>
      </c>
      <c r="E628" s="1" t="inlineStr">
        <is>
          <t>1316x191x4mm</t>
        </is>
      </c>
      <c r="F628" s="1" t="inlineStr">
        <is>
          <t>m2</t>
        </is>
      </c>
      <c r="G628" s="1" t="inlineStr">
        <is>
          <t>LVT</t>
        </is>
      </c>
      <c r="H628" s="1" t="inlineStr">
        <is>
          <t>Matt</t>
        </is>
      </c>
      <c r="I628" t="n">
        <v>376</v>
      </c>
    </row>
    <row r="629">
      <c r="A629" s="1">
        <f>Hyperlink("https://www.tilemountain.co.uk/p/mapeglitter-blue-100g.html","Product")</f>
        <v/>
      </c>
      <c r="B629" s="1" t="inlineStr">
        <is>
          <t>4593860</t>
        </is>
      </c>
      <c r="C629" s="1" t="inlineStr">
        <is>
          <t>Mapeglitter Blue 100g</t>
        </is>
      </c>
      <c r="D629" s="1" t="n">
        <v>9.99</v>
      </c>
      <c r="E629" s="1" t="inlineStr">
        <is>
          <t>-</t>
        </is>
      </c>
      <c r="F629" s="1" t="inlineStr">
        <is>
          <t>Qty</t>
        </is>
      </c>
      <c r="G629" s="1" t="inlineStr">
        <is>
          <t>-</t>
        </is>
      </c>
      <c r="H629" s="1" t="inlineStr">
        <is>
          <t>-</t>
        </is>
      </c>
      <c r="I629" t="inlineStr">
        <is>
          <t xml:space="preserve">Out Of Stock </t>
        </is>
      </c>
    </row>
    <row r="630">
      <c r="A630" s="1">
        <f>Hyperlink("https://www.tilemountain.co.uk/p/mapeglitter-copper-100g.html","Product")</f>
        <v/>
      </c>
      <c r="B630" s="1" t="inlineStr">
        <is>
          <t>4595560</t>
        </is>
      </c>
      <c r="C630" s="1" t="inlineStr">
        <is>
          <t>Mapeglitter Copper 100g</t>
        </is>
      </c>
      <c r="D630" s="1" t="n">
        <v>10.99</v>
      </c>
      <c r="E630" s="1" t="inlineStr">
        <is>
          <t>-</t>
        </is>
      </c>
      <c r="F630" s="1" t="inlineStr">
        <is>
          <t>Qty</t>
        </is>
      </c>
      <c r="G630" s="1" t="inlineStr">
        <is>
          <t>-</t>
        </is>
      </c>
      <c r="H630" s="1" t="inlineStr">
        <is>
          <t>-</t>
        </is>
      </c>
      <c r="I630" t="n">
        <v>11</v>
      </c>
    </row>
    <row r="631">
      <c r="A631" s="1">
        <f>Hyperlink("https://www.tilemountain.co.uk/p/mapeglitter-purple-100g.html","Product")</f>
        <v/>
      </c>
      <c r="B631" s="1" t="inlineStr">
        <is>
          <t>4594260</t>
        </is>
      </c>
      <c r="C631" s="1" t="inlineStr">
        <is>
          <t>Mapeglitter Purple 100g</t>
        </is>
      </c>
      <c r="D631" s="1" t="n">
        <v>9.99</v>
      </c>
      <c r="E631" s="1" t="inlineStr">
        <is>
          <t>-</t>
        </is>
      </c>
      <c r="F631" s="1" t="inlineStr">
        <is>
          <t>Qty</t>
        </is>
      </c>
      <c r="G631" s="1" t="inlineStr">
        <is>
          <t>-</t>
        </is>
      </c>
      <c r="H631" s="1" t="inlineStr">
        <is>
          <t>-</t>
        </is>
      </c>
      <c r="I631" t="inlineStr">
        <is>
          <t xml:space="preserve">Out Of Stock </t>
        </is>
      </c>
    </row>
    <row r="632">
      <c r="A632" s="1">
        <f>Hyperlink("https://www.tilemountain.co.uk/p/mapeglitter-red-100g.html","Product")</f>
        <v/>
      </c>
      <c r="B632" s="1" t="inlineStr">
        <is>
          <t>4594960</t>
        </is>
      </c>
      <c r="C632" s="1" t="inlineStr">
        <is>
          <t>Mapeglitter Red 100g</t>
        </is>
      </c>
      <c r="D632" s="1" t="n">
        <v>9.99</v>
      </c>
      <c r="E632" s="1" t="inlineStr">
        <is>
          <t>-</t>
        </is>
      </c>
      <c r="F632" s="1" t="inlineStr">
        <is>
          <t>Qty</t>
        </is>
      </c>
      <c r="G632" s="1" t="inlineStr">
        <is>
          <t>-</t>
        </is>
      </c>
      <c r="H632" s="1" t="inlineStr">
        <is>
          <t>-</t>
        </is>
      </c>
      <c r="I632" t="inlineStr">
        <is>
          <t xml:space="preserve">Out Of Stock </t>
        </is>
      </c>
    </row>
    <row r="633">
      <c r="A633" s="1">
        <f>Hyperlink("https://www.tilemountain.co.uk/p/mapeglitter-silver-100g.html","Product")</f>
        <v/>
      </c>
      <c r="B633" s="1" t="inlineStr">
        <is>
          <t>4595251</t>
        </is>
      </c>
      <c r="C633" s="1" t="inlineStr">
        <is>
          <t>Mapeglitter Silver 100g</t>
        </is>
      </c>
      <c r="D633" s="1" t="n">
        <v>10.99</v>
      </c>
      <c r="E633" s="1" t="inlineStr">
        <is>
          <t>100g</t>
        </is>
      </c>
      <c r="F633" s="1" t="inlineStr">
        <is>
          <t>Qty</t>
        </is>
      </c>
      <c r="G633" s="1" t="inlineStr">
        <is>
          <t>-</t>
        </is>
      </c>
      <c r="H633" s="1" t="inlineStr">
        <is>
          <t>-</t>
        </is>
      </c>
      <c r="I633" t="inlineStr">
        <is>
          <t>In Stock</t>
        </is>
      </c>
    </row>
    <row r="634">
      <c r="A634" s="1">
        <f>Hyperlink("https://www.tilemountain.co.uk/p/mapegrip-d2-ready-mix-adhesive-15kg-pallet-deal-48-tubs.html","Product")</f>
        <v/>
      </c>
      <c r="B634" s="1" t="inlineStr">
        <is>
          <t>011715-pd</t>
        </is>
      </c>
      <c r="C634" s="1" t="inlineStr">
        <is>
          <t>Mapegrip D2 Ready Mix Adhesive 15kg Pallet Deal- 48 Tubs</t>
        </is>
      </c>
      <c r="D634" s="1" t="n">
        <v>729.99</v>
      </c>
      <c r="E634" s="1" t="inlineStr">
        <is>
          <t>PALLET</t>
        </is>
      </c>
      <c r="F634" s="1" t="inlineStr">
        <is>
          <t>Qty</t>
        </is>
      </c>
      <c r="G634" s="1" t="inlineStr">
        <is>
          <t>-</t>
        </is>
      </c>
      <c r="H634" s="1" t="inlineStr">
        <is>
          <t>-</t>
        </is>
      </c>
      <c r="I634" t="n">
        <v>99</v>
      </c>
    </row>
    <row r="635">
      <c r="A635" s="1">
        <f>Hyperlink("https://www.tilemountain.co.uk/p/mapegrip-d2-ready-mix-adhesive-15kg.html","Product")</f>
        <v/>
      </c>
      <c r="B635" s="1" t="inlineStr">
        <is>
          <t>011715</t>
        </is>
      </c>
      <c r="C635" s="1" t="inlineStr">
        <is>
          <t>Mapegrip D2 Ready Mix Adhesive 15kg</t>
        </is>
      </c>
      <c r="D635" s="1" t="n">
        <v>17.99</v>
      </c>
      <c r="E635" s="1" t="inlineStr">
        <is>
          <t>-</t>
        </is>
      </c>
      <c r="F635" s="1" t="inlineStr">
        <is>
          <t>Qty</t>
        </is>
      </c>
      <c r="G635" s="1" t="inlineStr">
        <is>
          <t>-</t>
        </is>
      </c>
      <c r="H635" s="1" t="inlineStr">
        <is>
          <t>-</t>
        </is>
      </c>
      <c r="I635" t="n">
        <v>91</v>
      </c>
    </row>
    <row r="636">
      <c r="A636" s="1">
        <f>Hyperlink("https://www.tilemountain.co.uk/p/mapei-ceramic-and-quarry-wall-and-floor-adhesive-20kg.html","Product")</f>
        <v/>
      </c>
      <c r="B636" s="1" t="inlineStr">
        <is>
          <t>436525</t>
        </is>
      </c>
      <c r="C636" s="1" t="inlineStr">
        <is>
          <t>Mapei Ceramic and Quarry Wall and Floor Adhesive 20kg</t>
        </is>
      </c>
      <c r="D636" s="1" t="n">
        <v>9.99</v>
      </c>
      <c r="E636" s="1" t="inlineStr">
        <is>
          <t>-</t>
        </is>
      </c>
      <c r="F636" s="1" t="inlineStr">
        <is>
          <t>Qty</t>
        </is>
      </c>
      <c r="G636" s="1" t="inlineStr">
        <is>
          <t>-</t>
        </is>
      </c>
      <c r="H636" s="1" t="inlineStr">
        <is>
          <t>-</t>
        </is>
      </c>
      <c r="I636" t="n">
        <v>24</v>
      </c>
    </row>
    <row r="637">
      <c r="A637" s="1">
        <f>Hyperlink("https://www.tilemountain.co.uk/p/mapei-mixing-bucket-10-litre.html","Product")</f>
        <v/>
      </c>
      <c r="B637" s="1" t="inlineStr">
        <is>
          <t>MK795101</t>
        </is>
      </c>
      <c r="C637" s="1" t="inlineStr">
        <is>
          <t>Mapei Mixing Bucket 10 litre</t>
        </is>
      </c>
      <c r="D637" s="1" t="n">
        <v>5.49</v>
      </c>
      <c r="E637" s="1" t="inlineStr">
        <is>
          <t>-</t>
        </is>
      </c>
      <c r="F637" s="1" t="inlineStr">
        <is>
          <t>Qty</t>
        </is>
      </c>
      <c r="G637" s="1" t="inlineStr">
        <is>
          <t>-</t>
        </is>
      </c>
      <c r="H637" s="1" t="inlineStr">
        <is>
          <t>-</t>
        </is>
      </c>
      <c r="I637" t="inlineStr">
        <is>
          <t>In Stock</t>
        </is>
      </c>
    </row>
    <row r="638">
      <c r="A638" s="1">
        <f>Hyperlink("https://www.tilemountain.co.uk/p/mapei-mixing-bucket-25-litre.html","Product")</f>
        <v/>
      </c>
      <c r="B638" s="1" t="inlineStr">
        <is>
          <t>MK795102</t>
        </is>
      </c>
      <c r="C638" s="1" t="inlineStr">
        <is>
          <t>Mapei Mixing Bucket 25 Litre</t>
        </is>
      </c>
      <c r="D638" s="1" t="n">
        <v>9.49</v>
      </c>
      <c r="E638" s="1" t="inlineStr">
        <is>
          <t>-</t>
        </is>
      </c>
      <c r="F638" s="1" t="inlineStr">
        <is>
          <t>Qty</t>
        </is>
      </c>
      <c r="G638" s="1" t="inlineStr">
        <is>
          <t>-</t>
        </is>
      </c>
      <c r="H638" s="1" t="inlineStr">
        <is>
          <t>-</t>
        </is>
      </c>
      <c r="I638" t="inlineStr">
        <is>
          <t>More Stock</t>
        </is>
      </c>
    </row>
    <row r="639">
      <c r="A639" s="1">
        <f>Hyperlink("https://www.tilemountain.co.uk/p/mapei-shower-waterproofing-kit.html","Product")</f>
        <v/>
      </c>
      <c r="B639" s="1" t="inlineStr">
        <is>
          <t>1248KITUK</t>
        </is>
      </c>
      <c r="C639" s="1" t="inlineStr">
        <is>
          <t>Mapei Shower Waterproofing Kit</t>
        </is>
      </c>
      <c r="D639" s="1" t="n">
        <v>50.99</v>
      </c>
      <c r="E639" s="1" t="inlineStr">
        <is>
          <t>-</t>
        </is>
      </c>
      <c r="F639" s="1" t="inlineStr">
        <is>
          <t>Qty</t>
        </is>
      </c>
      <c r="G639" s="1" t="inlineStr">
        <is>
          <t>-</t>
        </is>
      </c>
      <c r="H639" s="1" t="inlineStr">
        <is>
          <t>-</t>
        </is>
      </c>
      <c r="I639" t="inlineStr">
        <is>
          <t>In Stock</t>
        </is>
      </c>
    </row>
    <row r="640">
      <c r="A640" s="1">
        <f>Hyperlink("https://www.tilemountain.co.uk/p/mapeker-rapid-set-flex-grey-adhesive-20kg-pallet-deal-48-bags.html","Product")</f>
        <v/>
      </c>
      <c r="B640" s="1" t="inlineStr">
        <is>
          <t>012320-pd</t>
        </is>
      </c>
      <c r="C640" s="1" t="inlineStr">
        <is>
          <t>Mapeker Grey Rapid-Set Flex Adhesive 20kg Pallet Deal-48 Bags</t>
        </is>
      </c>
      <c r="D640" s="1" t="n">
        <v>599.52</v>
      </c>
      <c r="E640" s="1" t="inlineStr">
        <is>
          <t>PALLET</t>
        </is>
      </c>
      <c r="F640" s="1" t="inlineStr">
        <is>
          <t>Qty</t>
        </is>
      </c>
      <c r="G640" s="1" t="inlineStr">
        <is>
          <t>-</t>
        </is>
      </c>
      <c r="H640" s="1" t="inlineStr">
        <is>
          <t>-</t>
        </is>
      </c>
      <c r="I640" t="inlineStr">
        <is>
          <t>In Stock</t>
        </is>
      </c>
    </row>
    <row r="641">
      <c r="A641" s="1">
        <f>Hyperlink("https://www.tilemountain.co.uk/p/mapeker-rapid-set-flex-grey-adhesive-20kg.html","Product")</f>
        <v/>
      </c>
      <c r="B641" s="1" t="inlineStr">
        <is>
          <t>012320</t>
        </is>
      </c>
      <c r="C641" s="1" t="inlineStr">
        <is>
          <t>Mapeker Grey Rapid-Set Flex Adhesive 20kg</t>
        </is>
      </c>
      <c r="D641" s="1" t="n">
        <v>17.99</v>
      </c>
      <c r="E641" s="1" t="inlineStr">
        <is>
          <t>20kg</t>
        </is>
      </c>
      <c r="F641" s="1" t="inlineStr">
        <is>
          <t>Qty</t>
        </is>
      </c>
      <c r="G641" s="1" t="inlineStr">
        <is>
          <t>-</t>
        </is>
      </c>
      <c r="H641" s="1" t="inlineStr">
        <is>
          <t>-</t>
        </is>
      </c>
      <c r="I641" t="n">
        <v>74</v>
      </c>
    </row>
    <row r="642">
      <c r="A642" s="1">
        <f>Hyperlink("https://www.tilemountain.co.uk/p/mapesil-ac-anthracite-114-silicone-sealant-310ml.html","Product")</f>
        <v/>
      </c>
      <c r="B642" s="1" t="inlineStr">
        <is>
          <t>4811491</t>
        </is>
      </c>
      <c r="C642" s="1" t="inlineStr">
        <is>
          <t>Mapesil AC Anthracite 114 Silicone Sealant 310ml</t>
        </is>
      </c>
      <c r="D642" s="1" t="n">
        <v>8.49</v>
      </c>
      <c r="E642" s="1" t="inlineStr">
        <is>
          <t>-</t>
        </is>
      </c>
      <c r="F642" s="1" t="inlineStr">
        <is>
          <t>Qty</t>
        </is>
      </c>
      <c r="G642" s="1" t="inlineStr">
        <is>
          <t>-</t>
        </is>
      </c>
      <c r="H642" s="1" t="inlineStr">
        <is>
          <t>-</t>
        </is>
      </c>
      <c r="I642" t="n">
        <v>33</v>
      </c>
    </row>
    <row r="643">
      <c r="A643" s="1">
        <f>Hyperlink("https://www.tilemountain.co.uk/p/mapesil-ac-beige-132-silicone-sealant-310ml.html","Product")</f>
        <v/>
      </c>
      <c r="B643" s="1" t="inlineStr">
        <is>
          <t>4813291</t>
        </is>
      </c>
      <c r="C643" s="1" t="inlineStr">
        <is>
          <t>Mapesil AC Beige 132 Silicone Sealant 310ml</t>
        </is>
      </c>
      <c r="D643" s="1" t="n">
        <v>8.49</v>
      </c>
      <c r="E643" s="1" t="inlineStr">
        <is>
          <t>-</t>
        </is>
      </c>
      <c r="F643" s="1" t="inlineStr">
        <is>
          <t>Qty</t>
        </is>
      </c>
      <c r="G643" s="1" t="inlineStr">
        <is>
          <t>-</t>
        </is>
      </c>
      <c r="H643" s="1" t="inlineStr">
        <is>
          <t>-</t>
        </is>
      </c>
      <c r="I643" t="inlineStr">
        <is>
          <t>In Stock</t>
        </is>
      </c>
    </row>
    <row r="644">
      <c r="A644" s="1">
        <f>Hyperlink("https://www.tilemountain.co.uk/p/mapesil-ac-black-120-silicone-sealant-310ml.html","Product")</f>
        <v/>
      </c>
      <c r="B644" s="1" t="inlineStr">
        <is>
          <t>4812091</t>
        </is>
      </c>
      <c r="C644" s="1" t="inlineStr">
        <is>
          <t>Mapesil AC Black 120 Silicone Sealant 310ml</t>
        </is>
      </c>
      <c r="D644" s="1" t="n">
        <v>8.49</v>
      </c>
      <c r="E644" s="1" t="inlineStr">
        <is>
          <t>-</t>
        </is>
      </c>
      <c r="F644" s="1" t="inlineStr">
        <is>
          <t>Qty</t>
        </is>
      </c>
      <c r="G644" s="1" t="inlineStr">
        <is>
          <t>-</t>
        </is>
      </c>
      <c r="H644" s="1" t="inlineStr">
        <is>
          <t>-</t>
        </is>
      </c>
      <c r="I644" t="inlineStr">
        <is>
          <t>In Stock</t>
        </is>
      </c>
    </row>
    <row r="645">
      <c r="A645" s="1">
        <f>Hyperlink("https://www.tilemountain.co.uk/p/mapesil-ac-brown-silicone-sealant-310ml.html","Product")</f>
        <v/>
      </c>
      <c r="B645" s="1" t="inlineStr">
        <is>
          <t>4814291</t>
        </is>
      </c>
      <c r="C645" s="1" t="inlineStr">
        <is>
          <t>Mapesil AC Brown (142) Silicone Sealant 310ml</t>
        </is>
      </c>
      <c r="D645" s="1" t="n">
        <v>8.49</v>
      </c>
      <c r="E645" s="1" t="inlineStr">
        <is>
          <t>-</t>
        </is>
      </c>
      <c r="F645" s="1" t="inlineStr">
        <is>
          <t>Qty</t>
        </is>
      </c>
      <c r="G645" s="1" t="inlineStr">
        <is>
          <t>-</t>
        </is>
      </c>
      <c r="H645" s="1" t="inlineStr">
        <is>
          <t>-</t>
        </is>
      </c>
      <c r="I645" t="n">
        <v>11</v>
      </c>
    </row>
    <row r="646">
      <c r="A646" s="1">
        <f>Hyperlink("https://www.tilemountain.co.uk/p/mapesil-ac-caribbean-137-310ml.html","Product")</f>
        <v/>
      </c>
      <c r="B646" s="1" t="inlineStr">
        <is>
          <t>4813791IT</t>
        </is>
      </c>
      <c r="C646" s="1" t="inlineStr">
        <is>
          <t>Mapesil AC Caribbean 137 310ml</t>
        </is>
      </c>
      <c r="D646" s="1" t="n">
        <v>8.49</v>
      </c>
      <c r="E646" s="1" t="inlineStr">
        <is>
          <t>-</t>
        </is>
      </c>
      <c r="F646" s="1" t="inlineStr">
        <is>
          <t>Qty</t>
        </is>
      </c>
      <c r="G646" s="1" t="inlineStr">
        <is>
          <t>-</t>
        </is>
      </c>
      <c r="H646" s="1" t="inlineStr">
        <is>
          <t>-</t>
        </is>
      </c>
      <c r="I646" t="n">
        <v>17</v>
      </c>
    </row>
    <row r="647">
      <c r="A647" s="1">
        <f>Hyperlink("https://www.tilemountain.co.uk/p/mapesil-ac-cement-grey-113-silicone-sealant-310ml.html","Product")</f>
        <v/>
      </c>
      <c r="B647" s="1" t="inlineStr">
        <is>
          <t>4811391</t>
        </is>
      </c>
      <c r="C647" s="1" t="inlineStr">
        <is>
          <t>Mapesil AC Cement Grey 113 Silicone Sealant 310ml</t>
        </is>
      </c>
      <c r="D647" s="1" t="n">
        <v>8.49</v>
      </c>
      <c r="E647" s="1" t="inlineStr">
        <is>
          <t>-</t>
        </is>
      </c>
      <c r="F647" s="1" t="inlineStr">
        <is>
          <t>Qty</t>
        </is>
      </c>
      <c r="G647" s="1" t="inlineStr">
        <is>
          <t>-</t>
        </is>
      </c>
      <c r="H647" s="1" t="inlineStr">
        <is>
          <t>-</t>
        </is>
      </c>
      <c r="I647" t="n">
        <v>21</v>
      </c>
    </row>
    <row r="648">
      <c r="A648" s="1">
        <f>Hyperlink("https://www.tilemountain.co.uk/p/mapesil-ac-clear-silicone-sealant-310ml.html","Product")</f>
        <v/>
      </c>
      <c r="B648" s="1" t="inlineStr">
        <is>
          <t>4811492</t>
        </is>
      </c>
      <c r="C648" s="1" t="inlineStr">
        <is>
          <t>Mapesil AC Clear Silicone Sealant 310ml</t>
        </is>
      </c>
      <c r="D648" s="1" t="n">
        <v>8.49</v>
      </c>
      <c r="E648" s="1" t="inlineStr">
        <is>
          <t>-</t>
        </is>
      </c>
      <c r="F648" s="1" t="inlineStr">
        <is>
          <t>Qty</t>
        </is>
      </c>
      <c r="G648" s="1" t="inlineStr">
        <is>
          <t>-</t>
        </is>
      </c>
      <c r="H648" s="1" t="inlineStr">
        <is>
          <t>-</t>
        </is>
      </c>
      <c r="I648" t="n">
        <v>15</v>
      </c>
    </row>
    <row r="649">
      <c r="A649" s="1">
        <f>Hyperlink("https://www.tilemountain.co.uk/p/mapesil-ac-jasmine-130-silicone-sealant-310ml.html","Product")</f>
        <v/>
      </c>
      <c r="B649" s="1" t="inlineStr">
        <is>
          <t>4813091</t>
        </is>
      </c>
      <c r="C649" s="1" t="inlineStr">
        <is>
          <t>Mapesil AC Jasmine 130 Silicone Sealant 310ml</t>
        </is>
      </c>
      <c r="D649" s="1" t="n">
        <v>8.49</v>
      </c>
      <c r="E649" s="1" t="inlineStr">
        <is>
          <t>-</t>
        </is>
      </c>
      <c r="F649" s="1" t="inlineStr">
        <is>
          <t>Qty</t>
        </is>
      </c>
      <c r="G649" s="1" t="inlineStr">
        <is>
          <t>-</t>
        </is>
      </c>
      <c r="H649" s="1" t="inlineStr">
        <is>
          <t>-</t>
        </is>
      </c>
      <c r="I649" t="n">
        <v>44</v>
      </c>
    </row>
    <row r="650">
      <c r="A650" s="1">
        <f>Hyperlink("https://www.tilemountain.co.uk/p/mapesil-ac-limestone-299-310ml.html","Product")</f>
        <v/>
      </c>
      <c r="B650" s="1" t="inlineStr">
        <is>
          <t>4829991IT</t>
        </is>
      </c>
      <c r="C650" s="1" t="inlineStr">
        <is>
          <t>Mapesil AC Limestone 299 310ml</t>
        </is>
      </c>
      <c r="D650" s="1" t="n">
        <v>8.49</v>
      </c>
      <c r="E650" s="1" t="inlineStr">
        <is>
          <t>-</t>
        </is>
      </c>
      <c r="F650" s="1" t="inlineStr">
        <is>
          <t>Qty</t>
        </is>
      </c>
      <c r="G650" s="1" t="inlineStr">
        <is>
          <t>-</t>
        </is>
      </c>
      <c r="H650" s="1" t="inlineStr">
        <is>
          <t>-</t>
        </is>
      </c>
      <c r="I650" t="inlineStr">
        <is>
          <t>In Stock</t>
        </is>
      </c>
    </row>
    <row r="651">
      <c r="A651" s="1">
        <f>Hyperlink("https://www.tilemountain.co.uk/p/mapesil-ac-london-grey-119-310ml.html","Product")</f>
        <v/>
      </c>
      <c r="B651" s="1" t="inlineStr">
        <is>
          <t>4811991IT</t>
        </is>
      </c>
      <c r="C651" s="1" t="inlineStr">
        <is>
          <t>Mapesil AC London Grey 119 310ml</t>
        </is>
      </c>
      <c r="D651" s="1" t="n">
        <v>8.49</v>
      </c>
      <c r="E651" s="1" t="inlineStr">
        <is>
          <t>-</t>
        </is>
      </c>
      <c r="F651" s="1" t="inlineStr">
        <is>
          <t>Qty</t>
        </is>
      </c>
      <c r="G651" s="1" t="inlineStr">
        <is>
          <t>-</t>
        </is>
      </c>
      <c r="H651" s="1" t="inlineStr">
        <is>
          <t>-</t>
        </is>
      </c>
      <c r="I651" t="inlineStr">
        <is>
          <t>More Stock due 24/11/21</t>
        </is>
      </c>
    </row>
    <row r="652">
      <c r="A652" s="1">
        <f>Hyperlink("https://www.tilemountain.co.uk/p/mapesil-ac-manhattan-110-silicone-sealant-310ml.html","Product")</f>
        <v/>
      </c>
      <c r="B652" s="1" t="inlineStr">
        <is>
          <t>4811091</t>
        </is>
      </c>
      <c r="C652" s="1" t="inlineStr">
        <is>
          <t>Mapesil AC Manhattan 110 Silicone Sealant 310ml</t>
        </is>
      </c>
      <c r="D652" s="1" t="n">
        <v>8.49</v>
      </c>
      <c r="E652" s="1" t="inlineStr">
        <is>
          <t>-</t>
        </is>
      </c>
      <c r="F652" s="1" t="inlineStr">
        <is>
          <t>Qty</t>
        </is>
      </c>
      <c r="G652" s="1" t="inlineStr">
        <is>
          <t>-</t>
        </is>
      </c>
      <c r="H652" s="1" t="inlineStr">
        <is>
          <t>-</t>
        </is>
      </c>
      <c r="I652" t="n">
        <v>60</v>
      </c>
    </row>
    <row r="653">
      <c r="A653" s="1">
        <f>Hyperlink("https://www.tilemountain.co.uk/p/mapesil-ac-medium-grey-112-silicone-sealant-310ml.html","Product")</f>
        <v/>
      </c>
      <c r="B653" s="1" t="inlineStr">
        <is>
          <t>4811291</t>
        </is>
      </c>
      <c r="C653" s="1" t="inlineStr">
        <is>
          <t>Mapesil AC Medium Grey 112 Silicone Sealant 310ml</t>
        </is>
      </c>
      <c r="D653" s="1" t="n">
        <v>8.49</v>
      </c>
      <c r="E653" s="1" t="inlineStr">
        <is>
          <t>-</t>
        </is>
      </c>
      <c r="F653" s="1" t="inlineStr">
        <is>
          <t>Qty</t>
        </is>
      </c>
      <c r="G653" s="1" t="inlineStr">
        <is>
          <t>-</t>
        </is>
      </c>
      <c r="H653" s="1" t="inlineStr">
        <is>
          <t>-</t>
        </is>
      </c>
      <c r="I653" t="n">
        <v>42</v>
      </c>
    </row>
    <row r="654">
      <c r="A654" s="1">
        <f>Hyperlink("https://www.tilemountain.co.uk/p/mapesil-ac-mud-136-310ml.html","Product")</f>
        <v/>
      </c>
      <c r="B654" s="1" t="inlineStr">
        <is>
          <t>4813691IT</t>
        </is>
      </c>
      <c r="C654" s="1" t="inlineStr">
        <is>
          <t>Mapesil AC Mud 136 310ml</t>
        </is>
      </c>
      <c r="D654" s="1" t="n">
        <v>8.49</v>
      </c>
      <c r="E654" s="1" t="inlineStr">
        <is>
          <t>-</t>
        </is>
      </c>
      <c r="F654" s="1" t="inlineStr">
        <is>
          <t>Qty</t>
        </is>
      </c>
      <c r="G654" s="1" t="inlineStr">
        <is>
          <t>-</t>
        </is>
      </c>
      <c r="H654" s="1" t="inlineStr">
        <is>
          <t>-</t>
        </is>
      </c>
      <c r="I654" t="inlineStr">
        <is>
          <t>In Stock</t>
        </is>
      </c>
    </row>
    <row r="655">
      <c r="A655" s="1">
        <f>Hyperlink("https://www.tilemountain.co.uk/p/mapesil-ac-pearl-321-310ml.html","Product")</f>
        <v/>
      </c>
      <c r="B655" s="1" t="inlineStr">
        <is>
          <t>4832191IT</t>
        </is>
      </c>
      <c r="C655" s="1" t="inlineStr">
        <is>
          <t>Mapesil AC Pearl 321 310ml</t>
        </is>
      </c>
      <c r="D655" s="1" t="n">
        <v>8.49</v>
      </c>
      <c r="E655" s="1" t="inlineStr">
        <is>
          <t>-</t>
        </is>
      </c>
      <c r="F655" s="1" t="inlineStr">
        <is>
          <t>Qty</t>
        </is>
      </c>
      <c r="G655" s="1" t="inlineStr">
        <is>
          <t>-</t>
        </is>
      </c>
      <c r="H655" s="1" t="inlineStr">
        <is>
          <t>-</t>
        </is>
      </c>
      <c r="I655" t="inlineStr">
        <is>
          <t>In Stock</t>
        </is>
      </c>
    </row>
    <row r="656">
      <c r="A656" s="1">
        <f>Hyperlink("https://www.tilemountain.co.uk/p/mapesil-ac-river-grey-110-310ml.html","Product")</f>
        <v/>
      </c>
      <c r="B656" s="1" t="inlineStr">
        <is>
          <t>4811591IT</t>
        </is>
      </c>
      <c r="C656" s="1" t="inlineStr">
        <is>
          <t>Mapesil AC River Grey 115 310ml</t>
        </is>
      </c>
      <c r="D656" s="1" t="n">
        <v>8.49</v>
      </c>
      <c r="E656" s="1" t="inlineStr">
        <is>
          <t>-</t>
        </is>
      </c>
      <c r="F656" s="1" t="inlineStr">
        <is>
          <t>Qty</t>
        </is>
      </c>
      <c r="G656" s="1" t="inlineStr">
        <is>
          <t>-</t>
        </is>
      </c>
      <c r="H656" s="1" t="inlineStr">
        <is>
          <t>-</t>
        </is>
      </c>
      <c r="I656" t="n">
        <v>13</v>
      </c>
    </row>
    <row r="657">
      <c r="A657" s="1">
        <f>Hyperlink("https://www.tilemountain.co.uk/p/mapesil-ac-sand-133-310ml.html","Product")</f>
        <v/>
      </c>
      <c r="B657" s="1" t="inlineStr">
        <is>
          <t>4813391IT</t>
        </is>
      </c>
      <c r="C657" s="1" t="inlineStr">
        <is>
          <t>Mapesil AC Sand 133 310ml</t>
        </is>
      </c>
      <c r="D657" s="1" t="n">
        <v>8.49</v>
      </c>
      <c r="E657" s="1" t="inlineStr">
        <is>
          <t>-</t>
        </is>
      </c>
      <c r="F657" s="1" t="inlineStr">
        <is>
          <t>Qty</t>
        </is>
      </c>
      <c r="G657" s="1" t="inlineStr">
        <is>
          <t>-</t>
        </is>
      </c>
      <c r="H657" s="1" t="inlineStr">
        <is>
          <t>-</t>
        </is>
      </c>
      <c r="I657" t="inlineStr">
        <is>
          <t>In Stock</t>
        </is>
      </c>
    </row>
    <row r="658">
      <c r="A658" s="1">
        <f>Hyperlink("https://www.tilemountain.co.uk/p/mapesil-ac-silver-grey-111-silicone-sealant-310ml.html","Product")</f>
        <v/>
      </c>
      <c r="B658" s="1" t="inlineStr">
        <is>
          <t>4811191</t>
        </is>
      </c>
      <c r="C658" s="1" t="inlineStr">
        <is>
          <t>Mapesil AC Silver Grey 111 Silicone Sealant 310ml</t>
        </is>
      </c>
      <c r="D658" s="1" t="n">
        <v>8.49</v>
      </c>
      <c r="E658" s="1" t="inlineStr">
        <is>
          <t>-</t>
        </is>
      </c>
      <c r="F658" s="1" t="inlineStr">
        <is>
          <t>Qty</t>
        </is>
      </c>
      <c r="G658" s="1" t="inlineStr">
        <is>
          <t>-</t>
        </is>
      </c>
      <c r="H658" s="1" t="inlineStr">
        <is>
          <t>-</t>
        </is>
      </c>
      <c r="I658" t="n">
        <v>29</v>
      </c>
    </row>
    <row r="659">
      <c r="A659" s="1">
        <f>Hyperlink("https://www.tilemountain.co.uk/p/mapesil-ac-white-100-silicone-sealant-310ml.html","Product")</f>
        <v/>
      </c>
      <c r="B659" s="1" t="inlineStr">
        <is>
          <t>4810091</t>
        </is>
      </c>
      <c r="C659" s="1" t="inlineStr">
        <is>
          <t>Mapesil AC White 100 Silicone Sealant 310ml</t>
        </is>
      </c>
      <c r="D659" s="1" t="n">
        <v>8.49</v>
      </c>
      <c r="E659" s="1" t="inlineStr">
        <is>
          <t>-</t>
        </is>
      </c>
      <c r="F659" s="1" t="inlineStr">
        <is>
          <t>Qty</t>
        </is>
      </c>
      <c r="G659" s="1" t="inlineStr">
        <is>
          <t>-</t>
        </is>
      </c>
      <c r="H659" s="1" t="inlineStr">
        <is>
          <t>-</t>
        </is>
      </c>
      <c r="I659" t="n">
        <v>31</v>
      </c>
    </row>
    <row r="660">
      <c r="A660" s="1">
        <f>Hyperlink("https://www.tilemountain.co.uk/p/mapesil-moon-white-silicone-sealant-310ml.html","Product")</f>
        <v/>
      </c>
      <c r="B660" s="1" t="inlineStr">
        <is>
          <t>4810391</t>
        </is>
      </c>
      <c r="C660" s="1" t="inlineStr">
        <is>
          <t>Mapesil AC Moon White Silicone Sealant 310ml</t>
        </is>
      </c>
      <c r="D660" s="1" t="n">
        <v>8.49</v>
      </c>
      <c r="E660" s="1" t="inlineStr">
        <is>
          <t>-</t>
        </is>
      </c>
      <c r="F660" s="1" t="inlineStr">
        <is>
          <t>Qty</t>
        </is>
      </c>
      <c r="G660" s="1" t="inlineStr">
        <is>
          <t>-</t>
        </is>
      </c>
      <c r="H660" s="1" t="inlineStr">
        <is>
          <t>-</t>
        </is>
      </c>
      <c r="I660" t="n">
        <v>22</v>
      </c>
    </row>
    <row r="661">
      <c r="A661" s="1">
        <f>Hyperlink("https://www.tilemountain.co.uk/p/mapestik-ready-mix-adhesive-15kg-pallet-deal-48-tubs.html","Product")</f>
        <v/>
      </c>
      <c r="B661" s="1" t="inlineStr">
        <is>
          <t>011615-pd</t>
        </is>
      </c>
      <c r="C661" s="1" t="inlineStr">
        <is>
          <t>Mapestik Ready Mix Adhesive 15kg Pallet Deal- 48 Tubs</t>
        </is>
      </c>
      <c r="D661" s="1" t="n">
        <v>399.99</v>
      </c>
      <c r="E661" s="1" t="inlineStr">
        <is>
          <t>PALLET</t>
        </is>
      </c>
      <c r="F661" s="1" t="inlineStr">
        <is>
          <t>Qty</t>
        </is>
      </c>
      <c r="G661" s="1" t="inlineStr">
        <is>
          <t>-</t>
        </is>
      </c>
      <c r="H661" s="1" t="inlineStr">
        <is>
          <t>-</t>
        </is>
      </c>
      <c r="I661" t="inlineStr">
        <is>
          <t>In Stock</t>
        </is>
      </c>
    </row>
    <row r="662">
      <c r="A662" s="1">
        <f>Hyperlink("https://www.tilemountain.co.uk/p/mapestik-ready-mix-adhesive-15kg.html","Product")</f>
        <v/>
      </c>
      <c r="B662" s="1" t="inlineStr">
        <is>
          <t>011915</t>
        </is>
      </c>
      <c r="C662" s="1" t="inlineStr">
        <is>
          <t>Mapestik Ready Mix Adhesive 15KG</t>
        </is>
      </c>
      <c r="D662" s="1" t="n">
        <v>12.99</v>
      </c>
      <c r="E662" s="1" t="inlineStr">
        <is>
          <t>-</t>
        </is>
      </c>
      <c r="F662" s="1" t="inlineStr">
        <is>
          <t>Qty</t>
        </is>
      </c>
      <c r="G662" s="1" t="inlineStr">
        <is>
          <t>-</t>
        </is>
      </c>
      <c r="H662" s="1" t="inlineStr">
        <is>
          <t>-</t>
        </is>
      </c>
      <c r="I662" t="n">
        <v>36</v>
      </c>
    </row>
    <row r="663">
      <c r="A663" s="1">
        <f>Hyperlink("https://www.tilemountain.co.uk/p/mapetex-1m-length.html","Product")</f>
        <v/>
      </c>
      <c r="B663" s="1" t="inlineStr">
        <is>
          <t>437880</t>
        </is>
      </c>
      <c r="C663" s="1" t="inlineStr">
        <is>
          <t>Mapetex Membrane 1m Roll</t>
        </is>
      </c>
      <c r="D663" s="1" t="n">
        <v>6.49</v>
      </c>
      <c r="E663" s="1" t="inlineStr">
        <is>
          <t>-</t>
        </is>
      </c>
      <c r="F663" s="1" t="inlineStr">
        <is>
          <t>Qty</t>
        </is>
      </c>
      <c r="G663" s="1" t="inlineStr">
        <is>
          <t>-</t>
        </is>
      </c>
      <c r="H663" s="1" t="inlineStr">
        <is>
          <t>-</t>
        </is>
      </c>
      <c r="I663" t="n">
        <v>42</v>
      </c>
    </row>
    <row r="664">
      <c r="A664" s="1">
        <f>Hyperlink("https://www.tilemountain.co.uk/p/mapetex-1m-x-5m.html","Product")</f>
        <v/>
      </c>
      <c r="B664" s="1" t="inlineStr">
        <is>
          <t>281155</t>
        </is>
      </c>
      <c r="C664" s="1" t="inlineStr">
        <is>
          <t>Mapetex Membrane 50m Roll</t>
        </is>
      </c>
      <c r="D664" s="1" t="n">
        <v>289.99</v>
      </c>
      <c r="E664" s="1" t="inlineStr">
        <is>
          <t>-</t>
        </is>
      </c>
      <c r="F664" s="1" t="inlineStr">
        <is>
          <t>Qty</t>
        </is>
      </c>
      <c r="G664" s="1" t="inlineStr">
        <is>
          <t>-</t>
        </is>
      </c>
      <c r="H664" s="1" t="inlineStr">
        <is>
          <t>-</t>
        </is>
      </c>
      <c r="I664" t="inlineStr">
        <is>
          <t>In Stock</t>
        </is>
      </c>
    </row>
    <row r="665">
      <c r="A665" s="1">
        <f>Hyperlink("https://www.tilemountain.co.uk/p/marble-stone-calacatta-outdoor-slab-tile.html","Product")</f>
        <v/>
      </c>
      <c r="B665" s="1" t="inlineStr">
        <is>
          <t>444360</t>
        </is>
      </c>
      <c r="C665" s="1" t="inlineStr">
        <is>
          <t>Marble Stone Calacatta Outdoor Slab Tiles</t>
        </is>
      </c>
      <c r="D665" s="1" t="n">
        <v>39.99</v>
      </c>
      <c r="E665" s="1" t="inlineStr">
        <is>
          <t>600x600mm</t>
        </is>
      </c>
      <c r="F665" s="1" t="inlineStr">
        <is>
          <t>m2</t>
        </is>
      </c>
      <c r="G665" s="1" t="inlineStr">
        <is>
          <t>Porcelain</t>
        </is>
      </c>
      <c r="H665" s="1" t="inlineStr">
        <is>
          <t>Matt</t>
        </is>
      </c>
      <c r="I665" t="n">
        <v>194</v>
      </c>
    </row>
    <row r="666">
      <c r="A666" s="1">
        <f>Hyperlink("https://www.tilemountain.co.uk/p/marble-stone-lava-outdoor-slab-tile.html","Product")</f>
        <v/>
      </c>
      <c r="B666" s="1" t="inlineStr">
        <is>
          <t>444365</t>
        </is>
      </c>
      <c r="C666" s="1" t="inlineStr">
        <is>
          <t>Lava Outdoor Slab Tiles</t>
        </is>
      </c>
      <c r="D666" s="1" t="n">
        <v>39.99</v>
      </c>
      <c r="E666" s="1" t="inlineStr">
        <is>
          <t>600x600mm</t>
        </is>
      </c>
      <c r="F666" s="1" t="inlineStr">
        <is>
          <t>m2</t>
        </is>
      </c>
      <c r="G666" s="1" t="inlineStr">
        <is>
          <t>Porcelain</t>
        </is>
      </c>
      <c r="H666" s="1" t="inlineStr">
        <is>
          <t>Matt</t>
        </is>
      </c>
      <c r="I666" t="inlineStr">
        <is>
          <t>More Stock due 18/10/21</t>
        </is>
      </c>
    </row>
    <row r="667">
      <c r="A667" s="1">
        <f>Hyperlink("https://www.tilemountain.co.uk/p/marmy-grey-polished-porcelain.html","Product")</f>
        <v/>
      </c>
      <c r="B667" s="1" t="inlineStr">
        <is>
          <t>442805</t>
        </is>
      </c>
      <c r="C667" s="1" t="inlineStr">
        <is>
          <t>Marmy Grey Polished Marble Effect Porcelain Floor Tile</t>
        </is>
      </c>
      <c r="D667" s="1" t="n">
        <v>21.99</v>
      </c>
      <c r="E667" s="1" t="inlineStr">
        <is>
          <t>800x800mm</t>
        </is>
      </c>
      <c r="F667" s="1" t="inlineStr">
        <is>
          <t>m2</t>
        </is>
      </c>
      <c r="G667" s="1" t="inlineStr">
        <is>
          <t>Glazed Porcelain</t>
        </is>
      </c>
      <c r="H667" s="1" t="inlineStr">
        <is>
          <t>Gloss</t>
        </is>
      </c>
      <c r="I667" t="n">
        <v>2901</v>
      </c>
    </row>
    <row r="668">
      <c r="A668" s="1">
        <f>Hyperlink("https://www.tilemountain.co.uk/p/martele-negro-brillo-100x200.html","Product")</f>
        <v/>
      </c>
      <c r="B668" s="1" t="inlineStr">
        <is>
          <t>449620</t>
        </is>
      </c>
      <c r="C668" s="1" t="inlineStr">
        <is>
          <t>Martele Black Brillo Wall Tiles</t>
        </is>
      </c>
      <c r="D668" s="1" t="n">
        <v>12</v>
      </c>
      <c r="E668" s="1" t="inlineStr">
        <is>
          <t>200x100mm</t>
        </is>
      </c>
      <c r="F668" s="1" t="inlineStr">
        <is>
          <t>m2</t>
        </is>
      </c>
      <c r="G668" s="1" t="inlineStr">
        <is>
          <t>Ceramic</t>
        </is>
      </c>
      <c r="H668" s="1" t="inlineStr">
        <is>
          <t>Gloss</t>
        </is>
      </c>
      <c r="I668" t="n">
        <v>27</v>
      </c>
    </row>
    <row r="669">
      <c r="A669" s="1">
        <f>Hyperlink("https://www.tilemountain.co.uk/p/martele-piedra-brillo-100x200.html","Product")</f>
        <v/>
      </c>
      <c r="B669" s="1" t="inlineStr">
        <is>
          <t>449575</t>
        </is>
      </c>
      <c r="C669" s="1" t="inlineStr">
        <is>
          <t>Martele Piedra Brillo Gloss Wall Tiles</t>
        </is>
      </c>
      <c r="D669" s="1" t="n">
        <v>12</v>
      </c>
      <c r="E669" s="1" t="inlineStr">
        <is>
          <t>200x100mm</t>
        </is>
      </c>
      <c r="F669" s="1" t="inlineStr">
        <is>
          <t>m2</t>
        </is>
      </c>
      <c r="G669" s="1" t="inlineStr">
        <is>
          <t>Ceramic</t>
        </is>
      </c>
      <c r="H669" s="1" t="inlineStr">
        <is>
          <t>Gloss</t>
        </is>
      </c>
      <c r="I669" t="n">
        <v>58</v>
      </c>
    </row>
    <row r="670">
      <c r="A670" s="1">
        <f>Hyperlink("https://www.tilemountain.co.uk/p/matt-extreme-white-porcelain-floor-tile.html","Product")</f>
        <v/>
      </c>
      <c r="B670" s="1" t="inlineStr">
        <is>
          <t>435445</t>
        </is>
      </c>
      <c r="C670" s="1" t="inlineStr">
        <is>
          <t>Matt Extreme White Porcelain Floor Tiles</t>
        </is>
      </c>
      <c r="D670" s="1" t="n">
        <v>26.99</v>
      </c>
      <c r="E670" s="1" t="inlineStr">
        <is>
          <t>597x597mm</t>
        </is>
      </c>
      <c r="F670" s="1" t="inlineStr">
        <is>
          <t>m2</t>
        </is>
      </c>
      <c r="G670" s="1" t="inlineStr">
        <is>
          <t>Glazed Porcelain</t>
        </is>
      </c>
      <c r="H670" s="1" t="inlineStr">
        <is>
          <t>Matt</t>
        </is>
      </c>
      <c r="I670" t="n">
        <v>440</v>
      </c>
    </row>
    <row r="671">
      <c r="A671" s="1">
        <f>Hyperlink("https://www.tilemountain.co.uk/p/maverick-anthracite-outdoor-slab-tile.html","Product")</f>
        <v/>
      </c>
      <c r="B671" s="1" t="inlineStr">
        <is>
          <t>446485</t>
        </is>
      </c>
      <c r="C671" s="1" t="inlineStr">
        <is>
          <t>Maverick Anthracite Outdoor Slab Tiles</t>
        </is>
      </c>
      <c r="D671" s="1" t="n">
        <v>25.99</v>
      </c>
      <c r="E671" s="1" t="inlineStr">
        <is>
          <t>595x595mm</t>
        </is>
      </c>
      <c r="F671" s="1" t="inlineStr">
        <is>
          <t>m2</t>
        </is>
      </c>
      <c r="G671" s="1" t="inlineStr">
        <is>
          <t>Porcelain</t>
        </is>
      </c>
      <c r="H671" s="1" t="inlineStr">
        <is>
          <t>Matt</t>
        </is>
      </c>
      <c r="I671" t="n">
        <v>798</v>
      </c>
    </row>
    <row r="672">
      <c r="A672" s="1">
        <f>Hyperlink("https://www.tilemountain.co.uk/p/maverick-bone-outdoor-slab-tile.html","Product")</f>
        <v/>
      </c>
      <c r="B672" s="1" t="inlineStr">
        <is>
          <t>454495</t>
        </is>
      </c>
      <c r="C672" s="1" t="inlineStr">
        <is>
          <t>Maverick Bone Outdoor Slab</t>
        </is>
      </c>
      <c r="D672" s="1" t="n">
        <v>25.99</v>
      </c>
      <c r="E672" s="1" t="inlineStr">
        <is>
          <t>595x595mm</t>
        </is>
      </c>
      <c r="F672" s="1" t="inlineStr">
        <is>
          <t>m2</t>
        </is>
      </c>
      <c r="G672" s="1" t="inlineStr">
        <is>
          <t>Porcelain</t>
        </is>
      </c>
      <c r="H672" s="1" t="inlineStr">
        <is>
          <t>Matt</t>
        </is>
      </c>
      <c r="I672" t="n">
        <v>459</v>
      </c>
    </row>
    <row r="673">
      <c r="A673" s="1">
        <f>Hyperlink("https://www.tilemountain.co.uk/p/maverick-grey-outdoor-slab-tile.html","Product")</f>
        <v/>
      </c>
      <c r="B673" s="1" t="inlineStr">
        <is>
          <t>446480</t>
        </is>
      </c>
      <c r="C673" s="1" t="inlineStr">
        <is>
          <t>Maverick Grey Outdoor Slab Tiles</t>
        </is>
      </c>
      <c r="D673" s="1" t="n">
        <v>25.99</v>
      </c>
      <c r="E673" s="1" t="inlineStr">
        <is>
          <t>595x595mm</t>
        </is>
      </c>
      <c r="F673" s="1" t="inlineStr">
        <is>
          <t>m2</t>
        </is>
      </c>
      <c r="G673" s="1" t="inlineStr">
        <is>
          <t>Porcelain</t>
        </is>
      </c>
      <c r="H673" s="1" t="inlineStr">
        <is>
          <t>Matt</t>
        </is>
      </c>
      <c r="I673" t="n">
        <v>243</v>
      </c>
    </row>
    <row r="674">
      <c r="A674" s="1">
        <f>Hyperlink("https://www.tilemountain.co.uk/p/melia-pressed-grey-porcelain-floor-tile_1.html","Product")</f>
        <v/>
      </c>
      <c r="B674" s="1" t="inlineStr">
        <is>
          <t>448710</t>
        </is>
      </c>
      <c r="C674" s="1" t="inlineStr">
        <is>
          <t>Melia Pressed Grey Porcelain Floor Tile</t>
        </is>
      </c>
      <c r="D674" s="1" t="n">
        <v>13.99</v>
      </c>
      <c r="E674" s="1" t="inlineStr">
        <is>
          <t>605x605mm</t>
        </is>
      </c>
      <c r="F674" s="1" t="inlineStr">
        <is>
          <t>m2</t>
        </is>
      </c>
      <c r="G674" s="1" t="inlineStr">
        <is>
          <t>Porcelain</t>
        </is>
      </c>
      <c r="H674" s="1" t="inlineStr">
        <is>
          <t>Polished</t>
        </is>
      </c>
      <c r="I674" t="n">
        <v>143</v>
      </c>
    </row>
    <row r="675">
      <c r="A675" s="1">
        <f>Hyperlink("https://www.tilemountain.co.uk/p/melia-pressed-light-grey-porcelain-floor-tile_1.html","Product")</f>
        <v/>
      </c>
      <c r="B675" s="1" t="inlineStr">
        <is>
          <t>448705</t>
        </is>
      </c>
      <c r="C675" s="1" t="inlineStr">
        <is>
          <t>Melia Pressed Light Grey Porcelain Floor Tile</t>
        </is>
      </c>
      <c r="D675" s="1" t="n">
        <v>13.99</v>
      </c>
      <c r="E675" s="1" t="inlineStr">
        <is>
          <t>605x605mm</t>
        </is>
      </c>
      <c r="F675" s="1" t="inlineStr">
        <is>
          <t>m2</t>
        </is>
      </c>
      <c r="G675" s="1" t="inlineStr">
        <is>
          <t>Porcelain</t>
        </is>
      </c>
      <c r="H675" s="1" t="inlineStr">
        <is>
          <t>Polished</t>
        </is>
      </c>
      <c r="I675" t="n">
        <v>493</v>
      </c>
    </row>
    <row r="676">
      <c r="A676" s="1">
        <f>Hyperlink("https://www.tilemountain.co.uk/p/metal-iron-rect-porcelain-floor-tile.html","Product")</f>
        <v/>
      </c>
      <c r="B676" s="1" t="inlineStr">
        <is>
          <t>448480</t>
        </is>
      </c>
      <c r="C676" s="1" t="inlineStr">
        <is>
          <t>Metal Iron Rect Porcelain Floor Tile</t>
        </is>
      </c>
      <c r="D676" s="1" t="n">
        <v>17.99</v>
      </c>
      <c r="E676" s="1" t="inlineStr">
        <is>
          <t>600x600mm</t>
        </is>
      </c>
      <c r="F676" s="1" t="inlineStr">
        <is>
          <t>m2</t>
        </is>
      </c>
      <c r="G676" s="1" t="inlineStr">
        <is>
          <t>Porcelain</t>
        </is>
      </c>
      <c r="H676" s="1" t="inlineStr">
        <is>
          <t>Matt</t>
        </is>
      </c>
      <c r="I676" t="n">
        <v>112</v>
      </c>
    </row>
    <row r="677">
      <c r="A677" s="1">
        <f>Hyperlink("https://www.tilemountain.co.uk/p/metal-iron-rect-porcelain-mosaic.html","Product")</f>
        <v/>
      </c>
      <c r="B677" s="1" t="inlineStr">
        <is>
          <t>448620</t>
        </is>
      </c>
      <c r="C677" s="1" t="inlineStr">
        <is>
          <t>Metal Iron Rect Porcelain Mosaic</t>
        </is>
      </c>
      <c r="D677" s="1" t="n">
        <v>9</v>
      </c>
      <c r="E677" s="1" t="inlineStr">
        <is>
          <t>300x300mm</t>
        </is>
      </c>
      <c r="F677" s="1" t="inlineStr">
        <is>
          <t>sheet</t>
        </is>
      </c>
      <c r="G677" s="1" t="inlineStr">
        <is>
          <t>Porcelain</t>
        </is>
      </c>
      <c r="H677" s="1" t="inlineStr">
        <is>
          <t>Matt</t>
        </is>
      </c>
      <c r="I677" t="n">
        <v>82</v>
      </c>
    </row>
    <row r="678">
      <c r="A678" s="1">
        <f>Hyperlink("https://www.tilemountain.co.uk/p/metal-iron-rect-porcelain-wall-and-floor-tile.html","Product")</f>
        <v/>
      </c>
      <c r="B678" s="1" t="inlineStr">
        <is>
          <t>448465</t>
        </is>
      </c>
      <c r="C678" s="1" t="inlineStr">
        <is>
          <t>Metal Iron Rect Porcelain Wall And Floor Tile</t>
        </is>
      </c>
      <c r="D678" s="1" t="n">
        <v>18.99</v>
      </c>
      <c r="E678" s="1" t="inlineStr">
        <is>
          <t>600x300mm</t>
        </is>
      </c>
      <c r="F678" s="1" t="inlineStr">
        <is>
          <t>m2</t>
        </is>
      </c>
      <c r="G678" s="1" t="inlineStr">
        <is>
          <t>Porcelain</t>
        </is>
      </c>
      <c r="H678" s="1" t="inlineStr">
        <is>
          <t>Matt</t>
        </is>
      </c>
      <c r="I678" t="n">
        <v>389</v>
      </c>
    </row>
    <row r="679">
      <c r="A679" s="1">
        <f>Hyperlink("https://www.tilemountain.co.uk/p/metal-rust-rect-porcelain-mosaic.html","Product")</f>
        <v/>
      </c>
      <c r="B679" s="1" t="inlineStr">
        <is>
          <t>448625</t>
        </is>
      </c>
      <c r="C679" s="1" t="inlineStr">
        <is>
          <t>Metal Rust Rect Porcelain Mosaic</t>
        </is>
      </c>
      <c r="D679" s="1" t="n">
        <v>9</v>
      </c>
      <c r="E679" s="1" t="inlineStr">
        <is>
          <t>300x300mm</t>
        </is>
      </c>
      <c r="F679" s="1" t="inlineStr">
        <is>
          <t>sheet</t>
        </is>
      </c>
      <c r="G679" s="1" t="inlineStr">
        <is>
          <t>Porcelain</t>
        </is>
      </c>
      <c r="H679" s="1" t="inlineStr">
        <is>
          <t>Matt</t>
        </is>
      </c>
      <c r="I679" t="n">
        <v>85</v>
      </c>
    </row>
    <row r="680">
      <c r="A680" s="1">
        <f>Hyperlink("https://www.tilemountain.co.uk/p/metal-rust-rect-porcelain-wall-and-floor-tile.html","Product")</f>
        <v/>
      </c>
      <c r="B680" s="1" t="inlineStr">
        <is>
          <t>448460</t>
        </is>
      </c>
      <c r="C680" s="1" t="inlineStr">
        <is>
          <t>Metal Rust Rect Porcelain Wall And Floor Tile</t>
        </is>
      </c>
      <c r="D680" s="1" t="n">
        <v>18.99</v>
      </c>
      <c r="E680" s="1" t="inlineStr">
        <is>
          <t>600x300mm</t>
        </is>
      </c>
      <c r="F680" s="1" t="inlineStr">
        <is>
          <t>m2</t>
        </is>
      </c>
      <c r="G680" s="1" t="inlineStr">
        <is>
          <t>Porcelain</t>
        </is>
      </c>
      <c r="H680" s="1" t="inlineStr">
        <is>
          <t>Matt</t>
        </is>
      </c>
      <c r="I680" t="inlineStr">
        <is>
          <t>More Stock due 29/10/21</t>
        </is>
      </c>
    </row>
    <row r="681">
      <c r="A681" s="1">
        <f>Hyperlink("https://www.tilemountain.co.uk/p/metal-silver-rect-porcelain-floor-tile.html","Product")</f>
        <v/>
      </c>
      <c r="B681" s="1" t="inlineStr">
        <is>
          <t>448485</t>
        </is>
      </c>
      <c r="C681" s="1" t="inlineStr">
        <is>
          <t>Metal Silver Rect Porcelain Floor Tile</t>
        </is>
      </c>
      <c r="D681" s="1" t="n">
        <v>17.99</v>
      </c>
      <c r="E681" s="1" t="inlineStr">
        <is>
          <t>600x600mm</t>
        </is>
      </c>
      <c r="F681" s="1" t="inlineStr">
        <is>
          <t>m2</t>
        </is>
      </c>
      <c r="G681" s="1" t="inlineStr">
        <is>
          <t>Porcelain</t>
        </is>
      </c>
      <c r="H681" s="1" t="inlineStr">
        <is>
          <t>Matt</t>
        </is>
      </c>
      <c r="I681" t="n">
        <v>41</v>
      </c>
    </row>
    <row r="682">
      <c r="A682" s="1">
        <f>Hyperlink("https://www.tilemountain.co.uk/p/metal-silver-rect-porcelain-mosaic.html","Product")</f>
        <v/>
      </c>
      <c r="B682" s="1" t="inlineStr">
        <is>
          <t>448615</t>
        </is>
      </c>
      <c r="C682" s="1" t="inlineStr">
        <is>
          <t>Metal Silver Rect Porcelain Mosaic</t>
        </is>
      </c>
      <c r="D682" s="1" t="n">
        <v>9</v>
      </c>
      <c r="E682" s="1" t="inlineStr">
        <is>
          <t>300x300mm</t>
        </is>
      </c>
      <c r="F682" s="1" t="inlineStr">
        <is>
          <t>sheet</t>
        </is>
      </c>
      <c r="G682" s="1" t="inlineStr">
        <is>
          <t>Porcelain</t>
        </is>
      </c>
      <c r="H682" s="1" t="inlineStr">
        <is>
          <t>Matt</t>
        </is>
      </c>
      <c r="I682" t="n">
        <v>141</v>
      </c>
    </row>
    <row r="683">
      <c r="A683" s="1">
        <f>Hyperlink("https://www.tilemountain.co.uk/p/metal-silver-rect-porcelain-wall-and-floor-tile.html","Product")</f>
        <v/>
      </c>
      <c r="B683" s="1" t="inlineStr">
        <is>
          <t>448470</t>
        </is>
      </c>
      <c r="C683" s="1" t="inlineStr">
        <is>
          <t>Metal Silver Rect Porcelain Wall And Floor Tile</t>
        </is>
      </c>
      <c r="D683" s="1" t="n">
        <v>18.99</v>
      </c>
      <c r="E683" s="1" t="inlineStr">
        <is>
          <t>600x300mm</t>
        </is>
      </c>
      <c r="F683" s="1" t="inlineStr">
        <is>
          <t>m2</t>
        </is>
      </c>
      <c r="G683" s="1" t="inlineStr">
        <is>
          <t>Porcelain</t>
        </is>
      </c>
      <c r="H683" s="1" t="inlineStr">
        <is>
          <t>Matt</t>
        </is>
      </c>
      <c r="I683" t="n">
        <v>354</v>
      </c>
    </row>
    <row r="684">
      <c r="A684" s="1">
        <f>Hyperlink("https://www.tilemountain.co.uk/p/metallic-copper-bronze-glass-mosaic.html","Product")</f>
        <v/>
      </c>
      <c r="B684" s="1" t="inlineStr">
        <is>
          <t>453720</t>
        </is>
      </c>
      <c r="C684" s="1" t="inlineStr">
        <is>
          <t>Metallic Copper Bronze Glass Mosaic</t>
        </is>
      </c>
      <c r="D684" s="1" t="n">
        <v>13.99</v>
      </c>
      <c r="E684" s="1" t="inlineStr">
        <is>
          <t>300x300mm</t>
        </is>
      </c>
      <c r="F684" s="1" t="inlineStr">
        <is>
          <t>sheet</t>
        </is>
      </c>
      <c r="G684" s="1" t="inlineStr">
        <is>
          <t>Glass</t>
        </is>
      </c>
      <c r="H684" s="1" t="inlineStr">
        <is>
          <t>Gloss</t>
        </is>
      </c>
      <c r="I684" t="n">
        <v>88</v>
      </c>
    </row>
    <row r="685">
      <c r="A685" s="1">
        <f>Hyperlink("https://www.tilemountain.co.uk/p/metallic-silver-grey-glass-mosaic.html","Product")</f>
        <v/>
      </c>
      <c r="B685" s="1" t="inlineStr">
        <is>
          <t>453725</t>
        </is>
      </c>
      <c r="C685" s="1" t="inlineStr">
        <is>
          <t>Metallic Silver Grey Glass Mosaic</t>
        </is>
      </c>
      <c r="D685" s="1" t="n">
        <v>13.99</v>
      </c>
      <c r="E685" s="1" t="inlineStr">
        <is>
          <t>300x300mm</t>
        </is>
      </c>
      <c r="F685" s="1" t="inlineStr">
        <is>
          <t>sheet</t>
        </is>
      </c>
      <c r="G685" s="1" t="inlineStr">
        <is>
          <t>Glass</t>
        </is>
      </c>
      <c r="H685" s="1" t="inlineStr">
        <is>
          <t>Gloss</t>
        </is>
      </c>
      <c r="I685" t="n">
        <v>119</v>
      </c>
    </row>
    <row r="686">
      <c r="A686" s="1">
        <f>Hyperlink("https://www.tilemountain.co.uk/p/metat-rust-rect-porcelain-floor-tile.html","Product")</f>
        <v/>
      </c>
      <c r="B686" s="1" t="inlineStr">
        <is>
          <t>448475</t>
        </is>
      </c>
      <c r="C686" s="1" t="inlineStr">
        <is>
          <t>Metal Rust Rect Porcelain Floor Tile</t>
        </is>
      </c>
      <c r="D686" s="1" t="n">
        <v>17.99</v>
      </c>
      <c r="E686" s="1" t="inlineStr">
        <is>
          <t>600x600mm</t>
        </is>
      </c>
      <c r="F686" s="1" t="inlineStr">
        <is>
          <t>m2</t>
        </is>
      </c>
      <c r="G686" s="1" t="inlineStr">
        <is>
          <t>Porcelain</t>
        </is>
      </c>
      <c r="H686" s="1" t="inlineStr">
        <is>
          <t>Matt</t>
        </is>
      </c>
      <c r="I686" t="n">
        <v>336</v>
      </c>
    </row>
    <row r="687">
      <c r="A687" s="1">
        <f>Hyperlink("https://www.tilemountain.co.uk/p/metro-aqua-wall-tile.html","Product")</f>
        <v/>
      </c>
      <c r="B687" s="1" t="inlineStr">
        <is>
          <t>440315</t>
        </is>
      </c>
      <c r="C687" s="1" t="inlineStr">
        <is>
          <t>Metro Aqua Wall Tiles</t>
        </is>
      </c>
      <c r="D687" s="1" t="n">
        <v>15.99</v>
      </c>
      <c r="E687" s="1" t="inlineStr">
        <is>
          <t>100x200mm</t>
        </is>
      </c>
      <c r="F687" s="1" t="inlineStr">
        <is>
          <t>m2</t>
        </is>
      </c>
      <c r="G687" s="1" t="inlineStr">
        <is>
          <t>Ceramic</t>
        </is>
      </c>
      <c r="H687" s="1" t="inlineStr">
        <is>
          <t>Gloss</t>
        </is>
      </c>
      <c r="I687" t="n">
        <v>75</v>
      </c>
    </row>
    <row r="688">
      <c r="A688" s="1">
        <f>Hyperlink("https://www.tilemountain.co.uk/p/metro-black-wall-tile-1614.html","Product")</f>
        <v/>
      </c>
      <c r="B688" s="1" t="inlineStr">
        <is>
          <t>14249</t>
        </is>
      </c>
      <c r="C688" s="1" t="inlineStr">
        <is>
          <t>Metro Black Wall Tiles</t>
        </is>
      </c>
      <c r="D688" s="1" t="n">
        <v>29.78</v>
      </c>
      <c r="E688" s="1" t="inlineStr">
        <is>
          <t>300x75mm</t>
        </is>
      </c>
      <c r="F688" s="1" t="inlineStr">
        <is>
          <t>m2</t>
        </is>
      </c>
      <c r="G688" s="1" t="inlineStr">
        <is>
          <t>Ceramic</t>
        </is>
      </c>
      <c r="H688" s="1" t="inlineStr">
        <is>
          <t>Gloss</t>
        </is>
      </c>
      <c r="I688" t="inlineStr">
        <is>
          <t>In Stock</t>
        </is>
      </c>
    </row>
    <row r="689">
      <c r="A689" s="1">
        <f>Hyperlink("https://www.tilemountain.co.uk/p/metro-black-wall-tile-901.html","Product")</f>
        <v/>
      </c>
      <c r="B689" s="1" t="inlineStr">
        <is>
          <t>431445</t>
        </is>
      </c>
      <c r="C689" s="1" t="inlineStr">
        <is>
          <t>Metro Black Wall Tiles</t>
        </is>
      </c>
      <c r="D689" s="1" t="n">
        <v>19.49</v>
      </c>
      <c r="E689" s="1" t="inlineStr">
        <is>
          <t>300x100mm</t>
        </is>
      </c>
      <c r="F689" s="1" t="inlineStr">
        <is>
          <t>m2</t>
        </is>
      </c>
      <c r="G689" s="1" t="inlineStr">
        <is>
          <t>Ceramic</t>
        </is>
      </c>
      <c r="H689" s="1" t="inlineStr">
        <is>
          <t>Gloss</t>
        </is>
      </c>
      <c r="I689" t="n">
        <v>116</v>
      </c>
    </row>
    <row r="690">
      <c r="A690" s="1">
        <f>Hyperlink("https://www.tilemountain.co.uk/p/metro-black-wall-tile.html","Product")</f>
        <v/>
      </c>
      <c r="B690" s="1" t="inlineStr">
        <is>
          <t>431405</t>
        </is>
      </c>
      <c r="C690" s="1" t="inlineStr">
        <is>
          <t>Metro Black Wall Tiles</t>
        </is>
      </c>
      <c r="D690" s="1" t="n">
        <v>12.99</v>
      </c>
      <c r="E690" s="1" t="inlineStr">
        <is>
          <t>200x100mm</t>
        </is>
      </c>
      <c r="F690" s="1" t="inlineStr">
        <is>
          <t>m2</t>
        </is>
      </c>
      <c r="G690" s="1" t="inlineStr">
        <is>
          <t>Ceramic</t>
        </is>
      </c>
      <c r="H690" s="1" t="inlineStr">
        <is>
          <t>Gloss</t>
        </is>
      </c>
      <c r="I690" t="n">
        <v>143</v>
      </c>
    </row>
    <row r="691">
      <c r="A691" s="1">
        <f>Hyperlink("https://www.tilemountain.co.uk/p/metro-cream-wall-tile-910.html","Product")</f>
        <v/>
      </c>
      <c r="B691" s="1" t="inlineStr">
        <is>
          <t>431400</t>
        </is>
      </c>
      <c r="C691" s="1" t="inlineStr">
        <is>
          <t>Metro Cream Wall Tiles</t>
        </is>
      </c>
      <c r="D691" s="1" t="n">
        <v>10.95</v>
      </c>
      <c r="E691" s="1" t="inlineStr">
        <is>
          <t>200x100mm</t>
        </is>
      </c>
      <c r="F691" s="1" t="inlineStr">
        <is>
          <t>m2</t>
        </is>
      </c>
      <c r="G691" s="1" t="inlineStr">
        <is>
          <t>Ceramic</t>
        </is>
      </c>
      <c r="H691" s="1" t="inlineStr">
        <is>
          <t>Gloss</t>
        </is>
      </c>
      <c r="I691" t="n">
        <v>167</v>
      </c>
    </row>
    <row r="692">
      <c r="A692" s="1">
        <f>Hyperlink("https://www.tilemountain.co.uk/p/metro-cream-wall-tile.html","Product")</f>
        <v/>
      </c>
      <c r="B692" s="1" t="inlineStr">
        <is>
          <t>431440</t>
        </is>
      </c>
      <c r="C692" s="1" t="inlineStr">
        <is>
          <t>Metro Cream Wall Tiles</t>
        </is>
      </c>
      <c r="D692" s="1" t="n">
        <v>19.49</v>
      </c>
      <c r="E692" s="1" t="inlineStr">
        <is>
          <t>300x100mm</t>
        </is>
      </c>
      <c r="F692" s="1" t="inlineStr">
        <is>
          <t>m2</t>
        </is>
      </c>
      <c r="G692" s="1" t="inlineStr">
        <is>
          <t>Ceramic</t>
        </is>
      </c>
      <c r="H692" s="1" t="inlineStr">
        <is>
          <t>Gloss</t>
        </is>
      </c>
      <c r="I692" t="n">
        <v>77</v>
      </c>
    </row>
    <row r="693">
      <c r="A693" s="1">
        <f>Hyperlink("https://www.tilemountain.co.uk/p/metro-dark-grey-wall-tile.html","Product")</f>
        <v/>
      </c>
      <c r="B693" s="1" t="inlineStr">
        <is>
          <t>436805</t>
        </is>
      </c>
      <c r="C693" s="1" t="inlineStr">
        <is>
          <t>Metro Dark Grey Wall Tiles</t>
        </is>
      </c>
      <c r="D693" s="1" t="n">
        <v>15.99</v>
      </c>
      <c r="E693" s="1" t="inlineStr">
        <is>
          <t>200x100mm</t>
        </is>
      </c>
      <c r="F693" s="1" t="inlineStr">
        <is>
          <t>m2</t>
        </is>
      </c>
      <c r="G693" s="1" t="inlineStr">
        <is>
          <t>Ceramic</t>
        </is>
      </c>
      <c r="H693" s="1" t="inlineStr">
        <is>
          <t>Gloss</t>
        </is>
      </c>
      <c r="I693" t="n">
        <v>66</v>
      </c>
    </row>
    <row r="694">
      <c r="A694" s="1">
        <f>Hyperlink("https://www.tilemountain.co.uk/p/metro-duck-egg-wall-tiles-10x20cm.html","Product")</f>
        <v/>
      </c>
      <c r="B694" s="1" t="inlineStr">
        <is>
          <t>1004390</t>
        </is>
      </c>
      <c r="C694" s="1" t="inlineStr">
        <is>
          <t>Metro Duck Egg Wall Tiles</t>
        </is>
      </c>
      <c r="D694" s="1" t="n">
        <v>15.99</v>
      </c>
      <c r="E694" s="1" t="inlineStr">
        <is>
          <t>200x100mm</t>
        </is>
      </c>
      <c r="F694" s="1" t="inlineStr">
        <is>
          <t>m2</t>
        </is>
      </c>
      <c r="G694" s="1" t="inlineStr">
        <is>
          <t>Ceramic</t>
        </is>
      </c>
      <c r="H694" s="1" t="inlineStr">
        <is>
          <t>Gloss</t>
        </is>
      </c>
      <c r="I694" t="n">
        <v>18</v>
      </c>
    </row>
    <row r="695">
      <c r="A695" s="1">
        <f>Hyperlink("https://www.tilemountain.co.uk/p/metro-flat-white-matt-wall-tiles-10x20cm.html","Product")</f>
        <v/>
      </c>
      <c r="B695" s="1" t="inlineStr">
        <is>
          <t>1003605</t>
        </is>
      </c>
      <c r="C695" s="1" t="inlineStr">
        <is>
          <t>Metro Flat White Matt Wall Tiles</t>
        </is>
      </c>
      <c r="D695" s="1" t="n">
        <v>18.99</v>
      </c>
      <c r="E695" s="1" t="inlineStr">
        <is>
          <t>200x100mm</t>
        </is>
      </c>
      <c r="F695" s="1" t="inlineStr">
        <is>
          <t>m2</t>
        </is>
      </c>
      <c r="G695" s="1" t="inlineStr">
        <is>
          <t>Ceramic</t>
        </is>
      </c>
      <c r="H695" s="1" t="inlineStr">
        <is>
          <t>Matt</t>
        </is>
      </c>
      <c r="I695" t="n">
        <v>404</v>
      </c>
    </row>
    <row r="696">
      <c r="A696" s="1">
        <f>Hyperlink("https://www.tilemountain.co.uk/p/metro-grey-wall-tile.html","Product")</f>
        <v/>
      </c>
      <c r="B696" s="1" t="inlineStr">
        <is>
          <t>436920</t>
        </is>
      </c>
      <c r="C696" s="1" t="inlineStr">
        <is>
          <t>Metro Grey Wall Tiles</t>
        </is>
      </c>
      <c r="D696" s="1" t="n">
        <v>19.99</v>
      </c>
      <c r="E696" s="1" t="inlineStr">
        <is>
          <t>300x100mm</t>
        </is>
      </c>
      <c r="F696" s="1" t="inlineStr">
        <is>
          <t>m2</t>
        </is>
      </c>
      <c r="G696" s="1" t="inlineStr">
        <is>
          <t>Ceramic</t>
        </is>
      </c>
      <c r="H696" s="1" t="inlineStr">
        <is>
          <t>Gloss</t>
        </is>
      </c>
      <c r="I696" t="n">
        <v>133</v>
      </c>
    </row>
    <row r="697">
      <c r="A697" s="1">
        <f>Hyperlink("https://www.tilemountain.co.uk/p/metro-jade-wall-tiles-10x20cm.html","Product")</f>
        <v/>
      </c>
      <c r="B697" s="1" t="inlineStr">
        <is>
          <t>1003450</t>
        </is>
      </c>
      <c r="C697" s="1" t="inlineStr">
        <is>
          <t>Metro Jade Wall Tiles</t>
        </is>
      </c>
      <c r="D697" s="1" t="n">
        <v>15.99</v>
      </c>
      <c r="E697" s="1" t="inlineStr">
        <is>
          <t>200x100mm</t>
        </is>
      </c>
      <c r="F697" s="1" t="inlineStr">
        <is>
          <t>m2</t>
        </is>
      </c>
      <c r="G697" s="1" t="inlineStr">
        <is>
          <t>Ceramic</t>
        </is>
      </c>
      <c r="H697" s="1" t="inlineStr">
        <is>
          <t>Gloss</t>
        </is>
      </c>
      <c r="I697" t="n">
        <v>78</v>
      </c>
    </row>
    <row r="698">
      <c r="A698" s="1">
        <f>Hyperlink("https://www.tilemountain.co.uk/p/metro-light-cream-wall-tile.html","Product")</f>
        <v/>
      </c>
      <c r="B698" s="1" t="inlineStr">
        <is>
          <t>434665</t>
        </is>
      </c>
      <c r="C698" s="1" t="inlineStr">
        <is>
          <t>Metro Light Cream Wall Tiles</t>
        </is>
      </c>
      <c r="D698" s="1" t="n">
        <v>11.99</v>
      </c>
      <c r="E698" s="1" t="inlineStr">
        <is>
          <t>200x100mm</t>
        </is>
      </c>
      <c r="F698" s="1" t="inlineStr">
        <is>
          <t>m2</t>
        </is>
      </c>
      <c r="G698" s="1" t="inlineStr">
        <is>
          <t>Ceramic</t>
        </is>
      </c>
      <c r="H698" s="1" t="inlineStr">
        <is>
          <t>Gloss</t>
        </is>
      </c>
      <c r="I698" t="n">
        <v>627</v>
      </c>
    </row>
    <row r="699">
      <c r="A699" s="1">
        <f>Hyperlink("https://www.tilemountain.co.uk/p/metro-light-grey-wall-tile.html","Product")</f>
        <v/>
      </c>
      <c r="B699" s="1" t="inlineStr">
        <is>
          <t>436810</t>
        </is>
      </c>
      <c r="C699" s="1" t="inlineStr">
        <is>
          <t>Metro Light Grey Wall Tiles</t>
        </is>
      </c>
      <c r="D699" s="1" t="n">
        <v>15.99</v>
      </c>
      <c r="E699" s="1" t="inlineStr">
        <is>
          <t>200x100mm</t>
        </is>
      </c>
      <c r="F699" s="1" t="inlineStr">
        <is>
          <t>m2</t>
        </is>
      </c>
      <c r="G699" s="1" t="inlineStr">
        <is>
          <t>Ceramic</t>
        </is>
      </c>
      <c r="H699" s="1" t="inlineStr">
        <is>
          <t>Gloss</t>
        </is>
      </c>
      <c r="I699" t="n">
        <v>668</v>
      </c>
    </row>
    <row r="700">
      <c r="A700" s="1">
        <f>Hyperlink("https://www.tilemountain.co.uk/p/metro-lime-green-wall-tile-909.html","Product")</f>
        <v/>
      </c>
      <c r="B700" s="1" t="inlineStr">
        <is>
          <t>431465</t>
        </is>
      </c>
      <c r="C700" s="1" t="inlineStr">
        <is>
          <t>Metro Lime Green Wall Tiles</t>
        </is>
      </c>
      <c r="D700" s="1" t="n">
        <v>19.49</v>
      </c>
      <c r="E700" s="1" t="inlineStr">
        <is>
          <t>300x100mm</t>
        </is>
      </c>
      <c r="F700" s="1" t="inlineStr">
        <is>
          <t>m2</t>
        </is>
      </c>
      <c r="G700" s="1" t="inlineStr">
        <is>
          <t>Ceramic</t>
        </is>
      </c>
      <c r="H700" s="1" t="inlineStr">
        <is>
          <t>Gloss</t>
        </is>
      </c>
      <c r="I700" t="n">
        <v>22</v>
      </c>
    </row>
    <row r="701">
      <c r="A701" s="1">
        <f>Hyperlink("https://www.tilemountain.co.uk/p/metro-lime-green-wall-tile.html","Product")</f>
        <v/>
      </c>
      <c r="B701" s="1" t="inlineStr">
        <is>
          <t>431425</t>
        </is>
      </c>
      <c r="C701" s="1" t="inlineStr">
        <is>
          <t>Metro Lime Green Wall Tiles</t>
        </is>
      </c>
      <c r="D701" s="1" t="n">
        <v>15.99</v>
      </c>
      <c r="E701" s="1" t="inlineStr">
        <is>
          <t>200x100mm</t>
        </is>
      </c>
      <c r="F701" s="1" t="inlineStr">
        <is>
          <t>m2</t>
        </is>
      </c>
      <c r="G701" s="1" t="inlineStr">
        <is>
          <t>Ceramic</t>
        </is>
      </c>
      <c r="H701" s="1" t="inlineStr">
        <is>
          <t>Gloss</t>
        </is>
      </c>
      <c r="I701" t="n">
        <v>90</v>
      </c>
    </row>
    <row r="702">
      <c r="A702" s="1">
        <f>Hyperlink("https://www.tilemountain.co.uk/p/metro-matt-black-wall-tile.html","Product")</f>
        <v/>
      </c>
      <c r="B702" s="1" t="inlineStr">
        <is>
          <t>439235</t>
        </is>
      </c>
      <c r="C702" s="1" t="inlineStr">
        <is>
          <t>Metro Matt Black Wall Tiles</t>
        </is>
      </c>
      <c r="D702" s="1" t="n">
        <v>15.99</v>
      </c>
      <c r="E702" s="1" t="inlineStr">
        <is>
          <t>200x100mm</t>
        </is>
      </c>
      <c r="F702" s="1" t="inlineStr">
        <is>
          <t>m2</t>
        </is>
      </c>
      <c r="G702" s="1" t="inlineStr">
        <is>
          <t>Ceramic</t>
        </is>
      </c>
      <c r="H702" s="1" t="inlineStr">
        <is>
          <t>Matt</t>
        </is>
      </c>
      <c r="I702" t="n">
        <v>567</v>
      </c>
    </row>
    <row r="703">
      <c r="A703" s="1">
        <f>Hyperlink("https://www.tilemountain.co.uk/p/metro-matt-white-wall-tile.html","Product")</f>
        <v/>
      </c>
      <c r="B703" s="1" t="inlineStr">
        <is>
          <t>439230</t>
        </is>
      </c>
      <c r="C703" s="1" t="inlineStr">
        <is>
          <t>Metro Matt White Wall Tiles</t>
        </is>
      </c>
      <c r="D703" s="1" t="n">
        <v>12.99</v>
      </c>
      <c r="E703" s="1" t="inlineStr">
        <is>
          <t>200x100mm</t>
        </is>
      </c>
      <c r="F703" s="1" t="inlineStr">
        <is>
          <t>m2</t>
        </is>
      </c>
      <c r="G703" s="1" t="inlineStr">
        <is>
          <t>Ceramic</t>
        </is>
      </c>
      <c r="H703" s="1" t="inlineStr">
        <is>
          <t>Matt</t>
        </is>
      </c>
      <c r="I703" t="n">
        <v>596</v>
      </c>
    </row>
    <row r="704">
      <c r="A704" s="1">
        <f>Hyperlink("https://www.tilemountain.co.uk/p/metro-pink-brick-10x20.html","Product")</f>
        <v/>
      </c>
      <c r="B704" s="1" t="inlineStr">
        <is>
          <t>403130</t>
        </is>
      </c>
      <c r="C704" s="1" t="inlineStr">
        <is>
          <t>Metro Pink Wall Tiles</t>
        </is>
      </c>
      <c r="D704" s="1" t="n">
        <v>15.99</v>
      </c>
      <c r="E704" s="1" t="inlineStr">
        <is>
          <t>200x100mm</t>
        </is>
      </c>
      <c r="F704" s="1" t="inlineStr">
        <is>
          <t>m2</t>
        </is>
      </c>
      <c r="G704" s="1" t="inlineStr">
        <is>
          <t>Ceramic</t>
        </is>
      </c>
      <c r="H704" s="1" t="inlineStr">
        <is>
          <t>Gloss</t>
        </is>
      </c>
      <c r="I704" t="n">
        <v>170</v>
      </c>
    </row>
    <row r="705">
      <c r="A705" s="1">
        <f>Hyperlink("https://www.tilemountain.co.uk/p/metro-red-wall-tile-915.html","Product")</f>
        <v/>
      </c>
      <c r="B705" s="1" t="inlineStr">
        <is>
          <t>431450</t>
        </is>
      </c>
      <c r="C705" s="1" t="inlineStr">
        <is>
          <t>Metro Red Wall Tiles</t>
        </is>
      </c>
      <c r="D705" s="1" t="n">
        <v>20.99</v>
      </c>
      <c r="E705" s="1" t="inlineStr">
        <is>
          <t>300x100mm</t>
        </is>
      </c>
      <c r="F705" s="1" t="inlineStr">
        <is>
          <t>m2</t>
        </is>
      </c>
      <c r="G705" s="1" t="inlineStr">
        <is>
          <t>Ceramic</t>
        </is>
      </c>
      <c r="H705" s="1" t="inlineStr">
        <is>
          <t>Gloss</t>
        </is>
      </c>
      <c r="I705" t="n">
        <v>29</v>
      </c>
    </row>
    <row r="706">
      <c r="A706" s="1">
        <f>Hyperlink("https://www.tilemountain.co.uk/p/metro-red-wall-tile.html","Product")</f>
        <v/>
      </c>
      <c r="B706" s="1" t="inlineStr">
        <is>
          <t>431410</t>
        </is>
      </c>
      <c r="C706" s="1" t="inlineStr">
        <is>
          <t>Metro Red Wall Tiles</t>
        </is>
      </c>
      <c r="D706" s="1" t="n">
        <v>19.99</v>
      </c>
      <c r="E706" s="1" t="inlineStr">
        <is>
          <t>200x100mm</t>
        </is>
      </c>
      <c r="F706" s="1" t="inlineStr">
        <is>
          <t>m2</t>
        </is>
      </c>
      <c r="G706" s="1" t="inlineStr">
        <is>
          <t>Ceramic</t>
        </is>
      </c>
      <c r="H706" s="1" t="inlineStr">
        <is>
          <t>Gloss</t>
        </is>
      </c>
      <c r="I706" t="n">
        <v>58</v>
      </c>
    </row>
    <row r="707">
      <c r="A707" s="1">
        <f>Hyperlink("https://www.tilemountain.co.uk/p/metro-sage-wall-tile-917.html","Product")</f>
        <v/>
      </c>
      <c r="B707" s="1" t="inlineStr">
        <is>
          <t>431470</t>
        </is>
      </c>
      <c r="C707" s="1" t="inlineStr">
        <is>
          <t>Metro Sage Wall Tiles</t>
        </is>
      </c>
      <c r="D707" s="1" t="n">
        <v>19.49</v>
      </c>
      <c r="E707" s="1" t="inlineStr">
        <is>
          <t>300x100mm</t>
        </is>
      </c>
      <c r="F707" s="1" t="inlineStr">
        <is>
          <t>m2</t>
        </is>
      </c>
      <c r="G707" s="1" t="inlineStr">
        <is>
          <t>Ceramic</t>
        </is>
      </c>
      <c r="H707" s="1" t="inlineStr">
        <is>
          <t>Gloss</t>
        </is>
      </c>
      <c r="I707" t="n">
        <v>138</v>
      </c>
    </row>
    <row r="708">
      <c r="A708" s="1">
        <f>Hyperlink("https://www.tilemountain.co.uk/p/metro-stone-effect-marble-flat-wall-tiles-10x20cm.html","Product")</f>
        <v/>
      </c>
      <c r="B708" s="1" t="inlineStr">
        <is>
          <t>401125</t>
        </is>
      </c>
      <c r="C708" s="1" t="inlineStr">
        <is>
          <t>Metro Stone Effect Marble Flat Wall Tiles</t>
        </is>
      </c>
      <c r="D708" s="1" t="n">
        <v>19.99</v>
      </c>
      <c r="E708" s="1" t="inlineStr">
        <is>
          <t>200x100mm</t>
        </is>
      </c>
      <c r="F708" s="1" t="inlineStr">
        <is>
          <t>m2</t>
        </is>
      </c>
      <c r="G708" s="1" t="inlineStr">
        <is>
          <t>Ceramic</t>
        </is>
      </c>
      <c r="H708" s="1" t="inlineStr">
        <is>
          <t>Gloss</t>
        </is>
      </c>
      <c r="I708" t="n">
        <v>101</v>
      </c>
    </row>
    <row r="709">
      <c r="A709" s="1">
        <f>Hyperlink("https://www.tilemountain.co.uk/p/metro-stone-effect-marble-wall-tiles-10x20cm.html","Product")</f>
        <v/>
      </c>
      <c r="B709" s="1" t="inlineStr">
        <is>
          <t>300150</t>
        </is>
      </c>
      <c r="C709" s="1" t="inlineStr">
        <is>
          <t>Metro Stone Effect Marble Wall Tiles</t>
        </is>
      </c>
      <c r="D709" s="1" t="n">
        <v>16.99</v>
      </c>
      <c r="E709" s="1" t="inlineStr">
        <is>
          <t>200x100mm</t>
        </is>
      </c>
      <c r="F709" s="1" t="inlineStr">
        <is>
          <t>m2</t>
        </is>
      </c>
      <c r="G709" s="1" t="inlineStr">
        <is>
          <t>-</t>
        </is>
      </c>
      <c r="H709" s="1" t="inlineStr">
        <is>
          <t>Gloss</t>
        </is>
      </c>
      <c r="I709" t="n">
        <v>233</v>
      </c>
    </row>
    <row r="710">
      <c r="A710" s="1">
        <f>Hyperlink("https://www.tilemountain.co.uk/p/metro-stone-effect-marble-xl-wall-tiles-10x30cm.html","Product")</f>
        <v/>
      </c>
      <c r="B710" s="1" t="inlineStr">
        <is>
          <t>300155</t>
        </is>
      </c>
      <c r="C710" s="1" t="inlineStr">
        <is>
          <t>Metro Stone Effect Marble XL Wall Tiles</t>
        </is>
      </c>
      <c r="D710" s="1" t="n">
        <v>19.99</v>
      </c>
      <c r="E710" s="1" t="inlineStr">
        <is>
          <t>300x100mm</t>
        </is>
      </c>
      <c r="F710" s="1" t="inlineStr">
        <is>
          <t>m2</t>
        </is>
      </c>
      <c r="G710" s="1" t="inlineStr">
        <is>
          <t>Ceramic</t>
        </is>
      </c>
      <c r="H710" s="1" t="inlineStr">
        <is>
          <t>Gloss</t>
        </is>
      </c>
      <c r="I710" t="n">
        <v>96</v>
      </c>
    </row>
    <row r="711">
      <c r="A711" s="1">
        <f>Hyperlink("https://www.tilemountain.co.uk/p/metro-teal-wall-tile-2089.html","Product")</f>
        <v/>
      </c>
      <c r="B711" s="1" t="inlineStr">
        <is>
          <t>436820</t>
        </is>
      </c>
      <c r="C711" s="1" t="inlineStr">
        <is>
          <t>Metro Teal Wall Tiles</t>
        </is>
      </c>
      <c r="D711" s="1" t="n">
        <v>18.99</v>
      </c>
      <c r="E711" s="1" t="inlineStr">
        <is>
          <t>300x100mm</t>
        </is>
      </c>
      <c r="F711" s="1" t="inlineStr">
        <is>
          <t>m2</t>
        </is>
      </c>
      <c r="G711" s="1" t="inlineStr">
        <is>
          <t>Ceramic</t>
        </is>
      </c>
      <c r="H711" s="1" t="inlineStr">
        <is>
          <t>Gloss</t>
        </is>
      </c>
      <c r="I711" t="n">
        <v>141</v>
      </c>
    </row>
    <row r="712">
      <c r="A712" s="1">
        <f>Hyperlink("https://www.tilemountain.co.uk/p/metro-teal-wall-tile.html","Product")</f>
        <v/>
      </c>
      <c r="B712" s="1" t="inlineStr">
        <is>
          <t>436815</t>
        </is>
      </c>
      <c r="C712" s="1" t="inlineStr">
        <is>
          <t>Metro Teal Wall Tiles</t>
        </is>
      </c>
      <c r="D712" s="1" t="n">
        <v>15.99</v>
      </c>
      <c r="E712" s="1" t="inlineStr">
        <is>
          <t>200x100mm</t>
        </is>
      </c>
      <c r="F712" s="1" t="inlineStr">
        <is>
          <t>m2</t>
        </is>
      </c>
      <c r="G712" s="1" t="inlineStr">
        <is>
          <t>Ceramic</t>
        </is>
      </c>
      <c r="H712" s="1" t="inlineStr">
        <is>
          <t>Gloss</t>
        </is>
      </c>
      <c r="I712" t="n">
        <v>74</v>
      </c>
    </row>
    <row r="713">
      <c r="A713" s="1">
        <f>Hyperlink("https://www.tilemountain.co.uk/p/metro-white-wall-tile-2149.html","Product")</f>
        <v/>
      </c>
      <c r="B713" s="1" t="inlineStr">
        <is>
          <t>437110</t>
        </is>
      </c>
      <c r="C713" s="1" t="inlineStr">
        <is>
          <t>Metro White Wall Tiles</t>
        </is>
      </c>
      <c r="D713" s="1" t="n">
        <v>10.95</v>
      </c>
      <c r="E713" s="1" t="inlineStr">
        <is>
          <t>200x100mm</t>
        </is>
      </c>
      <c r="F713" s="1" t="inlineStr">
        <is>
          <t>m2</t>
        </is>
      </c>
      <c r="G713" s="1" t="inlineStr">
        <is>
          <t>Ceramic</t>
        </is>
      </c>
      <c r="H713" s="1" t="inlineStr">
        <is>
          <t>Gloss</t>
        </is>
      </c>
      <c r="I713" t="n">
        <v>1247</v>
      </c>
    </row>
    <row r="714">
      <c r="A714" s="1">
        <f>Hyperlink("https://www.tilemountain.co.uk/p/metro-white-wall-tile.html","Product")</f>
        <v/>
      </c>
      <c r="B714" s="1" t="inlineStr">
        <is>
          <t>431435</t>
        </is>
      </c>
      <c r="C714" s="1" t="inlineStr">
        <is>
          <t>Metro White Wall Tiles</t>
        </is>
      </c>
      <c r="D714" s="1" t="n">
        <v>19.49</v>
      </c>
      <c r="E714" s="1" t="inlineStr">
        <is>
          <t>300x100mm</t>
        </is>
      </c>
      <c r="F714" s="1" t="inlineStr">
        <is>
          <t>m2</t>
        </is>
      </c>
      <c r="G714" s="1" t="inlineStr">
        <is>
          <t>Ceramic</t>
        </is>
      </c>
      <c r="H714" s="1" t="inlineStr">
        <is>
          <t>Gloss</t>
        </is>
      </c>
      <c r="I714" t="n">
        <v>1242</v>
      </c>
    </row>
    <row r="715">
      <c r="A715" s="1">
        <f>Hyperlink("https://www.tilemountain.co.uk/p/metro-xl-flat-grey-matt-wall-tiles-10x30cm.html","Product")</f>
        <v/>
      </c>
      <c r="B715" s="1" t="inlineStr">
        <is>
          <t>1003515</t>
        </is>
      </c>
      <c r="C715" s="1" t="inlineStr">
        <is>
          <t>Linear Grey Matt Wall Tiles</t>
        </is>
      </c>
      <c r="D715" s="1" t="n">
        <v>20.67</v>
      </c>
      <c r="E715" s="1" t="inlineStr">
        <is>
          <t>300x100mm</t>
        </is>
      </c>
      <c r="F715" s="1" t="inlineStr">
        <is>
          <t>m2</t>
        </is>
      </c>
      <c r="G715" s="1" t="inlineStr">
        <is>
          <t>Ceramic</t>
        </is>
      </c>
      <c r="H715" s="1" t="inlineStr">
        <is>
          <t>Matt</t>
        </is>
      </c>
      <c r="I715" t="n">
        <v>45</v>
      </c>
    </row>
    <row r="716">
      <c r="A716" s="1">
        <f>Hyperlink("https://www.tilemountain.co.uk/p/metro-xl-flat-white-matt-wall-tiles-10x30cm.html","Product")</f>
        <v/>
      </c>
      <c r="B716" s="1" t="inlineStr">
        <is>
          <t>1003530</t>
        </is>
      </c>
      <c r="C716" s="1" t="inlineStr">
        <is>
          <t>Linear White Matt Wall Tiles</t>
        </is>
      </c>
      <c r="D716" s="1" t="n">
        <v>19.99</v>
      </c>
      <c r="E716" s="1" t="inlineStr">
        <is>
          <t>300x100mm</t>
        </is>
      </c>
      <c r="F716" s="1" t="inlineStr">
        <is>
          <t>m2</t>
        </is>
      </c>
      <c r="G716" s="1" t="inlineStr">
        <is>
          <t>Ceramic</t>
        </is>
      </c>
      <c r="H716" s="1" t="inlineStr">
        <is>
          <t>Matt</t>
        </is>
      </c>
      <c r="I716" t="inlineStr">
        <is>
          <t>More Stock</t>
        </is>
      </c>
    </row>
    <row r="717">
      <c r="A717" s="1">
        <f>Hyperlink("https://www.tilemountain.co.uk/p/metropolis-base-wall-and-floor-tile-45x45cm.html","Product")</f>
        <v/>
      </c>
      <c r="B717" s="1" t="inlineStr">
        <is>
          <t>201030</t>
        </is>
      </c>
      <c r="C717" s="1" t="inlineStr">
        <is>
          <t>Metropolis Base Wall and Floor Tiles</t>
        </is>
      </c>
      <c r="D717" s="1" t="n">
        <v>19.94</v>
      </c>
      <c r="E717" s="1" t="inlineStr">
        <is>
          <t>450x450mm</t>
        </is>
      </c>
      <c r="F717" s="1" t="inlineStr">
        <is>
          <t>m2</t>
        </is>
      </c>
      <c r="G717" s="1" t="inlineStr">
        <is>
          <t>Ceramic</t>
        </is>
      </c>
      <c r="H717" s="1" t="inlineStr">
        <is>
          <t>Matt</t>
        </is>
      </c>
      <c r="I717" t="n">
        <v>68</v>
      </c>
    </row>
    <row r="718">
      <c r="A718" s="1">
        <f>Hyperlink("https://www.tilemountain.co.uk/p/metropolis-geometric-wall-and-floor-tile-45x45cm.html","Product")</f>
        <v/>
      </c>
      <c r="B718" s="1" t="inlineStr">
        <is>
          <t>201040</t>
        </is>
      </c>
      <c r="C718" s="1" t="inlineStr">
        <is>
          <t>Metropolis Geometric Wall and Floor Tiles</t>
        </is>
      </c>
      <c r="D718" s="1" t="n">
        <v>19.94</v>
      </c>
      <c r="E718" s="1" t="inlineStr">
        <is>
          <t>450x450mm</t>
        </is>
      </c>
      <c r="F718" s="1" t="inlineStr">
        <is>
          <t>m2</t>
        </is>
      </c>
      <c r="G718" s="1" t="inlineStr">
        <is>
          <t>Ceramic</t>
        </is>
      </c>
      <c r="H718" s="1" t="inlineStr">
        <is>
          <t>Matt</t>
        </is>
      </c>
      <c r="I718" t="n">
        <v>126</v>
      </c>
    </row>
    <row r="719">
      <c r="A719" s="1">
        <f>Hyperlink("https://www.tilemountain.co.uk/p/metropolis-grey-star.html","Product")</f>
        <v/>
      </c>
      <c r="B719" s="1" t="inlineStr">
        <is>
          <t>448370</t>
        </is>
      </c>
      <c r="C719" s="1" t="inlineStr">
        <is>
          <t>Metropolis Star Silver Wall and Floor Tiles</t>
        </is>
      </c>
      <c r="D719" s="1" t="n">
        <v>19.94</v>
      </c>
      <c r="E719" s="1" t="inlineStr">
        <is>
          <t>450x450mm</t>
        </is>
      </c>
      <c r="F719" s="1" t="inlineStr">
        <is>
          <t>m2</t>
        </is>
      </c>
      <c r="G719" s="1" t="inlineStr">
        <is>
          <t>Ceramic</t>
        </is>
      </c>
      <c r="H719" s="1" t="inlineStr">
        <is>
          <t>Matt</t>
        </is>
      </c>
      <c r="I719" t="n">
        <v>537</v>
      </c>
    </row>
    <row r="720">
      <c r="A720" s="1">
        <f>Hyperlink("https://www.tilemountain.co.uk/p/metropolis-star-indigo-wall-floor-tile-45x45cm.html","Product")</f>
        <v/>
      </c>
      <c r="B720" s="1" t="inlineStr">
        <is>
          <t>401170</t>
        </is>
      </c>
      <c r="C720" s="1" t="inlineStr">
        <is>
          <t>Metropolis Star Indigo Wall and Floor Tiles</t>
        </is>
      </c>
      <c r="D720" s="1" t="n">
        <v>19.94</v>
      </c>
      <c r="E720" s="1" t="inlineStr">
        <is>
          <t>450x450mm</t>
        </is>
      </c>
      <c r="F720" s="1" t="inlineStr">
        <is>
          <t>m2</t>
        </is>
      </c>
      <c r="G720" s="1" t="inlineStr">
        <is>
          <t>Ceramic</t>
        </is>
      </c>
      <c r="H720" s="1" t="inlineStr">
        <is>
          <t>Matt</t>
        </is>
      </c>
      <c r="I720" t="n">
        <v>334</v>
      </c>
    </row>
    <row r="721">
      <c r="A721" s="1">
        <f>Hyperlink("https://www.tilemountain.co.uk/p/metropolis-star-sienna-wall-floor-tile-45x45cm.html","Product")</f>
        <v/>
      </c>
      <c r="B721" s="1" t="inlineStr">
        <is>
          <t>401175</t>
        </is>
      </c>
      <c r="C721" s="1" t="inlineStr">
        <is>
          <t>Metropolis Star Sienna Wall and Floor Tiles</t>
        </is>
      </c>
      <c r="D721" s="1" t="n">
        <v>19.94</v>
      </c>
      <c r="E721" s="1" t="inlineStr">
        <is>
          <t>450x450mm</t>
        </is>
      </c>
      <c r="F721" s="1" t="inlineStr">
        <is>
          <t>m2</t>
        </is>
      </c>
      <c r="G721" s="1" t="inlineStr">
        <is>
          <t>Ceramic</t>
        </is>
      </c>
      <c r="H721" s="1" t="inlineStr">
        <is>
          <t>Matt</t>
        </is>
      </c>
      <c r="I721" t="n">
        <v>144</v>
      </c>
    </row>
    <row r="722">
      <c r="A722" s="1">
        <f>Hyperlink("https://www.tilemountain.co.uk/p/metropolitan-mustard-wall-tiles-12x18cm.html","Product")</f>
        <v/>
      </c>
      <c r="B722" s="1" t="inlineStr">
        <is>
          <t>402205</t>
        </is>
      </c>
      <c r="C722" s="1" t="inlineStr">
        <is>
          <t>Metropolitan Mustard Wall Tiles</t>
        </is>
      </c>
      <c r="D722" s="1" t="n">
        <v>19.91</v>
      </c>
      <c r="E722" s="1" t="inlineStr">
        <is>
          <t>180x120mm</t>
        </is>
      </c>
      <c r="F722" s="1" t="inlineStr">
        <is>
          <t>m2</t>
        </is>
      </c>
      <c r="G722" s="1" t="inlineStr">
        <is>
          <t>Ceramic</t>
        </is>
      </c>
      <c r="H722" s="1" t="inlineStr">
        <is>
          <t>Gloss</t>
        </is>
      </c>
      <c r="I722" t="n">
        <v>25</v>
      </c>
    </row>
    <row r="723">
      <c r="A723" s="1">
        <f>Hyperlink("https://www.tilemountain.co.uk/p/microline-white-gloss-wall-tile-5x20cm.html","Product")</f>
        <v/>
      </c>
      <c r="B723" s="1" t="inlineStr">
        <is>
          <t>1004275</t>
        </is>
      </c>
      <c r="C723" s="1" t="inlineStr">
        <is>
          <t>Microline White Gloss Wall Tiles</t>
        </is>
      </c>
      <c r="D723" s="1" t="n">
        <v>24.99</v>
      </c>
      <c r="E723" s="1" t="inlineStr">
        <is>
          <t>200x50mm</t>
        </is>
      </c>
      <c r="F723" s="1" t="inlineStr">
        <is>
          <t>m2</t>
        </is>
      </c>
      <c r="G723" s="1" t="inlineStr">
        <is>
          <t>Ceramic</t>
        </is>
      </c>
      <c r="H723" s="1" t="inlineStr">
        <is>
          <t>Gloss</t>
        </is>
      </c>
      <c r="I723" t="n">
        <v>210</v>
      </c>
    </row>
    <row r="724">
      <c r="A724" s="1">
        <f>Hyperlink("https://www.tilemountain.co.uk/p/microline-white-matt-wall-tile-5x20cm.html","Product")</f>
        <v/>
      </c>
      <c r="B724" s="1" t="inlineStr">
        <is>
          <t>1008560</t>
        </is>
      </c>
      <c r="C724" s="1" t="inlineStr">
        <is>
          <t>Microline White Matt Wall Tile</t>
        </is>
      </c>
      <c r="D724" s="1" t="n">
        <v>24.99</v>
      </c>
      <c r="E724" s="1" t="inlineStr">
        <is>
          <t>200x50mm</t>
        </is>
      </c>
      <c r="F724" s="1" t="inlineStr">
        <is>
          <t>m2</t>
        </is>
      </c>
      <c r="G724" s="1" t="inlineStr">
        <is>
          <t>Ceramic</t>
        </is>
      </c>
      <c r="H724" s="1" t="inlineStr">
        <is>
          <t>Matt</t>
        </is>
      </c>
      <c r="I724" t="n">
        <v>502</v>
      </c>
    </row>
    <row r="725">
      <c r="A725" s="1">
        <f>Hyperlink("https://www.tilemountain.co.uk/p/mikeno-ash-wood-effect-wall-and-floor-tiles.html","Product")</f>
        <v/>
      </c>
      <c r="B725" s="1" t="inlineStr">
        <is>
          <t>450585</t>
        </is>
      </c>
      <c r="C725" s="1" t="inlineStr">
        <is>
          <t>Mikeno Ash Wood Effect Wall And Floor Tiles</t>
        </is>
      </c>
      <c r="D725" s="1" t="n">
        <v>17.99</v>
      </c>
      <c r="E725" s="1" t="inlineStr">
        <is>
          <t>900x150mm</t>
        </is>
      </c>
      <c r="F725" s="1" t="inlineStr">
        <is>
          <t>m2</t>
        </is>
      </c>
      <c r="G725" s="1" t="inlineStr">
        <is>
          <t>Porcelain</t>
        </is>
      </c>
      <c r="H725" s="1" t="inlineStr">
        <is>
          <t>Matt</t>
        </is>
      </c>
      <c r="I725" t="n">
        <v>339</v>
      </c>
    </row>
    <row r="726">
      <c r="A726" s="1">
        <f>Hyperlink("https://www.tilemountain.co.uk/p/mikeno-grey-wood-effect-wall-and-floor-tiles.html","Product")</f>
        <v/>
      </c>
      <c r="B726" s="1" t="inlineStr">
        <is>
          <t>450590</t>
        </is>
      </c>
      <c r="C726" s="1" t="inlineStr">
        <is>
          <t>Mikeno Grey Wood Effect Wall And Floor Tiles</t>
        </is>
      </c>
      <c r="D726" s="1" t="n">
        <v>17.99</v>
      </c>
      <c r="E726" s="1" t="inlineStr">
        <is>
          <t>900x150mm</t>
        </is>
      </c>
      <c r="F726" s="1" t="inlineStr">
        <is>
          <t>m2</t>
        </is>
      </c>
      <c r="G726" s="1" t="inlineStr">
        <is>
          <t>Porcelain</t>
        </is>
      </c>
      <c r="H726" s="1" t="inlineStr">
        <is>
          <t>Matt</t>
        </is>
      </c>
      <c r="I726" t="n">
        <v>346</v>
      </c>
    </row>
    <row r="727">
      <c r="A727" s="1">
        <f>Hyperlink("https://www.tilemountain.co.uk/p/mini-matt-flat-white-wall-tile.html","Product")</f>
        <v/>
      </c>
      <c r="B727" s="1" t="inlineStr">
        <is>
          <t>439450</t>
        </is>
      </c>
      <c r="C727" s="1" t="inlineStr">
        <is>
          <t>Mini Matt Flat White Wall Tiles</t>
        </is>
      </c>
      <c r="D727" s="1" t="n">
        <v>17.99</v>
      </c>
      <c r="E727" s="1" t="inlineStr">
        <is>
          <t>150x75mm</t>
        </is>
      </c>
      <c r="F727" s="1" t="inlineStr">
        <is>
          <t>m2</t>
        </is>
      </c>
      <c r="G727" s="1" t="inlineStr">
        <is>
          <t>Ceramic</t>
        </is>
      </c>
      <c r="H727" s="1" t="inlineStr">
        <is>
          <t>Matt</t>
        </is>
      </c>
      <c r="I727" t="n">
        <v>448</v>
      </c>
    </row>
    <row r="728">
      <c r="A728" s="1">
        <f>Hyperlink("https://www.tilemountain.co.uk/p/mini-metro-black-wall-tile.html","Product")</f>
        <v/>
      </c>
      <c r="B728" s="1" t="inlineStr">
        <is>
          <t>435545</t>
        </is>
      </c>
      <c r="C728" s="1" t="inlineStr">
        <is>
          <t>Mini Metro Black Wall Tiles</t>
        </is>
      </c>
      <c r="D728" s="1" t="n">
        <v>17.99</v>
      </c>
      <c r="E728" s="1" t="inlineStr">
        <is>
          <t>150x75mm</t>
        </is>
      </c>
      <c r="F728" s="1" t="inlineStr">
        <is>
          <t>m2</t>
        </is>
      </c>
      <c r="G728" s="1" t="inlineStr">
        <is>
          <t>Ceramic</t>
        </is>
      </c>
      <c r="H728" s="1" t="inlineStr">
        <is>
          <t>Gloss</t>
        </is>
      </c>
      <c r="I728" t="n">
        <v>99</v>
      </c>
    </row>
    <row r="729">
      <c r="A729" s="1">
        <f>Hyperlink("https://www.tilemountain.co.uk/p/mini-metro-cream-wall-tile.html","Product")</f>
        <v/>
      </c>
      <c r="B729" s="1" t="inlineStr">
        <is>
          <t>435540</t>
        </is>
      </c>
      <c r="C729" s="1" t="inlineStr">
        <is>
          <t>Mini Metro Cream Wall Tiles</t>
        </is>
      </c>
      <c r="D729" s="1" t="n">
        <v>17.99</v>
      </c>
      <c r="E729" s="1" t="inlineStr">
        <is>
          <t>150x75mm</t>
        </is>
      </c>
      <c r="F729" s="1" t="inlineStr">
        <is>
          <t>m2</t>
        </is>
      </c>
      <c r="G729" s="1" t="inlineStr">
        <is>
          <t>Ceramic</t>
        </is>
      </c>
      <c r="H729" s="1" t="inlineStr">
        <is>
          <t>Gloss</t>
        </is>
      </c>
      <c r="I729" t="n">
        <v>67</v>
      </c>
    </row>
    <row r="730">
      <c r="A730" s="1">
        <f>Hyperlink("https://www.tilemountain.co.uk/p/mini-metro-matt-black-wall-tile.html","Product")</f>
        <v/>
      </c>
      <c r="B730" s="1" t="inlineStr">
        <is>
          <t>439195</t>
        </is>
      </c>
      <c r="C730" s="1" t="inlineStr">
        <is>
          <t>Mini Metro Matt Black Wall Tiles</t>
        </is>
      </c>
      <c r="D730" s="1" t="n">
        <v>17.99</v>
      </c>
      <c r="E730" s="1" t="inlineStr">
        <is>
          <t>150x75mm</t>
        </is>
      </c>
      <c r="F730" s="1" t="inlineStr">
        <is>
          <t>m2</t>
        </is>
      </c>
      <c r="G730" s="1" t="inlineStr">
        <is>
          <t>Ceramic</t>
        </is>
      </c>
      <c r="H730" s="1" t="inlineStr">
        <is>
          <t>Matt</t>
        </is>
      </c>
      <c r="I730" t="n">
        <v>60</v>
      </c>
    </row>
    <row r="731">
      <c r="A731" s="1">
        <f>Hyperlink("https://www.tilemountain.co.uk/p/mini-metro-matt-white-wall-tile.html","Product")</f>
        <v/>
      </c>
      <c r="B731" s="1" t="inlineStr">
        <is>
          <t>439190</t>
        </is>
      </c>
      <c r="C731" s="1" t="inlineStr">
        <is>
          <t>Mini Metro Matt White Wall Tiles</t>
        </is>
      </c>
      <c r="D731" s="1" t="n">
        <v>17.99</v>
      </c>
      <c r="E731" s="1" t="inlineStr">
        <is>
          <t>150x75mm</t>
        </is>
      </c>
      <c r="F731" s="1" t="inlineStr">
        <is>
          <t>m2</t>
        </is>
      </c>
      <c r="G731" s="1" t="inlineStr">
        <is>
          <t>Ceramic</t>
        </is>
      </c>
      <c r="H731" s="1" t="inlineStr">
        <is>
          <t>Matt</t>
        </is>
      </c>
      <c r="I731" t="n">
        <v>141</v>
      </c>
    </row>
    <row r="732">
      <c r="A732" s="1">
        <f>Hyperlink("https://www.tilemountain.co.uk/p/mini-metro-red-wall-tile.html","Product")</f>
        <v/>
      </c>
      <c r="B732" s="1" t="inlineStr">
        <is>
          <t>435550</t>
        </is>
      </c>
      <c r="C732" s="1" t="inlineStr">
        <is>
          <t>Mini Metro Red Wall Tiles</t>
        </is>
      </c>
      <c r="D732" s="1" t="n">
        <v>19.99</v>
      </c>
      <c r="E732" s="1" t="inlineStr">
        <is>
          <t>150x75mm</t>
        </is>
      </c>
      <c r="F732" s="1" t="inlineStr">
        <is>
          <t>m2</t>
        </is>
      </c>
      <c r="G732" s="1" t="inlineStr">
        <is>
          <t>Ceramic</t>
        </is>
      </c>
      <c r="H732" s="1" t="inlineStr">
        <is>
          <t>Gloss</t>
        </is>
      </c>
      <c r="I732" t="n">
        <v>104</v>
      </c>
    </row>
    <row r="733">
      <c r="A733" s="1">
        <f>Hyperlink("https://www.tilemountain.co.uk/p/mini-metro-sage-wall-tile.html","Product")</f>
        <v/>
      </c>
      <c r="B733" s="1" t="inlineStr">
        <is>
          <t>449405</t>
        </is>
      </c>
      <c r="C733" s="1" t="inlineStr">
        <is>
          <t>Mini Metro Sage Wall Tile</t>
        </is>
      </c>
      <c r="D733" s="1" t="n">
        <v>17.99</v>
      </c>
      <c r="E733" s="1" t="inlineStr">
        <is>
          <t>150x75mm</t>
        </is>
      </c>
      <c r="F733" s="1" t="inlineStr">
        <is>
          <t>m2</t>
        </is>
      </c>
      <c r="G733" s="1" t="inlineStr">
        <is>
          <t>Ceramic</t>
        </is>
      </c>
      <c r="H733" s="1" t="inlineStr">
        <is>
          <t>Gloss</t>
        </is>
      </c>
      <c r="I733" t="n">
        <v>37</v>
      </c>
    </row>
    <row r="734">
      <c r="A734" s="1">
        <f>Hyperlink("https://www.tilemountain.co.uk/p/mini-metro-white-wall-tile.html","Product")</f>
        <v/>
      </c>
      <c r="B734" s="1" t="inlineStr">
        <is>
          <t>435535</t>
        </is>
      </c>
      <c r="C734" s="1" t="inlineStr">
        <is>
          <t>Mini Metro White Wall Tiles</t>
        </is>
      </c>
      <c r="D734" s="1" t="n">
        <v>17.99</v>
      </c>
      <c r="E734" s="1" t="inlineStr">
        <is>
          <t>150x75mm</t>
        </is>
      </c>
      <c r="F734" s="1" t="inlineStr">
        <is>
          <t>m2</t>
        </is>
      </c>
      <c r="G734" s="1" t="inlineStr">
        <is>
          <t>Ceramic</t>
        </is>
      </c>
      <c r="H734" s="1" t="inlineStr">
        <is>
          <t>Gloss</t>
        </is>
      </c>
      <c r="I734" t="n">
        <v>70</v>
      </c>
    </row>
    <row r="735">
      <c r="A735" s="1">
        <f>Hyperlink("https://www.tilemountain.co.uk/p/moliere-decor-mix-floor-tile.html","Product")</f>
        <v/>
      </c>
      <c r="B735" s="1" t="inlineStr">
        <is>
          <t>441340</t>
        </is>
      </c>
      <c r="C735" s="1" t="inlineStr">
        <is>
          <t>Moliere Decor Mix Floor Tiles</t>
        </is>
      </c>
      <c r="D735" s="1" t="n">
        <v>14.99</v>
      </c>
      <c r="E735" s="1" t="inlineStr">
        <is>
          <t>450x450mm</t>
        </is>
      </c>
      <c r="F735" s="1" t="inlineStr">
        <is>
          <t>m2</t>
        </is>
      </c>
      <c r="G735" s="1" t="inlineStr">
        <is>
          <t>Porcelain</t>
        </is>
      </c>
      <c r="H735" s="1" t="inlineStr">
        <is>
          <t>Matt</t>
        </is>
      </c>
      <c r="I735" t="n">
        <v>328</v>
      </c>
    </row>
    <row r="736">
      <c r="A736" s="1">
        <f>Hyperlink("https://www.tilemountain.co.uk/p/moliere-grey-anti-slip-floor-tile.html","Product")</f>
        <v/>
      </c>
      <c r="B736" s="1" t="inlineStr">
        <is>
          <t>441335</t>
        </is>
      </c>
      <c r="C736" s="1" t="inlineStr">
        <is>
          <t>Moliere Grey Anti-Slip Floor Tiles</t>
        </is>
      </c>
      <c r="D736" s="1" t="n">
        <v>13.99</v>
      </c>
      <c r="E736" s="1" t="inlineStr">
        <is>
          <t>450x450mm</t>
        </is>
      </c>
      <c r="F736" s="1" t="inlineStr">
        <is>
          <t>m2</t>
        </is>
      </c>
      <c r="G736" s="1" t="inlineStr">
        <is>
          <t>Porcelain</t>
        </is>
      </c>
      <c r="H736" s="1" t="inlineStr">
        <is>
          <t>Matt</t>
        </is>
      </c>
      <c r="I736" t="n">
        <v>943</v>
      </c>
    </row>
    <row r="737">
      <c r="A737" s="1">
        <f>Hyperlink("https://www.tilemountain.co.uk/p/montclair-polished-porcelain.html","Product")</f>
        <v/>
      </c>
      <c r="B737" s="1" t="inlineStr">
        <is>
          <t>444895</t>
        </is>
      </c>
      <c r="C737" s="1" t="inlineStr">
        <is>
          <t>Montclair Polished Porcelain Floor Tile</t>
        </is>
      </c>
      <c r="D737" s="1" t="n">
        <v>42.99</v>
      </c>
      <c r="E737" s="1" t="inlineStr">
        <is>
          <t>1200x1200mm</t>
        </is>
      </c>
      <c r="F737" s="1" t="inlineStr">
        <is>
          <t>m2</t>
        </is>
      </c>
      <c r="G737" s="1" t="inlineStr">
        <is>
          <t>Porcelain</t>
        </is>
      </c>
      <c r="H737" s="1" t="inlineStr">
        <is>
          <t>Polished</t>
        </is>
      </c>
      <c r="I737" t="n">
        <v>359</v>
      </c>
    </row>
    <row r="738">
      <c r="A738" s="1">
        <f>Hyperlink("https://www.tilemountain.co.uk/p/mosaic-backer-300x300.html","Product")</f>
        <v/>
      </c>
      <c r="B738" s="1" t="inlineStr">
        <is>
          <t>450800</t>
        </is>
      </c>
      <c r="C738" s="1" t="inlineStr">
        <is>
          <t>Mosaic Backer 300x300</t>
        </is>
      </c>
      <c r="D738" s="1" t="n">
        <v>1.49</v>
      </c>
      <c r="E738" s="1" t="inlineStr">
        <is>
          <t>-</t>
        </is>
      </c>
      <c r="F738" s="1" t="inlineStr">
        <is>
          <t>Qty</t>
        </is>
      </c>
      <c r="G738" s="1" t="inlineStr">
        <is>
          <t>-</t>
        </is>
      </c>
      <c r="H738" s="1" t="inlineStr">
        <is>
          <t>-</t>
        </is>
      </c>
      <c r="I738" t="inlineStr">
        <is>
          <t>In Stock</t>
        </is>
      </c>
    </row>
    <row r="739">
      <c r="A739" s="1">
        <f>Hyperlink("https://www.tilemountain.co.uk/p/mountain-atlas-white-glass-mosaic.html","Product")</f>
        <v/>
      </c>
      <c r="B739" s="1" t="inlineStr">
        <is>
          <t>450075</t>
        </is>
      </c>
      <c r="C739" s="1" t="inlineStr">
        <is>
          <t>Mountain Atlas White Glass Mosaic 300x300</t>
        </is>
      </c>
      <c r="D739" s="1" t="n">
        <v>12.95</v>
      </c>
      <c r="E739" s="1" t="inlineStr">
        <is>
          <t>300x300mm</t>
        </is>
      </c>
      <c r="F739" s="1" t="inlineStr">
        <is>
          <t>sheet</t>
        </is>
      </c>
      <c r="G739" s="1" t="inlineStr">
        <is>
          <t>Glass</t>
        </is>
      </c>
      <c r="H739" s="1" t="inlineStr">
        <is>
          <t>Gloss</t>
        </is>
      </c>
      <c r="I739" t="n">
        <v>57</v>
      </c>
    </row>
    <row r="740">
      <c r="A740" s="1">
        <f>Hyperlink("https://www.tilemountain.co.uk/p/mountain-grampian-grey-glass-mosaic_1.html","Product")</f>
        <v/>
      </c>
      <c r="B740" s="1" t="inlineStr">
        <is>
          <t>450080</t>
        </is>
      </c>
      <c r="C740" s="1" t="inlineStr">
        <is>
          <t>Mountain Grampian Grey Glass Mosaic 300x300</t>
        </is>
      </c>
      <c r="D740" s="1" t="n">
        <v>12.95</v>
      </c>
      <c r="E740" s="1" t="inlineStr">
        <is>
          <t>300x300mm</t>
        </is>
      </c>
      <c r="F740" s="1" t="inlineStr">
        <is>
          <t>sheet</t>
        </is>
      </c>
      <c r="G740" s="1" t="inlineStr">
        <is>
          <t>Glass</t>
        </is>
      </c>
      <c r="H740" s="1" t="inlineStr">
        <is>
          <t>Gloss</t>
        </is>
      </c>
      <c r="I740" t="inlineStr">
        <is>
          <t>In Stock</t>
        </is>
      </c>
    </row>
    <row r="741">
      <c r="A741" s="1">
        <f>Hyperlink("https://www.tilemountain.co.uk/p/move-white-polished-porcelain-floor-tile.html","Product")</f>
        <v/>
      </c>
      <c r="B741" s="1" t="inlineStr">
        <is>
          <t>450275</t>
        </is>
      </c>
      <c r="C741" s="1" t="inlineStr">
        <is>
          <t>Milan Polished Porcelain Floor Tile</t>
        </is>
      </c>
      <c r="D741" s="1" t="n">
        <v>20.99</v>
      </c>
      <c r="E741" s="1" t="inlineStr">
        <is>
          <t>1200x600mm</t>
        </is>
      </c>
      <c r="F741" s="1" t="inlineStr">
        <is>
          <t>m2</t>
        </is>
      </c>
      <c r="G741" s="1" t="inlineStr">
        <is>
          <t>Porcelain</t>
        </is>
      </c>
      <c r="H741" s="1" t="inlineStr">
        <is>
          <t>Polished</t>
        </is>
      </c>
      <c r="I741" t="n">
        <v>1207</v>
      </c>
    </row>
    <row r="742">
      <c r="A742" s="1">
        <f>Hyperlink("https://www.tilemountain.co.uk/p/mp90-eco-xtreme-1ltr.html","Product")</f>
        <v/>
      </c>
      <c r="B742" s="1" t="inlineStr">
        <is>
          <t>452440</t>
        </is>
      </c>
      <c r="C742" s="1" t="inlineStr">
        <is>
          <t>MP90 Eco Xtreme 1ltr</t>
        </is>
      </c>
      <c r="D742" s="1" t="n">
        <v>53.99</v>
      </c>
      <c r="E742" s="1" t="inlineStr">
        <is>
          <t>-</t>
        </is>
      </c>
      <c r="F742" s="1" t="inlineStr">
        <is>
          <t>Qty</t>
        </is>
      </c>
      <c r="G742" s="1" t="inlineStr">
        <is>
          <t>-</t>
        </is>
      </c>
      <c r="H742" s="1" t="inlineStr">
        <is>
          <t>-</t>
        </is>
      </c>
      <c r="I742" t="n">
        <v>17</v>
      </c>
    </row>
    <row r="743">
      <c r="A743" s="1">
        <f>Hyperlink("https://www.tilemountain.co.uk/p/mr-jones-blue-pattern-wall-and-floor-tile.html","Product")</f>
        <v/>
      </c>
      <c r="B743" s="1" t="inlineStr">
        <is>
          <t>449005</t>
        </is>
      </c>
      <c r="C743" s="1" t="inlineStr">
        <is>
          <t>Mr Jones Azure Blue Pattern Wall and Floor Tile</t>
        </is>
      </c>
      <c r="D743" s="1" t="n">
        <v>13.99</v>
      </c>
      <c r="E743" s="1" t="inlineStr">
        <is>
          <t>330x330mm</t>
        </is>
      </c>
      <c r="F743" s="1" t="inlineStr">
        <is>
          <t>m2</t>
        </is>
      </c>
      <c r="G743" s="1" t="inlineStr">
        <is>
          <t>Porcelain</t>
        </is>
      </c>
      <c r="H743" s="1" t="inlineStr">
        <is>
          <t>Matt</t>
        </is>
      </c>
      <c r="I743" t="inlineStr">
        <is>
          <t>More Stock due 30/11/21</t>
        </is>
      </c>
    </row>
    <row r="744">
      <c r="A744" s="1">
        <f>Hyperlink("https://www.tilemountain.co.uk/p/mr-jones-cream-pattern-wall-and-floor-tile.html","Product")</f>
        <v/>
      </c>
      <c r="B744" s="1" t="inlineStr">
        <is>
          <t>449000</t>
        </is>
      </c>
      <c r="C744" s="1" t="inlineStr">
        <is>
          <t>Mr Jones Cream Pattern Wall and Floor Tile</t>
        </is>
      </c>
      <c r="D744" s="1" t="n">
        <v>13.99</v>
      </c>
      <c r="E744" s="1" t="inlineStr">
        <is>
          <t>330x330mm</t>
        </is>
      </c>
      <c r="F744" s="1" t="inlineStr">
        <is>
          <t>m2</t>
        </is>
      </c>
      <c r="G744" s="1" t="inlineStr">
        <is>
          <t>-</t>
        </is>
      </c>
      <c r="H744" s="1" t="inlineStr">
        <is>
          <t>-</t>
        </is>
      </c>
      <c r="I744" t="inlineStr">
        <is>
          <t>In Stock</t>
        </is>
      </c>
    </row>
    <row r="745">
      <c r="A745" s="1">
        <f>Hyperlink("https://www.tilemountain.co.uk/p/mr-jones-grey-pattern-wall-and-floor-tile_1.html","Product")</f>
        <v/>
      </c>
      <c r="B745" s="1" t="inlineStr">
        <is>
          <t>448995</t>
        </is>
      </c>
      <c r="C745" s="1" t="inlineStr">
        <is>
          <t>Mr Jones Grey Pattern Wall and Floor Tile</t>
        </is>
      </c>
      <c r="D745" s="1" t="n">
        <v>13.99</v>
      </c>
      <c r="E745" s="1" t="inlineStr">
        <is>
          <t>330x330mm</t>
        </is>
      </c>
      <c r="F745" s="1" t="inlineStr">
        <is>
          <t>m2</t>
        </is>
      </c>
      <c r="G745" s="1" t="inlineStr">
        <is>
          <t>Porcelain</t>
        </is>
      </c>
      <c r="H745" s="1" t="inlineStr">
        <is>
          <t>Matt</t>
        </is>
      </c>
      <c r="I745" t="n">
        <v>377</v>
      </c>
    </row>
    <row r="746">
      <c r="A746" s="1">
        <f>Hyperlink("https://www.tilemountain.co.uk/p/munari-branco-ac-60x60.html","Product")</f>
        <v/>
      </c>
      <c r="B746" s="1" t="inlineStr">
        <is>
          <t>448525</t>
        </is>
      </c>
      <c r="C746" s="1" t="inlineStr">
        <is>
          <t>Munari Soft Bianco Concrete Effect Wall and Floor Tile</t>
        </is>
      </c>
      <c r="D746" s="1" t="n">
        <v>15.99</v>
      </c>
      <c r="E746" s="1" t="inlineStr">
        <is>
          <t>600x600mm</t>
        </is>
      </c>
      <c r="F746" s="1" t="inlineStr">
        <is>
          <t>m2</t>
        </is>
      </c>
      <c r="G746" s="1" t="inlineStr">
        <is>
          <t>Porcelain</t>
        </is>
      </c>
      <c r="H746" s="1" t="inlineStr">
        <is>
          <t>Matt</t>
        </is>
      </c>
      <c r="I746" t="inlineStr">
        <is>
          <t>More Stock due 29/10/21</t>
        </is>
      </c>
    </row>
    <row r="747">
      <c r="A747" s="1">
        <f>Hyperlink("https://www.tilemountain.co.uk/p/munari-cimento-ac-60x60_1.html","Product")</f>
        <v/>
      </c>
      <c r="B747" s="1" t="inlineStr">
        <is>
          <t>448530</t>
        </is>
      </c>
      <c r="C747" s="1" t="inlineStr">
        <is>
          <t>Munari Soft Grey Concrete Effect Wall and Floor Tile</t>
        </is>
      </c>
      <c r="D747" s="1" t="n">
        <v>15.99</v>
      </c>
      <c r="E747" s="1" t="inlineStr">
        <is>
          <t>600x600mm</t>
        </is>
      </c>
      <c r="F747" s="1" t="inlineStr">
        <is>
          <t>m2</t>
        </is>
      </c>
      <c r="G747" s="1" t="inlineStr">
        <is>
          <t>Porcelain</t>
        </is>
      </c>
      <c r="H747" s="1" t="inlineStr">
        <is>
          <t>Matt</t>
        </is>
      </c>
      <c r="I747" t="n">
        <v>1153</v>
      </c>
    </row>
    <row r="748">
      <c r="A748" s="1">
        <f>Hyperlink("https://www.tilemountain.co.uk/p/muralla-grey-brick-wall-tile.html","Product")</f>
        <v/>
      </c>
      <c r="B748" s="1" t="inlineStr">
        <is>
          <t>438490</t>
        </is>
      </c>
      <c r="C748" s="1" t="inlineStr">
        <is>
          <t>Muralla Grey Brick Wall Tiles</t>
        </is>
      </c>
      <c r="D748" s="1" t="n">
        <v>24.99</v>
      </c>
      <c r="E748" s="1" t="inlineStr">
        <is>
          <t>280x75mm</t>
        </is>
      </c>
      <c r="F748" s="1" t="inlineStr">
        <is>
          <t>m2</t>
        </is>
      </c>
      <c r="G748" s="1" t="inlineStr">
        <is>
          <t>Glazed Porcelain</t>
        </is>
      </c>
      <c r="H748" s="1" t="inlineStr">
        <is>
          <t>Matt</t>
        </is>
      </c>
      <c r="I748" t="n">
        <v>156</v>
      </c>
    </row>
    <row r="749">
      <c r="A749" s="1">
        <f>Hyperlink("https://www.tilemountain.co.uk/p/muralla-red-brick-wall-tile.html","Product")</f>
        <v/>
      </c>
      <c r="B749" s="1" t="inlineStr">
        <is>
          <t>438485</t>
        </is>
      </c>
      <c r="C749" s="1" t="inlineStr">
        <is>
          <t>Muralla Red Brick Wall Tiles</t>
        </is>
      </c>
      <c r="D749" s="1" t="n">
        <v>24.99</v>
      </c>
      <c r="E749" s="1" t="inlineStr">
        <is>
          <t>280x75mm</t>
        </is>
      </c>
      <c r="F749" s="1" t="inlineStr">
        <is>
          <t>m2</t>
        </is>
      </c>
      <c r="G749" s="1" t="inlineStr">
        <is>
          <t>Glazed Porcelain</t>
        </is>
      </c>
      <c r="H749" s="1" t="inlineStr">
        <is>
          <t>Matt</t>
        </is>
      </c>
      <c r="I749" t="n">
        <v>49</v>
      </c>
    </row>
    <row r="750">
      <c r="A750" s="1">
        <f>Hyperlink("https://www.tilemountain.co.uk/p/muralla-white-brick-corner-tile.html","Product")</f>
        <v/>
      </c>
      <c r="B750" s="1" t="inlineStr">
        <is>
          <t>439225</t>
        </is>
      </c>
      <c r="C750" s="1" t="inlineStr">
        <is>
          <t>Muralla White Brick Corner Tiles</t>
        </is>
      </c>
      <c r="D750" s="1" t="n">
        <v>4.99</v>
      </c>
      <c r="E750" s="1" t="inlineStr">
        <is>
          <t>7x13mm</t>
        </is>
      </c>
      <c r="F750" s="1" t="inlineStr">
        <is>
          <t>Qty</t>
        </is>
      </c>
      <c r="G750" s="1" t="inlineStr">
        <is>
          <t>Glazed Porcelain</t>
        </is>
      </c>
      <c r="H750" s="1" t="inlineStr">
        <is>
          <t>Matt</t>
        </is>
      </c>
      <c r="I750" t="inlineStr">
        <is>
          <t>In Stock</t>
        </is>
      </c>
    </row>
    <row r="751">
      <c r="A751" s="1">
        <f>Hyperlink("https://www.tilemountain.co.uk/p/muralla-white-brick-wall-tile.html","Product")</f>
        <v/>
      </c>
      <c r="B751" s="1" t="inlineStr">
        <is>
          <t>438480</t>
        </is>
      </c>
      <c r="C751" s="1" t="inlineStr">
        <is>
          <t>Muralla White Brick Wall Tiles</t>
        </is>
      </c>
      <c r="D751" s="1" t="n">
        <v>24.99</v>
      </c>
      <c r="E751" s="1" t="inlineStr">
        <is>
          <t>280x75mm</t>
        </is>
      </c>
      <c r="F751" s="1" t="inlineStr">
        <is>
          <t>m2</t>
        </is>
      </c>
      <c r="G751" s="1" t="inlineStr">
        <is>
          <t>Glazed Porcelain</t>
        </is>
      </c>
      <c r="H751" s="1" t="inlineStr">
        <is>
          <t>Matt</t>
        </is>
      </c>
      <c r="I751" t="n">
        <v>149</v>
      </c>
    </row>
    <row r="752">
      <c r="A752" s="1">
        <f>Hyperlink("https://www.tilemountain.co.uk/p/muse-60bg-lp.html","Product")</f>
        <v/>
      </c>
      <c r="B752" s="1" t="inlineStr">
        <is>
          <t>442650</t>
        </is>
      </c>
      <c r="C752" s="1" t="inlineStr">
        <is>
          <t>Muse Beige Polished Floor Tiles</t>
        </is>
      </c>
      <c r="D752" s="1" t="n">
        <v>55.99</v>
      </c>
      <c r="E752" s="1" t="inlineStr">
        <is>
          <t>600x600mm</t>
        </is>
      </c>
      <c r="F752" s="1" t="inlineStr">
        <is>
          <t>m2</t>
        </is>
      </c>
      <c r="G752" s="1" t="inlineStr">
        <is>
          <t>Porcelain</t>
        </is>
      </c>
      <c r="H752" s="1" t="inlineStr">
        <is>
          <t>Gloss</t>
        </is>
      </c>
      <c r="I752" t="n">
        <v>108</v>
      </c>
    </row>
    <row r="753">
      <c r="A753" s="1">
        <f>Hyperlink("https://www.tilemountain.co.uk/p/muse-60bg.html","Product")</f>
        <v/>
      </c>
      <c r="B753" s="1" t="inlineStr">
        <is>
          <t>442610</t>
        </is>
      </c>
      <c r="C753" s="1" t="inlineStr">
        <is>
          <t>Muse Beige Matt Floor Tiles</t>
        </is>
      </c>
      <c r="D753" s="1" t="n">
        <v>39.99</v>
      </c>
      <c r="E753" s="1" t="inlineStr">
        <is>
          <t>600x600mm</t>
        </is>
      </c>
      <c r="F753" s="1" t="inlineStr">
        <is>
          <t>m2</t>
        </is>
      </c>
      <c r="G753" s="1" t="inlineStr">
        <is>
          <t>Porcelain</t>
        </is>
      </c>
      <c r="H753" s="1" t="inlineStr">
        <is>
          <t>Matt</t>
        </is>
      </c>
      <c r="I753" t="inlineStr">
        <is>
          <t>More Stock due 05/11/21</t>
        </is>
      </c>
    </row>
    <row r="754">
      <c r="A754" s="1">
        <f>Hyperlink("https://www.tilemountain.co.uk/p/muse-60dg-lp.html","Product")</f>
        <v/>
      </c>
      <c r="B754" s="1" t="inlineStr">
        <is>
          <t>442655</t>
        </is>
      </c>
      <c r="C754" s="1" t="inlineStr">
        <is>
          <t>Muse Dark Grey Polished Floor Tiles</t>
        </is>
      </c>
      <c r="D754" s="1" t="n">
        <v>55.99</v>
      </c>
      <c r="E754" s="1" t="inlineStr">
        <is>
          <t>600x600mm</t>
        </is>
      </c>
      <c r="F754" s="1" t="inlineStr">
        <is>
          <t>m2</t>
        </is>
      </c>
      <c r="G754" s="1" t="inlineStr">
        <is>
          <t>Porcelain</t>
        </is>
      </c>
      <c r="H754" s="1" t="inlineStr">
        <is>
          <t>Gloss</t>
        </is>
      </c>
      <c r="I754" t="n">
        <v>136</v>
      </c>
    </row>
    <row r="755">
      <c r="A755" s="1">
        <f>Hyperlink("https://www.tilemountain.co.uk/p/muse-60dg.html","Product")</f>
        <v/>
      </c>
      <c r="B755" s="1" t="inlineStr">
        <is>
          <t>442615</t>
        </is>
      </c>
      <c r="C755" s="1" t="inlineStr">
        <is>
          <t>Muse Dark Grey Matt Floor Tiles</t>
        </is>
      </c>
      <c r="D755" s="1" t="n">
        <v>39.99</v>
      </c>
      <c r="E755" s="1" t="inlineStr">
        <is>
          <t>600x600mm</t>
        </is>
      </c>
      <c r="F755" s="1" t="inlineStr">
        <is>
          <t>m2</t>
        </is>
      </c>
      <c r="G755" s="1" t="inlineStr">
        <is>
          <t>Porcelain</t>
        </is>
      </c>
      <c r="H755" s="1" t="inlineStr">
        <is>
          <t>Matt</t>
        </is>
      </c>
      <c r="I755" t="n">
        <v>114</v>
      </c>
    </row>
    <row r="756">
      <c r="A756" s="1">
        <f>Hyperlink("https://www.tilemountain.co.uk/p/muse-60g-lp.html","Product")</f>
        <v/>
      </c>
      <c r="B756" s="1" t="inlineStr">
        <is>
          <t>442660</t>
        </is>
      </c>
      <c r="C756" s="1" t="inlineStr">
        <is>
          <t>Muse Grey Polished Floor Tiles</t>
        </is>
      </c>
      <c r="D756" s="1" t="n">
        <v>55.99</v>
      </c>
      <c r="E756" s="1" t="inlineStr">
        <is>
          <t>600x600mm</t>
        </is>
      </c>
      <c r="F756" s="1" t="inlineStr">
        <is>
          <t>m2</t>
        </is>
      </c>
      <c r="G756" s="1" t="inlineStr">
        <is>
          <t>Porcelain</t>
        </is>
      </c>
      <c r="H756" s="1" t="inlineStr">
        <is>
          <t>Gloss</t>
        </is>
      </c>
      <c r="I756" t="n">
        <v>447</v>
      </c>
    </row>
    <row r="757">
      <c r="A757" s="1">
        <f>Hyperlink("https://www.tilemountain.co.uk/p/muse-60g.html","Product")</f>
        <v/>
      </c>
      <c r="B757" s="1" t="inlineStr">
        <is>
          <t>442620</t>
        </is>
      </c>
      <c r="C757" s="1" t="inlineStr">
        <is>
          <t>Muse Grey Matt Floor Tiles</t>
        </is>
      </c>
      <c r="D757" s="1" t="n">
        <v>39.99</v>
      </c>
      <c r="E757" s="1" t="inlineStr">
        <is>
          <t>600x600mm</t>
        </is>
      </c>
      <c r="F757" s="1" t="inlineStr">
        <is>
          <t>m2</t>
        </is>
      </c>
      <c r="G757" s="1" t="inlineStr">
        <is>
          <t>Porcelain</t>
        </is>
      </c>
      <c r="H757" s="1" t="inlineStr">
        <is>
          <t>Matt</t>
        </is>
      </c>
      <c r="I757" t="n">
        <v>441</v>
      </c>
    </row>
    <row r="758">
      <c r="A758" s="1">
        <f>Hyperlink("https://www.tilemountain.co.uk/p/muse-60w-lp.html","Product")</f>
        <v/>
      </c>
      <c r="B758" s="1" t="inlineStr">
        <is>
          <t>442645</t>
        </is>
      </c>
      <c r="C758" s="1" t="inlineStr">
        <is>
          <t>Muse White Polished Floor Tiles</t>
        </is>
      </c>
      <c r="D758" s="1" t="n">
        <v>59.99</v>
      </c>
      <c r="E758" s="1" t="inlineStr">
        <is>
          <t>600x600mm</t>
        </is>
      </c>
      <c r="F758" s="1" t="inlineStr">
        <is>
          <t>m2</t>
        </is>
      </c>
      <c r="G758" s="1" t="inlineStr">
        <is>
          <t>Porcelain</t>
        </is>
      </c>
      <c r="H758" s="1" t="inlineStr">
        <is>
          <t>Gloss</t>
        </is>
      </c>
      <c r="I758" t="n">
        <v>349</v>
      </c>
    </row>
    <row r="759">
      <c r="A759" s="1">
        <f>Hyperlink("https://www.tilemountain.co.uk/p/muse-60w.html","Product")</f>
        <v/>
      </c>
      <c r="B759" s="1" t="inlineStr">
        <is>
          <t>442605</t>
        </is>
      </c>
      <c r="C759" s="1" t="inlineStr">
        <is>
          <t>Muse White Matt Floor Tiles</t>
        </is>
      </c>
      <c r="D759" s="1" t="n">
        <v>43.99</v>
      </c>
      <c r="E759" s="1" t="inlineStr">
        <is>
          <t>600x600mm</t>
        </is>
      </c>
      <c r="F759" s="1" t="inlineStr">
        <is>
          <t>m2</t>
        </is>
      </c>
      <c r="G759" s="1" t="inlineStr">
        <is>
          <t>Porcelain</t>
        </is>
      </c>
      <c r="H759" s="1" t="inlineStr">
        <is>
          <t>Matt</t>
        </is>
      </c>
      <c r="I759" t="n">
        <v>26</v>
      </c>
    </row>
    <row r="760">
      <c r="A760" s="1">
        <f>Hyperlink("https://www.tilemountain.co.uk/p/mustang-levelling-system-starter-kit.html","Product")</f>
        <v/>
      </c>
      <c r="B760" s="1" t="inlineStr">
        <is>
          <t>443880</t>
        </is>
      </c>
      <c r="C760" s="1" t="inlineStr">
        <is>
          <t>Mustang Levelling System Starter Kit</t>
        </is>
      </c>
      <c r="D760" s="1" t="n">
        <v>62.99</v>
      </c>
      <c r="E760" s="1" t="inlineStr">
        <is>
          <t>-</t>
        </is>
      </c>
      <c r="F760" s="1" t="inlineStr">
        <is>
          <t>Qty</t>
        </is>
      </c>
      <c r="G760" s="1" t="inlineStr">
        <is>
          <t>-</t>
        </is>
      </c>
      <c r="H760" s="1" t="inlineStr">
        <is>
          <t>-</t>
        </is>
      </c>
      <c r="I760" t="inlineStr">
        <is>
          <t>In Stock</t>
        </is>
      </c>
    </row>
    <row r="761">
      <c r="A761" s="1">
        <f>Hyperlink("https://www.tilemountain.co.uk/p/mustang-levelling-system-tool.html","Product")</f>
        <v/>
      </c>
      <c r="B761" s="1" t="inlineStr">
        <is>
          <t>443890</t>
        </is>
      </c>
      <c r="C761" s="1" t="inlineStr">
        <is>
          <t>Mustang Levelling System Tool</t>
        </is>
      </c>
      <c r="D761" s="1" t="n">
        <v>34.99</v>
      </c>
      <c r="E761" s="1" t="inlineStr">
        <is>
          <t>-</t>
        </is>
      </c>
      <c r="F761" s="1" t="inlineStr">
        <is>
          <t>Qty</t>
        </is>
      </c>
      <c r="G761" s="1" t="inlineStr">
        <is>
          <t>-</t>
        </is>
      </c>
      <c r="H761" s="1" t="inlineStr">
        <is>
          <t>-</t>
        </is>
      </c>
      <c r="I761" t="inlineStr">
        <is>
          <t>In Stock</t>
        </is>
      </c>
    </row>
    <row r="762">
      <c r="A762" s="1">
        <f>Hyperlink("https://www.tilemountain.co.uk/p/naoswhite-marble-effect-polished-floor-tile-800x800_1.html","Product")</f>
        <v/>
      </c>
      <c r="B762" s="1" t="inlineStr">
        <is>
          <t>454565</t>
        </is>
      </c>
      <c r="C762" s="1" t="inlineStr">
        <is>
          <t>Naos White Marble Effect Polished Floor Tile</t>
        </is>
      </c>
      <c r="D762" s="1" t="n">
        <v>21.99</v>
      </c>
      <c r="E762" s="1" t="inlineStr">
        <is>
          <t>800x800mm</t>
        </is>
      </c>
      <c r="F762" s="1" t="inlineStr">
        <is>
          <t>m2</t>
        </is>
      </c>
      <c r="G762" s="1" t="inlineStr">
        <is>
          <t>Porcelain</t>
        </is>
      </c>
      <c r="H762" s="1" t="inlineStr">
        <is>
          <t>Polished</t>
        </is>
      </c>
      <c r="I762" t="n">
        <v>416</v>
      </c>
    </row>
    <row r="763">
      <c r="A763" s="1">
        <f>Hyperlink("https://www.tilemountain.co.uk/p/naples-gloss-travertine-effect-cream-wall-tile.html","Product")</f>
        <v/>
      </c>
      <c r="B763" s="1" t="inlineStr">
        <is>
          <t>448805</t>
        </is>
      </c>
      <c r="C763" s="1" t="inlineStr">
        <is>
          <t>Naples Gloss Travertine Effect Cream Wall Tile</t>
        </is>
      </c>
      <c r="D763" s="1" t="n">
        <v>12.99</v>
      </c>
      <c r="E763" s="1" t="inlineStr">
        <is>
          <t>600x300mm</t>
        </is>
      </c>
      <c r="F763" s="1" t="inlineStr">
        <is>
          <t>m2</t>
        </is>
      </c>
      <c r="G763" s="1" t="inlineStr">
        <is>
          <t>Ceramic</t>
        </is>
      </c>
      <c r="H763" s="1" t="inlineStr">
        <is>
          <t>Gloss</t>
        </is>
      </c>
      <c r="I763" t="n">
        <v>519</v>
      </c>
    </row>
    <row r="764">
      <c r="A764" s="1">
        <f>Hyperlink("https://www.tilemountain.co.uk/p/naples-gloss-travertine-effect-dark-grey-wall-tile.html","Product")</f>
        <v/>
      </c>
      <c r="B764" s="1" t="inlineStr">
        <is>
          <t>448810</t>
        </is>
      </c>
      <c r="C764" s="1" t="inlineStr">
        <is>
          <t>Naples Gloss Travertine Effect Dark Grey Wall Tile</t>
        </is>
      </c>
      <c r="D764" s="1" t="n">
        <v>12.99</v>
      </c>
      <c r="E764" s="1" t="inlineStr">
        <is>
          <t>600x300mm</t>
        </is>
      </c>
      <c r="F764" s="1" t="inlineStr">
        <is>
          <t>m2</t>
        </is>
      </c>
      <c r="G764" s="1" t="inlineStr">
        <is>
          <t>Ceramic</t>
        </is>
      </c>
      <c r="H764" s="1" t="inlineStr">
        <is>
          <t>Gloss</t>
        </is>
      </c>
      <c r="I764" t="n">
        <v>1245</v>
      </c>
    </row>
    <row r="765">
      <c r="A765" s="1">
        <f>Hyperlink("https://www.tilemountain.co.uk/p/naples-matt-travertine-effect-cream-porcelain-floor-tile.html","Product")</f>
        <v/>
      </c>
      <c r="B765" s="1" t="inlineStr">
        <is>
          <t>448825</t>
        </is>
      </c>
      <c r="C765" s="1" t="inlineStr">
        <is>
          <t>Naples Matt Travertine Effect Cream Floor Tile</t>
        </is>
      </c>
      <c r="D765" s="1" t="n">
        <v>12.99</v>
      </c>
      <c r="E765" s="1" t="inlineStr">
        <is>
          <t>450x450mm</t>
        </is>
      </c>
      <c r="F765" s="1" t="inlineStr">
        <is>
          <t>m2</t>
        </is>
      </c>
      <c r="G765" s="1" t="inlineStr">
        <is>
          <t>Porcelain</t>
        </is>
      </c>
      <c r="H765" s="1" t="inlineStr">
        <is>
          <t>Matt</t>
        </is>
      </c>
      <c r="I765" t="inlineStr">
        <is>
          <t>More Stock due 19/11/21</t>
        </is>
      </c>
    </row>
    <row r="766">
      <c r="A766" s="1">
        <f>Hyperlink("https://www.tilemountain.co.uk/p/naples-matt-travertine-effect-dark-grey-porcelain-floor-tile_1.html","Product")</f>
        <v/>
      </c>
      <c r="B766" s="1" t="inlineStr">
        <is>
          <t>448820</t>
        </is>
      </c>
      <c r="C766" s="1" t="inlineStr">
        <is>
          <t>Naples Matt Travertine Effect Dark Grey Floor Tile</t>
        </is>
      </c>
      <c r="D766" s="1" t="n">
        <v>12.99</v>
      </c>
      <c r="E766" s="1" t="inlineStr">
        <is>
          <t>450x450mm</t>
        </is>
      </c>
      <c r="F766" s="1" t="inlineStr">
        <is>
          <t>m2</t>
        </is>
      </c>
      <c r="G766" s="1" t="inlineStr">
        <is>
          <t>Porcelain</t>
        </is>
      </c>
      <c r="H766" s="1" t="inlineStr">
        <is>
          <t>Matt</t>
        </is>
      </c>
      <c r="I766" t="n">
        <v>489</v>
      </c>
    </row>
    <row r="767">
      <c r="A767" s="1">
        <f>Hyperlink("https://www.tilemountain.co.uk/p/nativa-dark-wall-tiles.html","Product")</f>
        <v/>
      </c>
      <c r="B767" s="1" t="inlineStr">
        <is>
          <t>455230</t>
        </is>
      </c>
      <c r="C767" s="1" t="inlineStr">
        <is>
          <t>Nativa Dark Cladding Wall Tiles</t>
        </is>
      </c>
      <c r="D767" s="1" t="n">
        <v>26.99</v>
      </c>
      <c r="E767" s="1" t="inlineStr">
        <is>
          <t>400x160mm</t>
        </is>
      </c>
      <c r="F767" s="1" t="inlineStr">
        <is>
          <t>m2</t>
        </is>
      </c>
      <c r="G767" s="1" t="inlineStr">
        <is>
          <t>Porcelain</t>
        </is>
      </c>
      <c r="H767" s="1" t="inlineStr">
        <is>
          <t>Riven</t>
        </is>
      </c>
      <c r="I767" t="inlineStr">
        <is>
          <t>More Stock</t>
        </is>
      </c>
    </row>
    <row r="768">
      <c r="A768" s="1">
        <f>Hyperlink("https://www.tilemountain.co.uk/p/nativa-light-wall-tiles.html","Product")</f>
        <v/>
      </c>
      <c r="B768" s="1" t="inlineStr">
        <is>
          <t>455220</t>
        </is>
      </c>
      <c r="C768" s="1" t="inlineStr">
        <is>
          <t>Nativa Light Cladding Wall Tiles</t>
        </is>
      </c>
      <c r="D768" s="1" t="n">
        <v>26.99</v>
      </c>
      <c r="E768" s="1" t="inlineStr">
        <is>
          <t>400x160mm</t>
        </is>
      </c>
      <c r="F768" s="1" t="inlineStr">
        <is>
          <t>m2</t>
        </is>
      </c>
      <c r="G768" s="1" t="inlineStr">
        <is>
          <t>Porcelain</t>
        </is>
      </c>
      <c r="H768" s="1" t="inlineStr">
        <is>
          <t>Riven</t>
        </is>
      </c>
      <c r="I768" t="n">
        <v>157</v>
      </c>
    </row>
    <row r="769">
      <c r="A769" s="1">
        <f>Hyperlink("https://www.tilemountain.co.uk/p/nativa-medium-wall-tiles.html","Product")</f>
        <v/>
      </c>
      <c r="B769" s="1" t="inlineStr">
        <is>
          <t>455225</t>
        </is>
      </c>
      <c r="C769" s="1" t="inlineStr">
        <is>
          <t>Nativa Medium Cladding Wall Tiles</t>
        </is>
      </c>
      <c r="D769" s="1" t="n">
        <v>26.99</v>
      </c>
      <c r="E769" s="1" t="inlineStr">
        <is>
          <t>400x160mm</t>
        </is>
      </c>
      <c r="F769" s="1" t="inlineStr">
        <is>
          <t>m2</t>
        </is>
      </c>
      <c r="G769" s="1" t="inlineStr">
        <is>
          <t>Porcelain</t>
        </is>
      </c>
      <c r="H769" s="1" t="inlineStr">
        <is>
          <t>Riven</t>
        </is>
      </c>
      <c r="I769" t="n">
        <v>462</v>
      </c>
    </row>
    <row r="770">
      <c r="A770" s="1">
        <f>Hyperlink("https://www.tilemountain.co.uk/p/natural-tones-dove-gloss-floor-tile.html","Product")</f>
        <v/>
      </c>
      <c r="B770" s="1" t="inlineStr">
        <is>
          <t>437635</t>
        </is>
      </c>
      <c r="C770" s="1" t="inlineStr">
        <is>
          <t>Natural Tones Dove Gloss Floor Tiles</t>
        </is>
      </c>
      <c r="D770" s="1" t="n">
        <v>32.99</v>
      </c>
      <c r="E770" s="1" t="inlineStr">
        <is>
          <t>600x600mm</t>
        </is>
      </c>
      <c r="F770" s="1" t="inlineStr">
        <is>
          <t>m2</t>
        </is>
      </c>
      <c r="G770" s="1" t="inlineStr">
        <is>
          <t>Porcelain</t>
        </is>
      </c>
      <c r="H770" s="1" t="inlineStr">
        <is>
          <t>Gloss</t>
        </is>
      </c>
      <c r="I770" t="n">
        <v>27</v>
      </c>
    </row>
    <row r="771">
      <c r="A771" s="1">
        <f>Hyperlink("https://www.tilemountain.co.uk/p/natural-tones-ecru-matt-floor-tile.html","Product")</f>
        <v/>
      </c>
      <c r="B771" s="1" t="inlineStr">
        <is>
          <t>437605</t>
        </is>
      </c>
      <c r="C771" s="1" t="inlineStr">
        <is>
          <t>Natural Tones Ecru Matt Floor Tiles</t>
        </is>
      </c>
      <c r="D771" s="1" t="n">
        <v>32.99</v>
      </c>
      <c r="E771" s="1" t="inlineStr">
        <is>
          <t>600x600mm</t>
        </is>
      </c>
      <c r="F771" s="1" t="inlineStr">
        <is>
          <t>m2</t>
        </is>
      </c>
      <c r="G771" s="1" t="inlineStr">
        <is>
          <t>Porcelain</t>
        </is>
      </c>
      <c r="H771" s="1" t="inlineStr">
        <is>
          <t>Matt</t>
        </is>
      </c>
      <c r="I771" t="n">
        <v>83</v>
      </c>
    </row>
    <row r="772">
      <c r="A772" s="1">
        <f>Hyperlink("https://www.tilemountain.co.uk/p/natural-tones-ecru-matt-wall-tile.html","Product")</f>
        <v/>
      </c>
      <c r="B772" s="1" t="inlineStr">
        <is>
          <t>437560</t>
        </is>
      </c>
      <c r="C772" s="1" t="inlineStr">
        <is>
          <t>Natural Tones Ecru Matt Wall Tiles</t>
        </is>
      </c>
      <c r="D772" s="1" t="n">
        <v>29.99</v>
      </c>
      <c r="E772" s="1" t="inlineStr">
        <is>
          <t>300x600mm</t>
        </is>
      </c>
      <c r="F772" s="1" t="inlineStr">
        <is>
          <t>m2</t>
        </is>
      </c>
      <c r="G772" s="1" t="inlineStr">
        <is>
          <t>Ceramic</t>
        </is>
      </c>
      <c r="H772" s="1" t="inlineStr">
        <is>
          <t>Matt</t>
        </is>
      </c>
      <c r="I772" t="n">
        <v>27</v>
      </c>
    </row>
    <row r="773">
      <c r="A773" s="1">
        <f>Hyperlink("https://www.tilemountain.co.uk/p/natural-tones-nougat-gloss-floor-tile.html","Product")</f>
        <v/>
      </c>
      <c r="B773" s="1" t="inlineStr">
        <is>
          <t>437645</t>
        </is>
      </c>
      <c r="C773" s="1" t="inlineStr">
        <is>
          <t>Natural Tones Nougat Gloss Floor Tiles</t>
        </is>
      </c>
      <c r="D773" s="1" t="n">
        <v>32.99</v>
      </c>
      <c r="E773" s="1" t="inlineStr">
        <is>
          <t>600x600mm</t>
        </is>
      </c>
      <c r="F773" s="1" t="inlineStr">
        <is>
          <t>m2</t>
        </is>
      </c>
      <c r="G773" s="1" t="inlineStr">
        <is>
          <t>Porcelain</t>
        </is>
      </c>
      <c r="H773" s="1" t="inlineStr">
        <is>
          <t>Gloss</t>
        </is>
      </c>
      <c r="I773" t="n">
        <v>115</v>
      </c>
    </row>
    <row r="774">
      <c r="A774" s="1">
        <f>Hyperlink("https://www.tilemountain.co.uk/p/natural-tones-nougat-gloss-wall-tile.html","Product")</f>
        <v/>
      </c>
      <c r="B774" s="1" t="inlineStr">
        <is>
          <t>437600</t>
        </is>
      </c>
      <c r="C774" s="1" t="inlineStr">
        <is>
          <t>Natural Tones Nougat Gloss Wall Tiles</t>
        </is>
      </c>
      <c r="D774" s="1" t="n">
        <v>29.99</v>
      </c>
      <c r="E774" s="1" t="inlineStr">
        <is>
          <t>300x600mm</t>
        </is>
      </c>
      <c r="F774" s="1" t="inlineStr">
        <is>
          <t>m2</t>
        </is>
      </c>
      <c r="G774" s="1" t="inlineStr">
        <is>
          <t>Ceramic</t>
        </is>
      </c>
      <c r="H774" s="1" t="inlineStr">
        <is>
          <t>Gloss</t>
        </is>
      </c>
      <c r="I774" t="n">
        <v>28</v>
      </c>
    </row>
    <row r="775">
      <c r="A775" s="1">
        <f>Hyperlink("https://www.tilemountain.co.uk/p/natural-tones-zinc-matt-floor-tile.html","Product")</f>
        <v/>
      </c>
      <c r="B775" s="1" t="inlineStr">
        <is>
          <t>437620</t>
        </is>
      </c>
      <c r="C775" s="1" t="inlineStr">
        <is>
          <t>Natural Tones Zinc Matt Floor Tiles</t>
        </is>
      </c>
      <c r="D775" s="1" t="n">
        <v>32.99</v>
      </c>
      <c r="E775" s="1" t="inlineStr">
        <is>
          <t>600x600mm</t>
        </is>
      </c>
      <c r="F775" s="1" t="inlineStr">
        <is>
          <t>m2</t>
        </is>
      </c>
      <c r="G775" s="1" t="inlineStr">
        <is>
          <t>Porcelain</t>
        </is>
      </c>
      <c r="H775" s="1" t="inlineStr">
        <is>
          <t>Matt</t>
        </is>
      </c>
      <c r="I775" t="n">
        <v>102</v>
      </c>
    </row>
    <row r="776">
      <c r="A776" s="1">
        <f>Hyperlink("https://www.tilemountain.co.uk/p/natural-wood-dark-brown-tile-200x1200.html","Product")</f>
        <v/>
      </c>
      <c r="B776" s="1" t="inlineStr">
        <is>
          <t>449145</t>
        </is>
      </c>
      <c r="C776" s="1" t="inlineStr">
        <is>
          <t>Natural Wood Dark Brown Tiles</t>
        </is>
      </c>
      <c r="D776" s="1" t="n">
        <v>30.96</v>
      </c>
      <c r="E776" s="1" t="inlineStr">
        <is>
          <t>1200x200mm</t>
        </is>
      </c>
      <c r="F776" s="1" t="inlineStr">
        <is>
          <t>m2</t>
        </is>
      </c>
      <c r="G776" s="1" t="inlineStr">
        <is>
          <t>Porcelain</t>
        </is>
      </c>
      <c r="H776" s="1" t="inlineStr">
        <is>
          <t>Matt</t>
        </is>
      </c>
      <c r="I776" t="n">
        <v>37</v>
      </c>
    </row>
    <row r="777">
      <c r="A777" s="1">
        <f>Hyperlink("https://www.tilemountain.co.uk/p/nebraska-elm-outdoor-plank-tile.html","Product")</f>
        <v/>
      </c>
      <c r="B777" s="1" t="inlineStr">
        <is>
          <t>455315</t>
        </is>
      </c>
      <c r="C777" s="1" t="inlineStr">
        <is>
          <t>Nebraska Elm Wood Effect Outdoor Slab</t>
        </is>
      </c>
      <c r="D777" s="1" t="n">
        <v>39.99</v>
      </c>
      <c r="E777" s="1" t="inlineStr">
        <is>
          <t>1200x300mm</t>
        </is>
      </c>
      <c r="F777" s="1" t="inlineStr">
        <is>
          <t>m2</t>
        </is>
      </c>
      <c r="G777" s="1" t="inlineStr">
        <is>
          <t>Porcelain</t>
        </is>
      </c>
      <c r="H777" s="1" t="inlineStr">
        <is>
          <t>Matt</t>
        </is>
      </c>
      <c r="I777" t="n">
        <v>149</v>
      </c>
    </row>
    <row r="778">
      <c r="A778" s="1">
        <f>Hyperlink("https://www.tilemountain.co.uk/p/nebraska-maple-outdoor-plank-tile.html","Product")</f>
        <v/>
      </c>
      <c r="B778" s="1" t="inlineStr">
        <is>
          <t>455325</t>
        </is>
      </c>
      <c r="C778" s="1" t="inlineStr">
        <is>
          <t>Nebraska Maple Wood Effect Outdoor Slab</t>
        </is>
      </c>
      <c r="D778" s="1" t="n">
        <v>39.99</v>
      </c>
      <c r="E778" s="1" t="inlineStr">
        <is>
          <t>1200x300mm</t>
        </is>
      </c>
      <c r="F778" s="1" t="inlineStr">
        <is>
          <t>m2</t>
        </is>
      </c>
      <c r="G778" s="1" t="inlineStr">
        <is>
          <t>Porcelain</t>
        </is>
      </c>
      <c r="H778" s="1" t="inlineStr">
        <is>
          <t>Matt</t>
        </is>
      </c>
      <c r="I778" t="n">
        <v>149</v>
      </c>
    </row>
    <row r="779">
      <c r="A779" s="1">
        <f>Hyperlink("https://www.tilemountain.co.uk/p/nebraska-oak-outdoor-plank-tile.html","Product")</f>
        <v/>
      </c>
      <c r="B779" s="1" t="inlineStr">
        <is>
          <t>455320</t>
        </is>
      </c>
      <c r="C779" s="1" t="inlineStr">
        <is>
          <t>Nebraska Oak Wood Effect Outdoor Slab</t>
        </is>
      </c>
      <c r="D779" s="1" t="n">
        <v>39.99</v>
      </c>
      <c r="E779" s="1" t="inlineStr">
        <is>
          <t>1200x300mm</t>
        </is>
      </c>
      <c r="F779" s="1" t="inlineStr">
        <is>
          <t>m2</t>
        </is>
      </c>
      <c r="G779" s="1" t="inlineStr">
        <is>
          <t>Porcelain</t>
        </is>
      </c>
      <c r="H779" s="1" t="inlineStr">
        <is>
          <t>Matt</t>
        </is>
      </c>
      <c r="I779" t="n">
        <v>149</v>
      </c>
    </row>
    <row r="780">
      <c r="A780" s="1">
        <f>Hyperlink("https://www.tilemountain.co.uk/p/nexus-ice-matt-porcelain-wall-and-floor-tile.html","Product")</f>
        <v/>
      </c>
      <c r="B780" s="1" t="inlineStr">
        <is>
          <t>444425</t>
        </is>
      </c>
      <c r="C780" s="1" t="inlineStr">
        <is>
          <t>Nexus Ice Matt Porcelain Wall And Floor Tiles</t>
        </is>
      </c>
      <c r="D780" s="1" t="n">
        <v>12.99</v>
      </c>
      <c r="E780" s="1" t="inlineStr">
        <is>
          <t>600x300mm</t>
        </is>
      </c>
      <c r="F780" s="1" t="inlineStr">
        <is>
          <t>m2</t>
        </is>
      </c>
      <c r="G780" s="1" t="inlineStr">
        <is>
          <t>Porcelain</t>
        </is>
      </c>
      <c r="H780" s="1" t="inlineStr">
        <is>
          <t>Matt</t>
        </is>
      </c>
      <c r="I780" t="inlineStr">
        <is>
          <t>More Stock due 25/10/21</t>
        </is>
      </c>
    </row>
    <row r="781">
      <c r="A781" s="1">
        <f>Hyperlink("https://www.tilemountain.co.uk/p/nolla-geometric-wall-floor-tile-45x45cm.html","Product")</f>
        <v/>
      </c>
      <c r="B781" s="1" t="inlineStr">
        <is>
          <t>443300</t>
        </is>
      </c>
      <c r="C781" s="1" t="inlineStr">
        <is>
          <t>Chester Rustic Floor Tiles</t>
        </is>
      </c>
      <c r="D781" s="1" t="n">
        <v>24.99</v>
      </c>
      <c r="E781" s="1" t="inlineStr">
        <is>
          <t>450x450mm</t>
        </is>
      </c>
      <c r="F781" s="1" t="inlineStr">
        <is>
          <t>m2</t>
        </is>
      </c>
      <c r="G781" s="1" t="inlineStr">
        <is>
          <t>Ceramic</t>
        </is>
      </c>
      <c r="H781" s="1" t="inlineStr">
        <is>
          <t>Matt</t>
        </is>
      </c>
      <c r="I781" t="n">
        <v>217</v>
      </c>
    </row>
    <row r="782">
      <c r="A782" s="1">
        <f>Hyperlink("https://www.tilemountain.co.uk/p/norcros-ceramic-wall-and-floor-adhesive.html","Product")</f>
        <v/>
      </c>
      <c r="B782" s="1" t="inlineStr">
        <is>
          <t>451280</t>
        </is>
      </c>
      <c r="C782" s="1" t="inlineStr">
        <is>
          <t>Norcros Ceramic Wall and Floor Adhesive</t>
        </is>
      </c>
      <c r="D782" s="1" t="n">
        <v>10.99</v>
      </c>
      <c r="E782" s="1" t="inlineStr">
        <is>
          <t>-</t>
        </is>
      </c>
      <c r="F782" s="1" t="inlineStr">
        <is>
          <t>Qty</t>
        </is>
      </c>
      <c r="G782" s="1" t="inlineStr">
        <is>
          <t>-</t>
        </is>
      </c>
      <c r="H782" s="1" t="inlineStr">
        <is>
          <t>-</t>
        </is>
      </c>
      <c r="I782" t="inlineStr">
        <is>
          <t>In Stock</t>
        </is>
      </c>
    </row>
    <row r="783">
      <c r="A783" s="1">
        <f>Hyperlink("https://www.tilemountain.co.uk/p/norcros-one-part-flexible-white-20kg.html","Product")</f>
        <v/>
      </c>
      <c r="B783" s="1" t="inlineStr">
        <is>
          <t>450305</t>
        </is>
      </c>
      <c r="C783" s="1" t="inlineStr">
        <is>
          <t>Norcros One Part Flexible White Tile Adhesive 20Kg</t>
        </is>
      </c>
      <c r="D783" s="1" t="n">
        <v>16.99</v>
      </c>
      <c r="E783" s="1" t="inlineStr">
        <is>
          <t>-</t>
        </is>
      </c>
      <c r="F783" s="1" t="inlineStr">
        <is>
          <t>Qty</t>
        </is>
      </c>
      <c r="G783" s="1" t="inlineStr">
        <is>
          <t>-</t>
        </is>
      </c>
      <c r="H783" s="1" t="inlineStr">
        <is>
          <t>-</t>
        </is>
      </c>
      <c r="I783" t="inlineStr">
        <is>
          <t>In Stock</t>
        </is>
      </c>
    </row>
    <row r="784">
      <c r="A784" s="1">
        <f>Hyperlink("https://www.tilemountain.co.uk/p/norcros-permalayer-19-8-sqm.html","Product")</f>
        <v/>
      </c>
      <c r="B784" s="1" t="inlineStr">
        <is>
          <t>434975</t>
        </is>
      </c>
      <c r="C784" s="1" t="inlineStr">
        <is>
          <t>Norcros Permalayer 19.8 SQM</t>
        </is>
      </c>
      <c r="D784" s="1" t="n">
        <v>149.99</v>
      </c>
      <c r="E784" s="1" t="inlineStr">
        <is>
          <t>-</t>
        </is>
      </c>
      <c r="F784" s="1" t="inlineStr">
        <is>
          <t>Qty</t>
        </is>
      </c>
      <c r="G784" s="1" t="inlineStr">
        <is>
          <t>-</t>
        </is>
      </c>
      <c r="H784" s="1" t="inlineStr">
        <is>
          <t>-</t>
        </is>
      </c>
      <c r="I784" t="inlineStr">
        <is>
          <t>In Stock</t>
        </is>
      </c>
    </row>
    <row r="785">
      <c r="A785" s="1">
        <f>Hyperlink("https://www.tilemountain.co.uk/p/norcros-pro-50-levelling-compound-20kg-5535.html","Product")</f>
        <v/>
      </c>
      <c r="B785" s="1" t="inlineStr">
        <is>
          <t>451260</t>
        </is>
      </c>
      <c r="C785" s="1" t="inlineStr">
        <is>
          <t>Norcros Pro 50 Levelling Compound 20kg</t>
        </is>
      </c>
      <c r="D785" s="1" t="n">
        <v>16.99</v>
      </c>
      <c r="E785" s="1" t="inlineStr">
        <is>
          <t>-</t>
        </is>
      </c>
      <c r="F785" s="1" t="inlineStr">
        <is>
          <t>Qty</t>
        </is>
      </c>
      <c r="G785" s="1" t="inlineStr">
        <is>
          <t>-</t>
        </is>
      </c>
      <c r="H785" s="1" t="inlineStr">
        <is>
          <t>-</t>
        </is>
      </c>
      <c r="I785" t="n">
        <v>32</v>
      </c>
    </row>
    <row r="786">
      <c r="A786" s="1">
        <f>Hyperlink("https://www.tilemountain.co.uk/p/norcros-rapid-porcelain-tile-adhesive-grey-20kg.html","Product")</f>
        <v/>
      </c>
      <c r="B786" s="1" t="inlineStr">
        <is>
          <t>450300</t>
        </is>
      </c>
      <c r="C786" s="1" t="inlineStr">
        <is>
          <t>Norcros Rapid Porcelain Tile Adhesive Grey 20Kg</t>
        </is>
      </c>
      <c r="D786" s="1" t="n">
        <v>15.95</v>
      </c>
      <c r="E786" s="1" t="inlineStr">
        <is>
          <t>-</t>
        </is>
      </c>
      <c r="F786" s="1" t="inlineStr">
        <is>
          <t>Qty</t>
        </is>
      </c>
      <c r="G786" s="1" t="inlineStr">
        <is>
          <t>-</t>
        </is>
      </c>
      <c r="H786" s="1" t="inlineStr">
        <is>
          <t>-</t>
        </is>
      </c>
      <c r="I786" t="n">
        <v>89</v>
      </c>
    </row>
    <row r="787">
      <c r="A787" s="1">
        <f>Hyperlink("https://www.tilemountain.co.uk/p/norcros-rock-tite-brush-in-grout-15kg-blanched-almond.html","Product")</f>
        <v/>
      </c>
      <c r="B787" s="1" t="inlineStr">
        <is>
          <t>451485</t>
        </is>
      </c>
      <c r="C787" s="1" t="inlineStr">
        <is>
          <t>Norcros Rock-Tite Brush in Grout 15kg - Blanched Almond</t>
        </is>
      </c>
      <c r="D787" s="1" t="n">
        <v>39.95</v>
      </c>
      <c r="E787" s="1" t="inlineStr">
        <is>
          <t>-</t>
        </is>
      </c>
      <c r="F787" s="1" t="inlineStr">
        <is>
          <t>Qty</t>
        </is>
      </c>
      <c r="G787" s="1" t="inlineStr">
        <is>
          <t>-</t>
        </is>
      </c>
      <c r="H787" s="1" t="inlineStr">
        <is>
          <t>-</t>
        </is>
      </c>
      <c r="I787" t="inlineStr">
        <is>
          <t>In Stock</t>
        </is>
      </c>
    </row>
    <row r="788">
      <c r="A788" s="1">
        <f>Hyperlink("https://www.tilemountain.co.uk/p/norcros-rock-tite-brush-in-grout-15kg-steel-grey.html","Product")</f>
        <v/>
      </c>
      <c r="B788" s="1" t="inlineStr">
        <is>
          <t>451490</t>
        </is>
      </c>
      <c r="C788" s="1" t="inlineStr">
        <is>
          <t>Norcros Rock-Tite Brush in Grout 15kg - Steel Grey</t>
        </is>
      </c>
      <c r="D788" s="1" t="n">
        <v>39.95</v>
      </c>
      <c r="E788" s="1" t="inlineStr">
        <is>
          <t>-</t>
        </is>
      </c>
      <c r="F788" s="1" t="inlineStr">
        <is>
          <t>Qty</t>
        </is>
      </c>
      <c r="G788" s="1" t="inlineStr">
        <is>
          <t>-</t>
        </is>
      </c>
      <c r="H788" s="1" t="inlineStr">
        <is>
          <t>-</t>
        </is>
      </c>
      <c r="I788" t="inlineStr">
        <is>
          <t>In Stock</t>
        </is>
      </c>
    </row>
    <row r="789">
      <c r="A789" s="1">
        <f>Hyperlink("https://www.tilemountain.co.uk/p/norcros-rock-tite-brush-in-grout-15kg-tropical-ebony.html","Product")</f>
        <v/>
      </c>
      <c r="B789" s="1" t="inlineStr">
        <is>
          <t>451495</t>
        </is>
      </c>
      <c r="C789" s="1" t="inlineStr">
        <is>
          <t>Norcros Rock-Tite Brush in Grout 15kg - Tropical Ebony</t>
        </is>
      </c>
      <c r="D789" s="1" t="n">
        <v>39.95</v>
      </c>
      <c r="E789" s="1" t="inlineStr">
        <is>
          <t>-</t>
        </is>
      </c>
      <c r="F789" s="1" t="inlineStr">
        <is>
          <t>Qty</t>
        </is>
      </c>
      <c r="G789" s="1" t="inlineStr">
        <is>
          <t>-</t>
        </is>
      </c>
      <c r="H789" s="1" t="inlineStr">
        <is>
          <t>-</t>
        </is>
      </c>
      <c r="I789" t="inlineStr">
        <is>
          <t>In Stock</t>
        </is>
      </c>
    </row>
    <row r="790">
      <c r="A790" s="1">
        <f>Hyperlink("https://www.tilemountain.co.uk/p/norcros-rock-tite-mortar-25-kg-40-bags-pallet-deal.html","Product")</f>
        <v/>
      </c>
      <c r="B790" s="1" t="inlineStr">
        <is>
          <t>451480-pd</t>
        </is>
      </c>
      <c r="C790" s="1" t="inlineStr">
        <is>
          <t>Norcros Rock-Tite Mortar 25 kg - 40 bags PALLET DEAL</t>
        </is>
      </c>
      <c r="D790" s="1" t="n">
        <v>507.2</v>
      </c>
      <c r="E790" s="1" t="inlineStr">
        <is>
          <t>-</t>
        </is>
      </c>
      <c r="F790" s="1" t="inlineStr">
        <is>
          <t>Qty</t>
        </is>
      </c>
      <c r="G790" s="1" t="inlineStr">
        <is>
          <t>-</t>
        </is>
      </c>
      <c r="H790" s="1" t="inlineStr">
        <is>
          <t>-</t>
        </is>
      </c>
      <c r="I790" t="inlineStr">
        <is>
          <t>In Stock</t>
        </is>
      </c>
    </row>
    <row r="791">
      <c r="A791" s="1">
        <f>Hyperlink("https://www.tilemountain.co.uk/p/norcros-rock-tite-mortar-25kg.html","Product")</f>
        <v/>
      </c>
      <c r="B791" s="1" t="inlineStr">
        <is>
          <t>451480</t>
        </is>
      </c>
      <c r="C791" s="1" t="inlineStr">
        <is>
          <t>Norcros Rock-Tite Mortar 25kg</t>
        </is>
      </c>
      <c r="D791" s="1" t="n">
        <v>13.95</v>
      </c>
      <c r="E791" s="1" t="inlineStr">
        <is>
          <t>-</t>
        </is>
      </c>
      <c r="F791" s="1" t="inlineStr">
        <is>
          <t>Qty</t>
        </is>
      </c>
      <c r="G791" s="1" t="inlineStr">
        <is>
          <t>-</t>
        </is>
      </c>
      <c r="H791" s="1" t="inlineStr">
        <is>
          <t>-</t>
        </is>
      </c>
      <c r="I791" t="inlineStr">
        <is>
          <t>In Stock</t>
        </is>
      </c>
    </row>
    <row r="792">
      <c r="A792" s="1">
        <f>Hyperlink("https://www.tilemountain.co.uk/p/norcros-rock-tite-mortar-additive-12-5kg.html","Product")</f>
        <v/>
      </c>
      <c r="B792" s="1" t="inlineStr">
        <is>
          <t>455100</t>
        </is>
      </c>
      <c r="C792" s="1" t="inlineStr">
        <is>
          <t>Norcros Rock-Tite Mortar Additive 12.5kg</t>
        </is>
      </c>
      <c r="D792" s="1" t="n">
        <v>11.95</v>
      </c>
      <c r="E792" s="1" t="inlineStr">
        <is>
          <t>-</t>
        </is>
      </c>
      <c r="F792" s="1" t="inlineStr">
        <is>
          <t>Qty</t>
        </is>
      </c>
      <c r="G792" s="1" t="inlineStr">
        <is>
          <t>-</t>
        </is>
      </c>
      <c r="H792" s="1" t="inlineStr">
        <is>
          <t>-</t>
        </is>
      </c>
      <c r="I792" t="inlineStr"/>
    </row>
    <row r="793">
      <c r="A793" s="1">
        <f>Hyperlink("https://www.tilemountain.co.uk/p/norcros-rock-tite-porcelain-primer-15kg.html","Product")</f>
        <v/>
      </c>
      <c r="B793" s="1" t="inlineStr">
        <is>
          <t>451475</t>
        </is>
      </c>
      <c r="C793" s="1" t="inlineStr">
        <is>
          <t>Norcros Rock-Tite Porcelain Primer 15kg</t>
        </is>
      </c>
      <c r="D793" s="1" t="n">
        <v>34.95</v>
      </c>
      <c r="E793" s="1" t="inlineStr">
        <is>
          <t>-</t>
        </is>
      </c>
      <c r="F793" s="1" t="inlineStr">
        <is>
          <t>Qty</t>
        </is>
      </c>
      <c r="G793" s="1" t="inlineStr">
        <is>
          <t>-</t>
        </is>
      </c>
      <c r="H793" s="1" t="inlineStr">
        <is>
          <t>-</t>
        </is>
      </c>
      <c r="I793" t="n">
        <v>55</v>
      </c>
    </row>
    <row r="794">
      <c r="A794" s="1">
        <f>Hyperlink("https://www.tilemountain.co.uk/p/norcros-stop-mould-arctic-white-wall-tile-grout.html","Product")</f>
        <v/>
      </c>
      <c r="B794" s="1" t="inlineStr">
        <is>
          <t>451285</t>
        </is>
      </c>
      <c r="C794" s="1" t="inlineStr">
        <is>
          <t>Norcros Stop Mould Arctic White Wall Tile Grout</t>
        </is>
      </c>
      <c r="D794" s="1" t="n">
        <v>9.99</v>
      </c>
      <c r="E794" s="1" t="inlineStr">
        <is>
          <t>-</t>
        </is>
      </c>
      <c r="F794" s="1" t="inlineStr">
        <is>
          <t>Qty</t>
        </is>
      </c>
      <c r="G794" s="1" t="inlineStr">
        <is>
          <t>-</t>
        </is>
      </c>
      <c r="H794" s="1" t="inlineStr">
        <is>
          <t>-</t>
        </is>
      </c>
      <c r="I794" t="n">
        <v>18</v>
      </c>
    </row>
    <row r="795">
      <c r="A795" s="1">
        <f>Hyperlink("https://www.tilemountain.co.uk/p/norcros-stop-mould-midnight-coal-wall-tile-grout.html","Product")</f>
        <v/>
      </c>
      <c r="B795" s="1" t="inlineStr">
        <is>
          <t>451290</t>
        </is>
      </c>
      <c r="C795" s="1" t="inlineStr">
        <is>
          <t>Norcros Stop Mould Golden Jasmine Wall Tile Grout</t>
        </is>
      </c>
      <c r="D795" s="1" t="n">
        <v>9.99</v>
      </c>
      <c r="E795" s="1" t="inlineStr">
        <is>
          <t>-</t>
        </is>
      </c>
      <c r="F795" s="1" t="inlineStr">
        <is>
          <t>Qty</t>
        </is>
      </c>
      <c r="G795" s="1" t="inlineStr">
        <is>
          <t>-</t>
        </is>
      </c>
      <c r="H795" s="1" t="inlineStr">
        <is>
          <t>-</t>
        </is>
      </c>
      <c r="I795" t="inlineStr">
        <is>
          <t>In Stock</t>
        </is>
      </c>
    </row>
    <row r="796">
      <c r="A796" s="1">
        <f>Hyperlink("https://www.tilemountain.co.uk/p/norcros-stop-mould-silver-grey-wall-tile-grout.html","Product")</f>
        <v/>
      </c>
      <c r="B796" s="1" t="inlineStr">
        <is>
          <t>451295</t>
        </is>
      </c>
      <c r="C796" s="1" t="inlineStr">
        <is>
          <t>Norcros Stop Mould Steel Grey Wall Tile Grout</t>
        </is>
      </c>
      <c r="D796" s="1" t="n">
        <v>9.99</v>
      </c>
      <c r="E796" s="1" t="inlineStr">
        <is>
          <t>-</t>
        </is>
      </c>
      <c r="F796" s="1" t="inlineStr">
        <is>
          <t>Qty</t>
        </is>
      </c>
      <c r="G796" s="1" t="inlineStr">
        <is>
          <t>-</t>
        </is>
      </c>
      <c r="H796" s="1" t="inlineStr">
        <is>
          <t>-</t>
        </is>
      </c>
      <c r="I796" t="n">
        <v>14</v>
      </c>
    </row>
    <row r="797">
      <c r="A797" s="1">
        <f>Hyperlink("https://www.tilemountain.co.uk/p/norcros-thick-bed-porcelain-and-stone-adhesive.html","Product")</f>
        <v/>
      </c>
      <c r="B797" s="1" t="inlineStr">
        <is>
          <t>451275</t>
        </is>
      </c>
      <c r="C797" s="1" t="inlineStr">
        <is>
          <t>Norcros Thick Bed Porcelain and Stone Adhesive</t>
        </is>
      </c>
      <c r="D797" s="1" t="n">
        <v>19.99</v>
      </c>
      <c r="E797" s="1" t="inlineStr">
        <is>
          <t>-</t>
        </is>
      </c>
      <c r="F797" s="1" t="inlineStr">
        <is>
          <t>Qty</t>
        </is>
      </c>
      <c r="G797" s="1" t="inlineStr">
        <is>
          <t>-</t>
        </is>
      </c>
      <c r="H797" s="1" t="inlineStr">
        <is>
          <t>-</t>
        </is>
      </c>
      <c r="I797" t="n">
        <v>13</v>
      </c>
    </row>
    <row r="798">
      <c r="A798" s="1">
        <f>Hyperlink("https://www.tilemountain.co.uk/p/nordic-wood-dark-brown-wall-and-floor-tile.html","Product")</f>
        <v/>
      </c>
      <c r="B798" s="1" t="inlineStr">
        <is>
          <t>431660</t>
        </is>
      </c>
      <c r="C798" s="1" t="inlineStr">
        <is>
          <t>Nordic Wood Dark Brown Wood Effect Wall and Floor Tiles</t>
        </is>
      </c>
      <c r="D798" s="1" t="n">
        <v>14.99</v>
      </c>
      <c r="E798" s="1" t="inlineStr">
        <is>
          <t>150x600mm</t>
        </is>
      </c>
      <c r="F798" s="1" t="inlineStr">
        <is>
          <t>m2</t>
        </is>
      </c>
      <c r="G798" s="1" t="inlineStr">
        <is>
          <t>-</t>
        </is>
      </c>
      <c r="H798" s="1" t="inlineStr">
        <is>
          <t>-</t>
        </is>
      </c>
      <c r="I798" t="n">
        <v>606</v>
      </c>
    </row>
    <row r="799">
      <c r="A799" s="1">
        <f>Hyperlink("https://www.tilemountain.co.uk/p/nordic-wood-light-brown-wall-and-floor-tile.html","Product")</f>
        <v/>
      </c>
      <c r="B799" s="1" t="inlineStr">
        <is>
          <t>431655</t>
        </is>
      </c>
      <c r="C799" s="1" t="inlineStr">
        <is>
          <t>Nordic Wood Light Brown Wood Effect Wall and Floor Tiles</t>
        </is>
      </c>
      <c r="D799" s="1" t="n">
        <v>14.99</v>
      </c>
      <c r="E799" s="1" t="inlineStr">
        <is>
          <t>150x600mm</t>
        </is>
      </c>
      <c r="F799" s="1" t="inlineStr">
        <is>
          <t>m2</t>
        </is>
      </c>
      <c r="G799" s="1" t="inlineStr">
        <is>
          <t>Porcelain</t>
        </is>
      </c>
      <c r="H799" s="1" t="inlineStr">
        <is>
          <t>Matt</t>
        </is>
      </c>
      <c r="I799" t="n">
        <v>846</v>
      </c>
    </row>
    <row r="800">
      <c r="A800" s="1">
        <f>Hyperlink("https://www.tilemountain.co.uk/p/nordic-wood-pearl-wall-and-floor-tile.html","Product")</f>
        <v/>
      </c>
      <c r="B800" s="1" t="inlineStr">
        <is>
          <t>431665</t>
        </is>
      </c>
      <c r="C800" s="1" t="inlineStr">
        <is>
          <t>Nordic Wood Pearl Wood Effect Wall and Floor Tiles</t>
        </is>
      </c>
      <c r="D800" s="1" t="n">
        <v>14.99</v>
      </c>
      <c r="E800" s="1" t="inlineStr">
        <is>
          <t>150x600mm</t>
        </is>
      </c>
      <c r="F800" s="1" t="inlineStr">
        <is>
          <t>m2</t>
        </is>
      </c>
      <c r="G800" s="1" t="inlineStr">
        <is>
          <t>Porcelain</t>
        </is>
      </c>
      <c r="H800" s="1" t="inlineStr">
        <is>
          <t>Matt</t>
        </is>
      </c>
      <c r="I800" t="inlineStr">
        <is>
          <t>More Stock due 30/11/21</t>
        </is>
      </c>
    </row>
    <row r="801">
      <c r="A801" s="1">
        <f>Hyperlink("https://www.tilemountain.co.uk/p/norfolk-walnut-3824.html","Product")</f>
        <v/>
      </c>
      <c r="B801" s="1" t="inlineStr">
        <is>
          <t>445350</t>
        </is>
      </c>
      <c r="C801" s="1" t="inlineStr">
        <is>
          <t>Norfolk Walnut Luxury Vinyl Tiles</t>
        </is>
      </c>
      <c r="D801" s="1" t="n">
        <v>20.99</v>
      </c>
      <c r="E801" s="1" t="inlineStr">
        <is>
          <t>1216x191x4mm</t>
        </is>
      </c>
      <c r="F801" s="1" t="inlineStr">
        <is>
          <t>m2</t>
        </is>
      </c>
      <c r="G801" s="1" t="inlineStr">
        <is>
          <t>LVT</t>
        </is>
      </c>
      <c r="H801" s="1" t="inlineStr">
        <is>
          <t>Matt</t>
        </is>
      </c>
      <c r="I801" t="n">
        <v>210</v>
      </c>
    </row>
    <row r="802">
      <c r="A802" s="1">
        <f>Hyperlink("https://www.tilemountain.co.uk/p/notched-margin-trowel.html","Product")</f>
        <v/>
      </c>
      <c r="B802" s="1" t="inlineStr">
        <is>
          <t>450650</t>
        </is>
      </c>
      <c r="C802" s="1" t="inlineStr">
        <is>
          <t>Notched Margin Trowel</t>
        </is>
      </c>
      <c r="D802" s="1" t="n">
        <v>4.99</v>
      </c>
      <c r="E802" s="1" t="inlineStr">
        <is>
          <t>-</t>
        </is>
      </c>
      <c r="F802" s="1" t="inlineStr">
        <is>
          <t>Qty</t>
        </is>
      </c>
      <c r="G802" s="1" t="inlineStr">
        <is>
          <t>-</t>
        </is>
      </c>
      <c r="H802" s="1" t="inlineStr">
        <is>
          <t>-</t>
        </is>
      </c>
      <c r="I802" t="inlineStr">
        <is>
          <t>In Stock</t>
        </is>
      </c>
    </row>
    <row r="803">
      <c r="A803" s="1">
        <f>Hyperlink("https://www.tilemountain.co.uk/p/ofelia-rustic-porcelain-floor-tile.html","Product")</f>
        <v/>
      </c>
      <c r="B803" s="1" t="inlineStr">
        <is>
          <t>443290</t>
        </is>
      </c>
      <c r="C803" s="1" t="inlineStr">
        <is>
          <t>Ofelia Porcelain Floor Tiles</t>
        </is>
      </c>
      <c r="D803" s="1" t="n">
        <v>28.99</v>
      </c>
      <c r="E803" s="1" t="inlineStr">
        <is>
          <t>452x452mm</t>
        </is>
      </c>
      <c r="F803" s="1" t="inlineStr">
        <is>
          <t>m2</t>
        </is>
      </c>
      <c r="G803" s="1" t="inlineStr">
        <is>
          <t>Porcelain</t>
        </is>
      </c>
      <c r="H803" s="1" t="inlineStr">
        <is>
          <t>Matt</t>
        </is>
      </c>
      <c r="I803" t="n">
        <v>191</v>
      </c>
    </row>
    <row r="804">
      <c r="A804" s="1">
        <f>Hyperlink("https://www.tilemountain.co.uk/p/ohio-outdoor-anthracite-porcelain-slab-5318.html","Product")</f>
        <v/>
      </c>
      <c r="B804" s="1" t="inlineStr">
        <is>
          <t>450240</t>
        </is>
      </c>
      <c r="C804" s="1" t="inlineStr">
        <is>
          <t>Ohio Outdoor Anthracite Porcelain Slab</t>
        </is>
      </c>
      <c r="D804" s="1" t="n">
        <v>35.99</v>
      </c>
      <c r="E804" s="1" t="inlineStr">
        <is>
          <t>900x600mm</t>
        </is>
      </c>
      <c r="F804" s="1" t="inlineStr">
        <is>
          <t>m2</t>
        </is>
      </c>
      <c r="G804" s="1" t="inlineStr">
        <is>
          <t>Porcelain</t>
        </is>
      </c>
      <c r="H804" s="1" t="inlineStr">
        <is>
          <t>Matt</t>
        </is>
      </c>
      <c r="I804" t="n">
        <v>389</v>
      </c>
    </row>
    <row r="805">
      <c r="A805" s="1">
        <f>Hyperlink("https://www.tilemountain.co.uk/p/ohio-outdoor-silver-grey-porcelain-slab_1.html","Product")</f>
        <v/>
      </c>
      <c r="B805" s="1" t="inlineStr">
        <is>
          <t>450245</t>
        </is>
      </c>
      <c r="C805" s="1" t="inlineStr">
        <is>
          <t>Ohio Outdoor Silver Grey Porcelain Slab</t>
        </is>
      </c>
      <c r="D805" s="1" t="n">
        <v>35.99</v>
      </c>
      <c r="E805" s="1" t="inlineStr">
        <is>
          <t>900x600mm</t>
        </is>
      </c>
      <c r="F805" s="1" t="inlineStr">
        <is>
          <t>m2</t>
        </is>
      </c>
      <c r="G805" s="1" t="inlineStr">
        <is>
          <t>Porcelain</t>
        </is>
      </c>
      <c r="H805" s="1" t="inlineStr">
        <is>
          <t>Matt</t>
        </is>
      </c>
      <c r="I805" t="n">
        <v>265</v>
      </c>
    </row>
    <row r="806">
      <c r="A806" s="1">
        <f>Hyperlink("https://www.tilemountain.co.uk/p/orobico-grey-polished-porcelain-floor-tile.html","Product")</f>
        <v/>
      </c>
      <c r="B806" s="1" t="inlineStr">
        <is>
          <t>450605</t>
        </is>
      </c>
      <c r="C806" s="1" t="inlineStr">
        <is>
          <t>Orobico Grey Polished Porcelain Floor Tile</t>
        </is>
      </c>
      <c r="D806" s="1" t="n">
        <v>49.99</v>
      </c>
      <c r="E806" s="1" t="inlineStr">
        <is>
          <t>1200x600mm</t>
        </is>
      </c>
      <c r="F806" s="1" t="inlineStr">
        <is>
          <t>m2</t>
        </is>
      </c>
      <c r="G806" s="1" t="inlineStr">
        <is>
          <t>Porcelain</t>
        </is>
      </c>
      <c r="H806" s="1" t="inlineStr">
        <is>
          <t>Polished</t>
        </is>
      </c>
      <c r="I806" t="n">
        <v>213</v>
      </c>
    </row>
    <row r="807">
      <c r="A807" s="1">
        <f>Hyperlink("https://www.tilemountain.co.uk/p/oxford-grey-mosaic.html","Product")</f>
        <v/>
      </c>
      <c r="B807" s="1" t="inlineStr">
        <is>
          <t>443900</t>
        </is>
      </c>
      <c r="C807" s="1" t="inlineStr">
        <is>
          <t>Oxford Grey Mosaic</t>
        </is>
      </c>
      <c r="D807" s="1" t="n">
        <v>6.99</v>
      </c>
      <c r="E807" s="1" t="inlineStr">
        <is>
          <t>300x300mm</t>
        </is>
      </c>
      <c r="F807" s="1" t="inlineStr">
        <is>
          <t>sheet</t>
        </is>
      </c>
      <c r="G807" s="1" t="inlineStr">
        <is>
          <t>Porcelain</t>
        </is>
      </c>
      <c r="H807" s="1" t="inlineStr">
        <is>
          <t>Matt</t>
        </is>
      </c>
      <c r="I807" t="n">
        <v>640</v>
      </c>
    </row>
    <row r="808">
      <c r="A808" s="1">
        <f>Hyperlink("https://www.tilemountain.co.uk/p/oyster-split-face-mosaic-3863.html","Product")</f>
        <v/>
      </c>
      <c r="B808" s="1" t="inlineStr">
        <is>
          <t>445560</t>
        </is>
      </c>
      <c r="C808" s="1" t="inlineStr">
        <is>
          <t>Oyster Split Face Mosaic</t>
        </is>
      </c>
      <c r="D808" s="1" t="n">
        <v>40.99</v>
      </c>
      <c r="E808" s="1" t="inlineStr">
        <is>
          <t>300x150mm</t>
        </is>
      </c>
      <c r="F808" s="1" t="inlineStr">
        <is>
          <t>m2</t>
        </is>
      </c>
      <c r="G808" s="1" t="inlineStr">
        <is>
          <t>Slate</t>
        </is>
      </c>
      <c r="H808" s="1" t="inlineStr">
        <is>
          <t>Riven</t>
        </is>
      </c>
      <c r="I808" t="n">
        <v>273</v>
      </c>
    </row>
    <row r="809">
      <c r="A809" s="1">
        <f>Hyperlink("https://www.tilemountain.co.uk/p/pad-holder-white.html","Product")</f>
        <v/>
      </c>
      <c r="B809" s="1" t="inlineStr">
        <is>
          <t>LTPT34</t>
        </is>
      </c>
      <c r="C809" s="1" t="inlineStr">
        <is>
          <t>Pad Holder White</t>
        </is>
      </c>
      <c r="D809" s="1" t="n">
        <v>12.95</v>
      </c>
      <c r="E809" s="1" t="inlineStr">
        <is>
          <t>-</t>
        </is>
      </c>
      <c r="F809" s="1" t="inlineStr">
        <is>
          <t>Qty</t>
        </is>
      </c>
      <c r="G809" s="1" t="inlineStr">
        <is>
          <t>-</t>
        </is>
      </c>
      <c r="H809" s="1" t="inlineStr">
        <is>
          <t>-</t>
        </is>
      </c>
      <c r="I809" t="n">
        <v>13</v>
      </c>
    </row>
    <row r="810">
      <c r="A810" s="1">
        <f>Hyperlink("https://www.tilemountain.co.uk/p/paintwash-cherry-wood-effect-wall-and-floor-tile.html","Product")</f>
        <v/>
      </c>
      <c r="B810" s="1" t="inlineStr">
        <is>
          <t>440155</t>
        </is>
      </c>
      <c r="C810" s="1" t="inlineStr">
        <is>
          <t>Paintwash Cherry Wood Effect Wall And Floor Tiles</t>
        </is>
      </c>
      <c r="D810" s="1" t="n">
        <v>28.99</v>
      </c>
      <c r="E810" s="1" t="inlineStr">
        <is>
          <t>140x840mm</t>
        </is>
      </c>
      <c r="F810" s="1" t="inlineStr">
        <is>
          <t>m2</t>
        </is>
      </c>
      <c r="G810" s="1" t="inlineStr">
        <is>
          <t>Porcelain</t>
        </is>
      </c>
      <c r="H810" s="1" t="inlineStr">
        <is>
          <t>Matt</t>
        </is>
      </c>
      <c r="I810" t="n">
        <v>113</v>
      </c>
    </row>
    <row r="811">
      <c r="A811" s="1">
        <f>Hyperlink("https://www.tilemountain.co.uk/p/paintwash-denim-wood-effect-wall-and-floor-tile_1.html","Product")</f>
        <v/>
      </c>
      <c r="B811" s="1" t="inlineStr">
        <is>
          <t>440165</t>
        </is>
      </c>
      <c r="C811" s="1" t="inlineStr">
        <is>
          <t>Paintwash Denim Wood Effect Wall And Floor Tiles</t>
        </is>
      </c>
      <c r="D811" s="1" t="n">
        <v>28.99</v>
      </c>
      <c r="E811" s="1" t="inlineStr">
        <is>
          <t>140x840mm</t>
        </is>
      </c>
      <c r="F811" s="1" t="inlineStr">
        <is>
          <t>m2</t>
        </is>
      </c>
      <c r="G811" s="1" t="inlineStr">
        <is>
          <t>Porcelain</t>
        </is>
      </c>
      <c r="H811" s="1" t="inlineStr">
        <is>
          <t>Matt</t>
        </is>
      </c>
      <c r="I811" t="n">
        <v>56</v>
      </c>
    </row>
    <row r="812">
      <c r="A812" s="1">
        <f>Hyperlink("https://www.tilemountain.co.uk/p/paintwash-white-wood-effect-wall-and-floor-tile.html","Product")</f>
        <v/>
      </c>
      <c r="B812" s="1" t="inlineStr">
        <is>
          <t>440140</t>
        </is>
      </c>
      <c r="C812" s="1" t="inlineStr">
        <is>
          <t>Paintwash White Wood Effect Wall And Floor Tiles</t>
        </is>
      </c>
      <c r="D812" s="1" t="n">
        <v>28.99</v>
      </c>
      <c r="E812" s="1" t="inlineStr">
        <is>
          <t>140x840mm</t>
        </is>
      </c>
      <c r="F812" s="1" t="inlineStr">
        <is>
          <t>m2</t>
        </is>
      </c>
      <c r="G812" s="1" t="inlineStr">
        <is>
          <t>Porcelain</t>
        </is>
      </c>
      <c r="H812" s="1" t="inlineStr">
        <is>
          <t>Matt</t>
        </is>
      </c>
      <c r="I812" t="n">
        <v>34</v>
      </c>
    </row>
    <row r="813">
      <c r="A813" s="1">
        <f>Hyperlink("https://www.tilemountain.co.uk/p/palace-cream-wall-tile.html","Product")</f>
        <v/>
      </c>
      <c r="B813" s="1" t="inlineStr">
        <is>
          <t>431685</t>
        </is>
      </c>
      <c r="C813" s="1" t="inlineStr">
        <is>
          <t>Palace Cream Wall Tiles</t>
        </is>
      </c>
      <c r="D813" s="1" t="n">
        <v>12.99</v>
      </c>
      <c r="E813" s="1" t="inlineStr">
        <is>
          <t>250x400mm</t>
        </is>
      </c>
      <c r="F813" s="1" t="inlineStr">
        <is>
          <t>m2</t>
        </is>
      </c>
      <c r="G813" s="1" t="inlineStr">
        <is>
          <t>Ceramic</t>
        </is>
      </c>
      <c r="H813" s="1" t="inlineStr">
        <is>
          <t>Gloss</t>
        </is>
      </c>
      <c r="I813" t="n">
        <v>280</v>
      </c>
    </row>
    <row r="814">
      <c r="A814" s="1">
        <f>Hyperlink("https://www.tilemountain.co.uk/p/palatina-bello-white-floor-tile.html","Product")</f>
        <v/>
      </c>
      <c r="B814" s="1" t="inlineStr">
        <is>
          <t>447665</t>
        </is>
      </c>
      <c r="C814" s="1" t="inlineStr">
        <is>
          <t>Naos Blanco Brillo Floor Tiles</t>
        </is>
      </c>
      <c r="D814" s="1" t="n">
        <v>10.99</v>
      </c>
      <c r="E814" s="1" t="inlineStr">
        <is>
          <t>450x450mm</t>
        </is>
      </c>
      <c r="F814" s="1" t="inlineStr">
        <is>
          <t>m2</t>
        </is>
      </c>
      <c r="G814" s="1" t="inlineStr">
        <is>
          <t>Ceramic</t>
        </is>
      </c>
      <c r="H814" s="1" t="inlineStr">
        <is>
          <t>Gloss</t>
        </is>
      </c>
      <c r="I814" t="n">
        <v>242</v>
      </c>
    </row>
    <row r="815">
      <c r="A815" s="1">
        <f>Hyperlink("https://www.tilemountain.co.uk/p/palatina-white-matt-floor-tile.html","Product")</f>
        <v/>
      </c>
      <c r="B815" s="1" t="inlineStr">
        <is>
          <t>445520</t>
        </is>
      </c>
      <c r="C815" s="1" t="inlineStr">
        <is>
          <t>Carrara White Matt Marble Porcelain Floor Tile</t>
        </is>
      </c>
      <c r="D815" s="1" t="n">
        <v>14.99</v>
      </c>
      <c r="E815" s="1" t="inlineStr">
        <is>
          <t>605x605mm</t>
        </is>
      </c>
      <c r="F815" s="1" t="inlineStr">
        <is>
          <t>m2</t>
        </is>
      </c>
      <c r="G815" s="1" t="inlineStr">
        <is>
          <t>Porcelain</t>
        </is>
      </c>
      <c r="H815" s="1" t="inlineStr">
        <is>
          <t>Matt</t>
        </is>
      </c>
      <c r="I815" t="n">
        <v>1194</v>
      </c>
    </row>
    <row r="816">
      <c r="A816" s="1">
        <f>Hyperlink("https://www.tilemountain.co.uk/p/palermo-beige-slate-effect-wall-tile_1.html","Product")</f>
        <v/>
      </c>
      <c r="B816" s="1" t="inlineStr">
        <is>
          <t>455280</t>
        </is>
      </c>
      <c r="C816" s="1" t="inlineStr">
        <is>
          <t>Palermo Beige Slate Effect Wall Tile</t>
        </is>
      </c>
      <c r="D816" s="1" t="n">
        <v>19.99</v>
      </c>
      <c r="E816" s="1" t="inlineStr">
        <is>
          <t>440x80mm</t>
        </is>
      </c>
      <c r="F816" s="1" t="inlineStr">
        <is>
          <t>m2</t>
        </is>
      </c>
      <c r="G816" s="1" t="inlineStr">
        <is>
          <t>Porcelain</t>
        </is>
      </c>
      <c r="H816" s="1" t="inlineStr">
        <is>
          <t>Riven</t>
        </is>
      </c>
      <c r="I816" t="n">
        <v>71</v>
      </c>
    </row>
    <row r="817">
      <c r="A817" s="1">
        <f>Hyperlink("https://www.tilemountain.co.uk/p/palermo-natural-slate-effect-wall-tile_1.html","Product")</f>
        <v/>
      </c>
      <c r="B817" s="1" t="inlineStr">
        <is>
          <t>455275</t>
        </is>
      </c>
      <c r="C817" s="1" t="inlineStr">
        <is>
          <t>Palermo Natural Slate Effect Wall Tile</t>
        </is>
      </c>
      <c r="D817" s="1" t="n">
        <v>19.99</v>
      </c>
      <c r="E817" s="1" t="inlineStr">
        <is>
          <t>440x80mm</t>
        </is>
      </c>
      <c r="F817" s="1" t="inlineStr">
        <is>
          <t>m2</t>
        </is>
      </c>
      <c r="G817" s="1" t="inlineStr">
        <is>
          <t>Porcelain</t>
        </is>
      </c>
      <c r="H817" s="1" t="inlineStr">
        <is>
          <t>Riven</t>
        </is>
      </c>
      <c r="I817" t="inlineStr">
        <is>
          <t>More Stock</t>
        </is>
      </c>
    </row>
    <row r="818">
      <c r="A818" s="1">
        <f>Hyperlink("https://www.tilemountain.co.uk/p/palermo-oxide-slate-effect-wall-tile_1.html","Product")</f>
        <v/>
      </c>
      <c r="B818" s="1" t="inlineStr">
        <is>
          <t>455305</t>
        </is>
      </c>
      <c r="C818" s="1" t="inlineStr">
        <is>
          <t>Palermo Oxide Slate Effect Wall Tile</t>
        </is>
      </c>
      <c r="D818" s="1" t="n">
        <v>19.99</v>
      </c>
      <c r="E818" s="1" t="inlineStr">
        <is>
          <t>440x80mm</t>
        </is>
      </c>
      <c r="F818" s="1" t="inlineStr">
        <is>
          <t>m2</t>
        </is>
      </c>
      <c r="G818" s="1" t="inlineStr">
        <is>
          <t>Porcelain</t>
        </is>
      </c>
      <c r="H818" s="1" t="inlineStr">
        <is>
          <t>Riven</t>
        </is>
      </c>
      <c r="I818" t="n">
        <v>88</v>
      </c>
    </row>
    <row r="819">
      <c r="A819" s="1">
        <f>Hyperlink("https://www.tilemountain.co.uk/p/pasadena-3825.html","Product")</f>
        <v/>
      </c>
      <c r="B819" s="1" t="inlineStr">
        <is>
          <t>445355</t>
        </is>
      </c>
      <c r="C819" s="1" t="inlineStr">
        <is>
          <t>Pasadena Luxury Vinyl Tiles</t>
        </is>
      </c>
      <c r="D819" s="1" t="n">
        <v>20.99</v>
      </c>
      <c r="E819" s="1" t="inlineStr">
        <is>
          <t>604x299x4mm</t>
        </is>
      </c>
      <c r="F819" s="1" t="inlineStr">
        <is>
          <t>m2</t>
        </is>
      </c>
      <c r="G819" s="1" t="inlineStr">
        <is>
          <t>LVT</t>
        </is>
      </c>
      <c r="H819" s="1" t="inlineStr">
        <is>
          <t>Matt</t>
        </is>
      </c>
      <c r="I819" t="n">
        <v>354</v>
      </c>
    </row>
    <row r="820">
      <c r="A820" s="1">
        <f>Hyperlink("https://www.tilemountain.co.uk/p/piastrella-mix-acqua-wall-tile.html","Product")</f>
        <v/>
      </c>
      <c r="B820" s="1" t="inlineStr">
        <is>
          <t>446745</t>
        </is>
      </c>
      <c r="C820" s="1" t="inlineStr">
        <is>
          <t>Piacenza Mix Aqua Wall Tile</t>
        </is>
      </c>
      <c r="D820" s="1" t="n">
        <v>30.99</v>
      </c>
      <c r="E820" s="1" t="inlineStr">
        <is>
          <t>250x50mm</t>
        </is>
      </c>
      <c r="F820" s="1" t="inlineStr">
        <is>
          <t>m2</t>
        </is>
      </c>
      <c r="G820" s="1" t="inlineStr">
        <is>
          <t>Ceramic</t>
        </is>
      </c>
      <c r="H820" s="1" t="inlineStr">
        <is>
          <t>Gloss</t>
        </is>
      </c>
      <c r="I820" t="n">
        <v>126</v>
      </c>
    </row>
    <row r="821">
      <c r="A821" s="1">
        <f>Hyperlink("https://www.tilemountain.co.uk/p/piastrella-mix-ash-wall-tile.html","Product")</f>
        <v/>
      </c>
      <c r="B821" s="1" t="inlineStr">
        <is>
          <t>446740</t>
        </is>
      </c>
      <c r="C821" s="1" t="inlineStr">
        <is>
          <t>Piacenza Mix Ash Wall Tile</t>
        </is>
      </c>
      <c r="D821" s="1" t="n">
        <v>30.99</v>
      </c>
      <c r="E821" s="1" t="inlineStr">
        <is>
          <t>250x50mm</t>
        </is>
      </c>
      <c r="F821" s="1" t="inlineStr">
        <is>
          <t>m2</t>
        </is>
      </c>
      <c r="G821" s="1" t="inlineStr">
        <is>
          <t>Ceramic</t>
        </is>
      </c>
      <c r="H821" s="1" t="inlineStr">
        <is>
          <t>Gloss</t>
        </is>
      </c>
      <c r="I821" t="inlineStr">
        <is>
          <t>In Stock</t>
        </is>
      </c>
    </row>
    <row r="822">
      <c r="A822" s="1">
        <f>Hyperlink("https://www.tilemountain.co.uk/p/piastrella-mix-bone-wall-tile.html","Product")</f>
        <v/>
      </c>
      <c r="B822" s="1" t="inlineStr">
        <is>
          <t>446735</t>
        </is>
      </c>
      <c r="C822" s="1" t="inlineStr">
        <is>
          <t>Piacenza Mix Bone Wall Tile</t>
        </is>
      </c>
      <c r="D822" s="1" t="n">
        <v>30.99</v>
      </c>
      <c r="E822" s="1" t="inlineStr">
        <is>
          <t>250x50mm</t>
        </is>
      </c>
      <c r="F822" s="1" t="inlineStr">
        <is>
          <t>m2</t>
        </is>
      </c>
      <c r="G822" s="1" t="inlineStr">
        <is>
          <t>Ceramic</t>
        </is>
      </c>
      <c r="H822" s="1" t="inlineStr">
        <is>
          <t>Gloss</t>
        </is>
      </c>
      <c r="I822" t="n">
        <v>108</v>
      </c>
    </row>
    <row r="823">
      <c r="A823" s="1">
        <f>Hyperlink("https://www.tilemountain.co.uk/p/piastrella-mix-capuchino-wall-tile.html","Product")</f>
        <v/>
      </c>
      <c r="B823" s="1" t="inlineStr">
        <is>
          <t>446755</t>
        </is>
      </c>
      <c r="C823" s="1" t="inlineStr">
        <is>
          <t>Piacenza Mix Cappuccino Wall Tile</t>
        </is>
      </c>
      <c r="D823" s="1" t="n">
        <v>30.99</v>
      </c>
      <c r="E823" s="1" t="inlineStr">
        <is>
          <t>250x50mm</t>
        </is>
      </c>
      <c r="F823" s="1" t="inlineStr">
        <is>
          <t>m2</t>
        </is>
      </c>
      <c r="G823" s="1" t="inlineStr">
        <is>
          <t>Ceramic</t>
        </is>
      </c>
      <c r="H823" s="1" t="inlineStr">
        <is>
          <t>Gloss</t>
        </is>
      </c>
      <c r="I823" t="n">
        <v>110</v>
      </c>
    </row>
    <row r="824">
      <c r="A824" s="1">
        <f>Hyperlink("https://www.tilemountain.co.uk/p/piastrella-mix-grey-wall-tile.html","Product")</f>
        <v/>
      </c>
      <c r="B824" s="1" t="inlineStr">
        <is>
          <t>446760</t>
        </is>
      </c>
      <c r="C824" s="1" t="inlineStr">
        <is>
          <t>Piacenza Mix Grey Wall Tile</t>
        </is>
      </c>
      <c r="D824" s="1" t="n">
        <v>30.99</v>
      </c>
      <c r="E824" s="1" t="inlineStr">
        <is>
          <t>250x50mm</t>
        </is>
      </c>
      <c r="F824" s="1" t="inlineStr">
        <is>
          <t>m2</t>
        </is>
      </c>
      <c r="G824" s="1" t="inlineStr">
        <is>
          <t>Ceramic</t>
        </is>
      </c>
      <c r="H824" s="1" t="inlineStr">
        <is>
          <t>Gloss</t>
        </is>
      </c>
      <c r="I824" t="n">
        <v>46</v>
      </c>
    </row>
    <row r="825">
      <c r="A825" s="1">
        <f>Hyperlink("https://www.tilemountain.co.uk/p/piastrella-mix-olive-wall-tile.html","Product")</f>
        <v/>
      </c>
      <c r="B825" s="1" t="inlineStr">
        <is>
          <t>446750</t>
        </is>
      </c>
      <c r="C825" s="1" t="inlineStr">
        <is>
          <t>Piacenza Mix Olive Wall Tile</t>
        </is>
      </c>
      <c r="D825" s="1" t="n">
        <v>30.99</v>
      </c>
      <c r="E825" s="1" t="inlineStr">
        <is>
          <t>250x50mm</t>
        </is>
      </c>
      <c r="F825" s="1" t="inlineStr">
        <is>
          <t>m2</t>
        </is>
      </c>
      <c r="G825" s="1" t="inlineStr">
        <is>
          <t>Ceramic</t>
        </is>
      </c>
      <c r="H825" s="1" t="inlineStr">
        <is>
          <t>Gloss</t>
        </is>
      </c>
      <c r="I825" t="n">
        <v>48</v>
      </c>
    </row>
    <row r="826">
      <c r="A826" s="1">
        <f>Hyperlink("https://www.tilemountain.co.uk/p/piastrella-mix-rose-wall-tile.html","Product")</f>
        <v/>
      </c>
      <c r="B826" s="1" t="inlineStr">
        <is>
          <t>446730</t>
        </is>
      </c>
      <c r="C826" s="1" t="inlineStr">
        <is>
          <t>Piacenza Mix Rose Wall Tile</t>
        </is>
      </c>
      <c r="D826" s="1" t="n">
        <v>30.99</v>
      </c>
      <c r="E826" s="1" t="inlineStr">
        <is>
          <t>250x50mm</t>
        </is>
      </c>
      <c r="F826" s="1" t="inlineStr">
        <is>
          <t>m2</t>
        </is>
      </c>
      <c r="G826" s="1" t="inlineStr">
        <is>
          <t>Ceramic</t>
        </is>
      </c>
      <c r="H826" s="1" t="inlineStr">
        <is>
          <t>Gloss</t>
        </is>
      </c>
      <c r="I826" t="n">
        <v>131</v>
      </c>
    </row>
    <row r="827">
      <c r="A827" s="1">
        <f>Hyperlink("https://www.tilemountain.co.uk/p/piastrella-mix-turchese-wall-tile.html","Product")</f>
        <v/>
      </c>
      <c r="B827" s="1" t="inlineStr">
        <is>
          <t>446765</t>
        </is>
      </c>
      <c r="C827" s="1" t="inlineStr">
        <is>
          <t>Piacenza Mix Turquoise Wall Tile</t>
        </is>
      </c>
      <c r="D827" s="1" t="n">
        <v>30.99</v>
      </c>
      <c r="E827" s="1" t="inlineStr">
        <is>
          <t>250x50mm</t>
        </is>
      </c>
      <c r="F827" s="1" t="inlineStr">
        <is>
          <t>m2</t>
        </is>
      </c>
      <c r="G827" s="1" t="inlineStr">
        <is>
          <t>Ceramic</t>
        </is>
      </c>
      <c r="H827" s="1" t="inlineStr">
        <is>
          <t>Gloss</t>
        </is>
      </c>
      <c r="I827" t="n">
        <v>158</v>
      </c>
    </row>
    <row r="828">
      <c r="A828" s="1">
        <f>Hyperlink("https://www.tilemountain.co.uk/p/piastrella-mix-white.html","Product")</f>
        <v/>
      </c>
      <c r="B828" s="1" t="inlineStr">
        <is>
          <t>447020</t>
        </is>
      </c>
      <c r="C828" s="1" t="inlineStr">
        <is>
          <t>Piacenza Mix White Wall Tile</t>
        </is>
      </c>
      <c r="D828" s="1" t="n">
        <v>30.99</v>
      </c>
      <c r="E828" s="1" t="inlineStr">
        <is>
          <t>250x50mm</t>
        </is>
      </c>
      <c r="F828" s="1" t="inlineStr">
        <is>
          <t>m2</t>
        </is>
      </c>
      <c r="G828" s="1" t="inlineStr">
        <is>
          <t>Ceramic</t>
        </is>
      </c>
      <c r="H828" s="1" t="inlineStr">
        <is>
          <t>Gloss</t>
        </is>
      </c>
      <c r="I828" t="n">
        <v>814</v>
      </c>
    </row>
    <row r="829">
      <c r="A829" s="1">
        <f>Hyperlink("https://www.tilemountain.co.uk/p/pienza-grey-polished-porcelain-floor-tile_1.html","Product")</f>
        <v/>
      </c>
      <c r="B829" s="1" t="inlineStr">
        <is>
          <t>450165</t>
        </is>
      </c>
      <c r="C829" s="1" t="inlineStr">
        <is>
          <t>Pienza Grey Polished Porcelain Floor Tile</t>
        </is>
      </c>
      <c r="D829" s="1" t="n">
        <v>23.99</v>
      </c>
      <c r="E829" s="1" t="inlineStr">
        <is>
          <t>800x800mm</t>
        </is>
      </c>
      <c r="F829" s="1" t="inlineStr">
        <is>
          <t>m2</t>
        </is>
      </c>
      <c r="G829" s="1" t="inlineStr">
        <is>
          <t>Porcelain</t>
        </is>
      </c>
      <c r="H829" s="1" t="inlineStr">
        <is>
          <t>Polished</t>
        </is>
      </c>
      <c r="I829" t="n">
        <v>32</v>
      </c>
    </row>
    <row r="830">
      <c r="A830" s="1">
        <f>Hyperlink("https://www.tilemountain.co.uk/p/pierre-bone-rectified-wall-tile.html","Product")</f>
        <v/>
      </c>
      <c r="B830" s="1" t="inlineStr">
        <is>
          <t>448770</t>
        </is>
      </c>
      <c r="C830" s="1" t="inlineStr">
        <is>
          <t>Pierre Bone Rectified Wall Tile</t>
        </is>
      </c>
      <c r="D830" s="1" t="n">
        <v>16.99</v>
      </c>
      <c r="E830" s="1" t="inlineStr">
        <is>
          <t>600x300mm</t>
        </is>
      </c>
      <c r="F830" s="1" t="inlineStr">
        <is>
          <t>m2</t>
        </is>
      </c>
      <c r="G830" s="1" t="inlineStr">
        <is>
          <t>Porcelain</t>
        </is>
      </c>
      <c r="H830" s="1" t="inlineStr">
        <is>
          <t>Matt</t>
        </is>
      </c>
      <c r="I830" t="n">
        <v>124</v>
      </c>
    </row>
    <row r="831">
      <c r="A831" s="1">
        <f>Hyperlink("https://www.tilemountain.co.uk/p/pierre-perla-rectified-wall-tile.html","Product")</f>
        <v/>
      </c>
      <c r="B831" s="1" t="inlineStr">
        <is>
          <t>449100</t>
        </is>
      </c>
      <c r="C831" s="1" t="inlineStr">
        <is>
          <t>Pierre Perla Rectified Wall Tile</t>
        </is>
      </c>
      <c r="D831" s="1" t="n">
        <v>16.99</v>
      </c>
      <c r="E831" s="1" t="inlineStr">
        <is>
          <t>600x300mm</t>
        </is>
      </c>
      <c r="F831" s="1" t="inlineStr">
        <is>
          <t>m2</t>
        </is>
      </c>
      <c r="G831" s="1" t="inlineStr">
        <is>
          <t>Porcelain</t>
        </is>
      </c>
      <c r="H831" s="1" t="inlineStr">
        <is>
          <t>Matt</t>
        </is>
      </c>
      <c r="I831" t="n">
        <v>388</v>
      </c>
    </row>
    <row r="832">
      <c r="A832" s="1">
        <f>Hyperlink("https://www.tilemountain.co.uk/p/pierre-snow-rectified-wall-tile.html","Product")</f>
        <v/>
      </c>
      <c r="B832" s="1" t="inlineStr">
        <is>
          <t>448760</t>
        </is>
      </c>
      <c r="C832" s="1" t="inlineStr">
        <is>
          <t>Pierre Snow Rectified Wall Tile</t>
        </is>
      </c>
      <c r="D832" s="1" t="n">
        <v>16.99</v>
      </c>
      <c r="E832" s="1" t="inlineStr">
        <is>
          <t>600x300mm</t>
        </is>
      </c>
      <c r="F832" s="1" t="inlineStr">
        <is>
          <t>m2</t>
        </is>
      </c>
      <c r="G832" s="1" t="inlineStr">
        <is>
          <t>Porcelain</t>
        </is>
      </c>
      <c r="H832" s="1" t="inlineStr">
        <is>
          <t>Matt</t>
        </is>
      </c>
      <c r="I832" t="n">
        <v>18</v>
      </c>
    </row>
    <row r="833">
      <c r="A833" s="1">
        <f>Hyperlink("https://www.tilemountain.co.uk/p/pietra-anthrcaite-outdoor-slab-tiles.html","Product")</f>
        <v/>
      </c>
      <c r="B833" s="1" t="inlineStr">
        <is>
          <t>452210</t>
        </is>
      </c>
      <c r="C833" s="1" t="inlineStr">
        <is>
          <t>Pietra Anthracite Outdoor Slab</t>
        </is>
      </c>
      <c r="D833" s="1" t="n">
        <v>35.99</v>
      </c>
      <c r="E833" s="1" t="inlineStr">
        <is>
          <t>1200x600mm</t>
        </is>
      </c>
      <c r="F833" s="1" t="inlineStr">
        <is>
          <t>m2</t>
        </is>
      </c>
      <c r="G833" s="1" t="inlineStr">
        <is>
          <t>Porcelain</t>
        </is>
      </c>
      <c r="H833" s="1" t="inlineStr">
        <is>
          <t>Matt</t>
        </is>
      </c>
      <c r="I833" t="n">
        <v>146</v>
      </c>
    </row>
    <row r="834">
      <c r="A834" s="1">
        <f>Hyperlink("https://www.tilemountain.co.uk/p/place-white-marble-effect-wall-tile.html","Product")</f>
        <v/>
      </c>
      <c r="B834" s="1" t="inlineStr">
        <is>
          <t>444375</t>
        </is>
      </c>
      <c r="C834" s="1" t="inlineStr">
        <is>
          <t>Place White Marble Effect Wall Tiles</t>
        </is>
      </c>
      <c r="D834" s="1" t="n">
        <v>13.99</v>
      </c>
      <c r="E834" s="1" t="inlineStr">
        <is>
          <t>600x335mm</t>
        </is>
      </c>
      <c r="F834" s="1" t="inlineStr">
        <is>
          <t>m2</t>
        </is>
      </c>
      <c r="G834" s="1" t="inlineStr">
        <is>
          <t>Ceramic</t>
        </is>
      </c>
      <c r="H834" s="1" t="inlineStr">
        <is>
          <t>Gloss</t>
        </is>
      </c>
      <c r="I834" t="n">
        <v>8638</v>
      </c>
    </row>
    <row r="835">
      <c r="A835" s="1">
        <f>Hyperlink("https://www.tilemountain.co.uk/p/place-white-marble-floor-tile-4867.html","Product")</f>
        <v/>
      </c>
      <c r="B835" s="1" t="inlineStr">
        <is>
          <t>448505</t>
        </is>
      </c>
      <c r="C835" s="1" t="inlineStr">
        <is>
          <t>Place White Matt Marble Effect Floor Tiles</t>
        </is>
      </c>
      <c r="D835" s="1" t="n">
        <v>15.99</v>
      </c>
      <c r="E835" s="1" t="inlineStr">
        <is>
          <t>600x600mm</t>
        </is>
      </c>
      <c r="F835" s="1" t="inlineStr">
        <is>
          <t>m2</t>
        </is>
      </c>
      <c r="G835" s="1" t="inlineStr">
        <is>
          <t>Porcelain</t>
        </is>
      </c>
      <c r="H835" s="1" t="inlineStr">
        <is>
          <t>Matt</t>
        </is>
      </c>
      <c r="I835" t="n">
        <v>1202</v>
      </c>
    </row>
    <row r="836">
      <c r="A836" s="1">
        <f>Hyperlink("https://www.tilemountain.co.uk/p/place-white-marble-floor-tile.html","Product")</f>
        <v/>
      </c>
      <c r="B836" s="1" t="inlineStr">
        <is>
          <t>443745</t>
        </is>
      </c>
      <c r="C836" s="1" t="inlineStr">
        <is>
          <t>Place White Marble Effect Wall and Floor Tiles</t>
        </is>
      </c>
      <c r="D836" s="1" t="n">
        <v>32.99</v>
      </c>
      <c r="E836" s="1" t="inlineStr">
        <is>
          <t>590x1182mm</t>
        </is>
      </c>
      <c r="F836" s="1" t="inlineStr">
        <is>
          <t>m2</t>
        </is>
      </c>
      <c r="G836" s="1" t="inlineStr">
        <is>
          <t>Porcelain</t>
        </is>
      </c>
      <c r="H836" s="1" t="inlineStr">
        <is>
          <t>Polished</t>
        </is>
      </c>
      <c r="I836" t="n">
        <v>2533</v>
      </c>
    </row>
    <row r="837">
      <c r="A837" s="1">
        <f>Hyperlink("https://www.tilemountain.co.uk/p/place-white-polished-marble-floor-tile.html","Product")</f>
        <v/>
      </c>
      <c r="B837" s="1" t="inlineStr">
        <is>
          <t>451610</t>
        </is>
      </c>
      <c r="C837" s="1" t="inlineStr">
        <is>
          <t>Place White Polished Marble Effect Floor Tile</t>
        </is>
      </c>
      <c r="D837" s="1" t="n">
        <v>21.99</v>
      </c>
      <c r="E837" s="1" t="inlineStr">
        <is>
          <t>590x590mm</t>
        </is>
      </c>
      <c r="F837" s="1" t="inlineStr">
        <is>
          <t>m2</t>
        </is>
      </c>
      <c r="G837" s="1" t="inlineStr">
        <is>
          <t>Porcelain</t>
        </is>
      </c>
      <c r="H837" s="1" t="inlineStr">
        <is>
          <t>Polished</t>
        </is>
      </c>
      <c r="I837" t="n">
        <v>185</v>
      </c>
    </row>
    <row r="838">
      <c r="A838" s="1">
        <f>Hyperlink("https://www.tilemountain.co.uk/p/plastic-trowel.html","Product")</f>
        <v/>
      </c>
      <c r="B838" s="1" t="inlineStr">
        <is>
          <t>450640</t>
        </is>
      </c>
      <c r="C838" s="1" t="inlineStr">
        <is>
          <t>Plastic Trowel</t>
        </is>
      </c>
      <c r="D838" s="1" t="n">
        <v>3.49</v>
      </c>
      <c r="E838" s="1" t="inlineStr">
        <is>
          <t>-</t>
        </is>
      </c>
      <c r="F838" s="1" t="inlineStr">
        <is>
          <t>Qty</t>
        </is>
      </c>
      <c r="G838" s="1" t="inlineStr">
        <is>
          <t>-</t>
        </is>
      </c>
      <c r="H838" s="1" t="inlineStr">
        <is>
          <t>-</t>
        </is>
      </c>
      <c r="I838" t="inlineStr">
        <is>
          <t>In Stock</t>
        </is>
      </c>
    </row>
    <row r="839">
      <c r="A839" s="1">
        <f>Hyperlink("https://www.tilemountain.co.uk/p/pomena-3827.html","Product")</f>
        <v/>
      </c>
      <c r="B839" s="1" t="inlineStr">
        <is>
          <t>445365</t>
        </is>
      </c>
      <c r="C839" s="1" t="inlineStr">
        <is>
          <t>Pomena Luxury Vinyl Tiles</t>
        </is>
      </c>
      <c r="D839" s="1" t="n">
        <v>20.99</v>
      </c>
      <c r="E839" s="1" t="inlineStr">
        <is>
          <t>604x299x4mm</t>
        </is>
      </c>
      <c r="F839" s="1" t="inlineStr">
        <is>
          <t>m2</t>
        </is>
      </c>
      <c r="G839" s="1" t="inlineStr">
        <is>
          <t>LVT</t>
        </is>
      </c>
      <c r="H839" s="1" t="inlineStr">
        <is>
          <t>Matt</t>
        </is>
      </c>
      <c r="I839" t="n">
        <v>376</v>
      </c>
    </row>
    <row r="840">
      <c r="A840" s="1">
        <f>Hyperlink("https://www.tilemountain.co.uk/p/portland-oak.html","Product")</f>
        <v/>
      </c>
      <c r="B840" s="1" t="inlineStr">
        <is>
          <t>445335</t>
        </is>
      </c>
      <c r="C840" s="1" t="inlineStr">
        <is>
          <t>Portland Oak Luxury Vinyl Tiles</t>
        </is>
      </c>
      <c r="D840" s="1" t="n">
        <v>20.99</v>
      </c>
      <c r="E840" s="1" t="inlineStr">
        <is>
          <t>1316x191x4mm</t>
        </is>
      </c>
      <c r="F840" s="1" t="inlineStr">
        <is>
          <t>m2</t>
        </is>
      </c>
      <c r="G840" s="1" t="inlineStr">
        <is>
          <t>LVT</t>
        </is>
      </c>
      <c r="H840" s="1" t="inlineStr">
        <is>
          <t>Matt</t>
        </is>
      </c>
      <c r="I840" t="inlineStr">
        <is>
          <t xml:space="preserve">Out Of Stock </t>
        </is>
      </c>
    </row>
    <row r="841">
      <c r="A841" s="1">
        <f>Hyperlink("https://www.tilemountain.co.uk/p/prime-bond-sbr-water-based-1-ltr.html","Product")</f>
        <v/>
      </c>
      <c r="B841" s="1" t="inlineStr">
        <is>
          <t>450405</t>
        </is>
      </c>
      <c r="C841" s="1" t="inlineStr">
        <is>
          <t>Prime Bond Water Based SBR Primer 1 Ltr</t>
        </is>
      </c>
      <c r="D841" s="1" t="n">
        <v>5.99</v>
      </c>
      <c r="E841" s="1" t="inlineStr">
        <is>
          <t>-</t>
        </is>
      </c>
      <c r="F841" s="1" t="inlineStr">
        <is>
          <t>Qty</t>
        </is>
      </c>
      <c r="G841" s="1" t="inlineStr">
        <is>
          <t>-</t>
        </is>
      </c>
      <c r="H841" s="1" t="inlineStr">
        <is>
          <t>-</t>
        </is>
      </c>
      <c r="I841" t="inlineStr">
        <is>
          <t>In Stock</t>
        </is>
      </c>
    </row>
    <row r="842">
      <c r="A842" s="1">
        <f>Hyperlink("https://www.tilemountain.co.uk/p/primer-g-1kg.html","Product")</f>
        <v/>
      </c>
      <c r="B842" s="1" t="inlineStr">
        <is>
          <t>020101</t>
        </is>
      </c>
      <c r="C842" s="1" t="inlineStr">
        <is>
          <t>Primer G 1kg</t>
        </is>
      </c>
      <c r="D842" s="1" t="n">
        <v>8.99</v>
      </c>
      <c r="E842" s="1" t="inlineStr">
        <is>
          <t>-</t>
        </is>
      </c>
      <c r="F842" s="1" t="inlineStr">
        <is>
          <t>Qty</t>
        </is>
      </c>
      <c r="G842" s="1" t="inlineStr">
        <is>
          <t>-</t>
        </is>
      </c>
      <c r="H842" s="1" t="inlineStr">
        <is>
          <t>-</t>
        </is>
      </c>
      <c r="I842" t="inlineStr">
        <is>
          <t>In Stock</t>
        </is>
      </c>
    </row>
    <row r="843">
      <c r="A843" s="1">
        <f>Hyperlink("https://www.tilemountain.co.uk/p/primer-g-5kg.html","Product")</f>
        <v/>
      </c>
      <c r="B843" s="1" t="inlineStr">
        <is>
          <t>020105</t>
        </is>
      </c>
      <c r="C843" s="1" t="inlineStr">
        <is>
          <t>Primer G 5kg</t>
        </is>
      </c>
      <c r="D843" s="1" t="n">
        <v>17.99</v>
      </c>
      <c r="E843" s="1" t="inlineStr">
        <is>
          <t>-</t>
        </is>
      </c>
      <c r="F843" s="1" t="inlineStr">
        <is>
          <t>Qty</t>
        </is>
      </c>
      <c r="G843" s="1" t="inlineStr">
        <is>
          <t>-</t>
        </is>
      </c>
      <c r="H843" s="1" t="inlineStr">
        <is>
          <t>-</t>
        </is>
      </c>
      <c r="I843" t="inlineStr">
        <is>
          <t>In Stock</t>
        </is>
      </c>
    </row>
    <row r="844">
      <c r="A844" s="1">
        <f>Hyperlink("https://www.tilemountain.co.uk/p/prismatics-duck-egg-gloss-wall-tile-1015.html","Product")</f>
        <v/>
      </c>
      <c r="B844" s="1" t="inlineStr">
        <is>
          <t>432685</t>
        </is>
      </c>
      <c r="C844" s="1" t="inlineStr">
        <is>
          <t>Prismatics Duck Egg Gloss Wall Tiles</t>
        </is>
      </c>
      <c r="D844" s="1" t="n">
        <v>38.99</v>
      </c>
      <c r="E844" s="1" t="inlineStr">
        <is>
          <t>200x100mm</t>
        </is>
      </c>
      <c r="F844" s="1" t="inlineStr">
        <is>
          <t>m2</t>
        </is>
      </c>
      <c r="G844" s="1" t="inlineStr">
        <is>
          <t>Ceramic</t>
        </is>
      </c>
      <c r="H844" s="1" t="inlineStr">
        <is>
          <t>Gloss</t>
        </is>
      </c>
      <c r="I844" t="inlineStr">
        <is>
          <t>In Stock</t>
        </is>
      </c>
    </row>
    <row r="845">
      <c r="A845" s="1">
        <f>Hyperlink("https://www.tilemountain.co.uk/p/prismatics-duck-egg-gloss-wall-tile-1039.html","Product")</f>
        <v/>
      </c>
      <c r="B845" s="1" t="inlineStr">
        <is>
          <t>432330</t>
        </is>
      </c>
      <c r="C845" s="1" t="inlineStr">
        <is>
          <t>Prismatics Duck Egg Gloss Wall Tiles</t>
        </is>
      </c>
      <c r="D845" s="1" t="n">
        <v>32.99</v>
      </c>
      <c r="E845" s="1" t="inlineStr">
        <is>
          <t>150x150mm</t>
        </is>
      </c>
      <c r="F845" s="1" t="inlineStr">
        <is>
          <t>m2</t>
        </is>
      </c>
      <c r="G845" s="1" t="inlineStr">
        <is>
          <t>Ceramic</t>
        </is>
      </c>
      <c r="H845" s="1" t="inlineStr">
        <is>
          <t>Gloss</t>
        </is>
      </c>
      <c r="I845" t="n">
        <v>21</v>
      </c>
    </row>
    <row r="846">
      <c r="A846" s="1">
        <f>Hyperlink("https://www.tilemountain.co.uk/p/prismatics-white-gloss-wall-tile-1212.html","Product")</f>
        <v/>
      </c>
      <c r="B846" s="1" t="inlineStr">
        <is>
          <t>432525</t>
        </is>
      </c>
      <c r="C846" s="1" t="inlineStr">
        <is>
          <t>Prismatics White Gloss Wall Tiles</t>
        </is>
      </c>
      <c r="D846" s="1" t="n">
        <v>20.99</v>
      </c>
      <c r="E846" s="1" t="inlineStr">
        <is>
          <t>150x150mm</t>
        </is>
      </c>
      <c r="F846" s="1" t="inlineStr">
        <is>
          <t>m2</t>
        </is>
      </c>
      <c r="G846" s="1" t="inlineStr">
        <is>
          <t>Ceramic</t>
        </is>
      </c>
      <c r="H846" s="1" t="inlineStr">
        <is>
          <t>Gloss</t>
        </is>
      </c>
      <c r="I846" t="n">
        <v>51</v>
      </c>
    </row>
    <row r="847">
      <c r="A847" s="1">
        <f>Hyperlink("https://www.tilemountain.co.uk/p/prismatics-white-gloss-wall-tile-1213.html","Product")</f>
        <v/>
      </c>
      <c r="B847" s="1" t="inlineStr">
        <is>
          <t>433005</t>
        </is>
      </c>
      <c r="C847" s="1" t="inlineStr">
        <is>
          <t>Prismatics White Gloss Wall Tiles</t>
        </is>
      </c>
      <c r="D847" s="1" t="n">
        <v>25.99</v>
      </c>
      <c r="E847" s="1" t="inlineStr">
        <is>
          <t>200x200mm</t>
        </is>
      </c>
      <c r="F847" s="1" t="inlineStr">
        <is>
          <t>m2</t>
        </is>
      </c>
      <c r="G847" s="1" t="inlineStr">
        <is>
          <t>Ceramic</t>
        </is>
      </c>
      <c r="H847" s="1" t="inlineStr">
        <is>
          <t>Gloss</t>
        </is>
      </c>
      <c r="I847" t="n">
        <v>112</v>
      </c>
    </row>
    <row r="848">
      <c r="A848" s="1">
        <f>Hyperlink("https://www.tilemountain.co.uk/p/prismatics-white-gloss-wall-tile.html","Product")</f>
        <v/>
      </c>
      <c r="B848" s="1" t="inlineStr">
        <is>
          <t>431905</t>
        </is>
      </c>
      <c r="C848" s="1" t="inlineStr">
        <is>
          <t>Prismatics White Gloss Wall Tiles</t>
        </is>
      </c>
      <c r="D848" s="1" t="n">
        <v>27.99</v>
      </c>
      <c r="E848" s="1" t="inlineStr">
        <is>
          <t>100x100mm</t>
        </is>
      </c>
      <c r="F848" s="1" t="inlineStr">
        <is>
          <t>m2</t>
        </is>
      </c>
      <c r="G848" s="1" t="inlineStr">
        <is>
          <t>Ceramic</t>
        </is>
      </c>
      <c r="H848" s="1" t="inlineStr">
        <is>
          <t>Gloss</t>
        </is>
      </c>
      <c r="I848" t="inlineStr">
        <is>
          <t xml:space="preserve">Out Of Stock </t>
        </is>
      </c>
    </row>
    <row r="849">
      <c r="A849" s="1">
        <f>Hyperlink("https://www.tilemountain.co.uk/p/prismatics-white-satin-wall-tile-1260.html","Product")</f>
        <v/>
      </c>
      <c r="B849" s="1" t="inlineStr">
        <is>
          <t>433065</t>
        </is>
      </c>
      <c r="C849" s="1" t="inlineStr">
        <is>
          <t>Prismatics White Satin Wall Tiles</t>
        </is>
      </c>
      <c r="D849" s="1" t="n">
        <v>25.99</v>
      </c>
      <c r="E849" s="1" t="inlineStr">
        <is>
          <t>200x200mm</t>
        </is>
      </c>
      <c r="F849" s="1" t="inlineStr">
        <is>
          <t>m2</t>
        </is>
      </c>
      <c r="G849" s="1" t="inlineStr">
        <is>
          <t>Ceramic</t>
        </is>
      </c>
      <c r="H849" s="1" t="inlineStr">
        <is>
          <t>Matt</t>
        </is>
      </c>
      <c r="I849" t="inlineStr">
        <is>
          <t>In Stock</t>
        </is>
      </c>
    </row>
    <row r="850">
      <c r="A850" s="1">
        <f>Hyperlink("https://www.tilemountain.co.uk/p/pro-board-fixing-washers.html","Product")</f>
        <v/>
      </c>
      <c r="B850" s="1" t="inlineStr">
        <is>
          <t>434970</t>
        </is>
      </c>
      <c r="C850" s="1" t="inlineStr">
        <is>
          <t>Pro Board Fixing Washers</t>
        </is>
      </c>
      <c r="D850" s="1" t="n">
        <v>23.99</v>
      </c>
      <c r="E850" s="1" t="inlineStr">
        <is>
          <t>-</t>
        </is>
      </c>
      <c r="F850" s="1" t="inlineStr">
        <is>
          <t>Qty</t>
        </is>
      </c>
      <c r="G850" s="1" t="inlineStr">
        <is>
          <t>-</t>
        </is>
      </c>
      <c r="H850" s="1" t="inlineStr">
        <is>
          <t>-</t>
        </is>
      </c>
      <c r="I850" t="n">
        <v>15</v>
      </c>
    </row>
    <row r="851">
      <c r="A851" s="1">
        <f>Hyperlink("https://www.tilemountain.co.uk/p/pro-board-tape-46m.html","Product")</f>
        <v/>
      </c>
      <c r="B851" s="1" t="inlineStr">
        <is>
          <t>434960</t>
        </is>
      </c>
      <c r="C851" s="1" t="inlineStr">
        <is>
          <t>Pro Board Tape 46m</t>
        </is>
      </c>
      <c r="D851" s="1" t="n">
        <v>29.99</v>
      </c>
      <c r="E851" s="1" t="inlineStr">
        <is>
          <t>-</t>
        </is>
      </c>
      <c r="F851" s="1" t="inlineStr">
        <is>
          <t>Qty</t>
        </is>
      </c>
      <c r="G851" s="1" t="inlineStr">
        <is>
          <t>-</t>
        </is>
      </c>
      <c r="H851" s="1" t="inlineStr">
        <is>
          <t>-</t>
        </is>
      </c>
      <c r="I851" t="inlineStr">
        <is>
          <t>In Stock</t>
        </is>
      </c>
    </row>
    <row r="852">
      <c r="A852" s="1">
        <f>Hyperlink("https://www.tilemountain.co.uk/p/pro-insulation-board-600x1200-10mm.html","Product")</f>
        <v/>
      </c>
      <c r="B852" s="1" t="inlineStr">
        <is>
          <t>434955</t>
        </is>
      </c>
      <c r="C852" s="1" t="inlineStr">
        <is>
          <t>10mm Pro Insulation Board 600x1200</t>
        </is>
      </c>
      <c r="D852" s="1" t="n">
        <v>13.88</v>
      </c>
      <c r="E852" s="1" t="inlineStr">
        <is>
          <t>600x1200mm</t>
        </is>
      </c>
      <c r="F852" s="1" t="inlineStr">
        <is>
          <t>m2</t>
        </is>
      </c>
      <c r="G852" s="1" t="inlineStr">
        <is>
          <t>-</t>
        </is>
      </c>
      <c r="H852" s="1" t="inlineStr">
        <is>
          <t>-</t>
        </is>
      </c>
      <c r="I852" t="n">
        <v>81</v>
      </c>
    </row>
    <row r="853">
      <c r="A853" s="1">
        <f>Hyperlink("https://www.tilemountain.co.uk/p/pro-insulation-board-600x1200-6mm.html","Product")</f>
        <v/>
      </c>
      <c r="B853" s="1" t="inlineStr">
        <is>
          <t>434950</t>
        </is>
      </c>
      <c r="C853" s="1" t="inlineStr">
        <is>
          <t>6mm Pro Insulation Board 600x1200</t>
        </is>
      </c>
      <c r="D853" s="1" t="n">
        <v>13.88</v>
      </c>
      <c r="E853" s="1" t="inlineStr">
        <is>
          <t>600x1200</t>
        </is>
      </c>
      <c r="F853" s="1" t="inlineStr">
        <is>
          <t>m2</t>
        </is>
      </c>
      <c r="G853" s="1" t="inlineStr">
        <is>
          <t>-</t>
        </is>
      </c>
      <c r="H853" s="1" t="inlineStr">
        <is>
          <t>-</t>
        </is>
      </c>
      <c r="I853" t="inlineStr">
        <is>
          <t>In Stock</t>
        </is>
      </c>
    </row>
    <row r="854">
      <c r="A854" s="1">
        <f>Hyperlink("https://www.tilemountain.co.uk/p/professional-hydro-sponge.html","Product")</f>
        <v/>
      </c>
      <c r="B854" s="1" t="inlineStr">
        <is>
          <t>450725</t>
        </is>
      </c>
      <c r="C854" s="1" t="inlineStr">
        <is>
          <t>Professional Hydro Sponge</t>
        </is>
      </c>
      <c r="D854" s="1" t="n">
        <v>1.99</v>
      </c>
      <c r="E854" s="1" t="inlineStr">
        <is>
          <t>-</t>
        </is>
      </c>
      <c r="F854" s="1" t="inlineStr">
        <is>
          <t>Qty</t>
        </is>
      </c>
      <c r="G854" s="1" t="inlineStr">
        <is>
          <t>-</t>
        </is>
      </c>
      <c r="H854" s="1" t="inlineStr">
        <is>
          <t>-</t>
        </is>
      </c>
      <c r="I854" t="n">
        <v>23</v>
      </c>
    </row>
    <row r="855">
      <c r="A855" s="1">
        <f>Hyperlink("https://www.tilemountain.co.uk/p/pronto-anthracite-wall-and-floor-tile.html","Product")</f>
        <v/>
      </c>
      <c r="B855" s="1" t="inlineStr">
        <is>
          <t>445180</t>
        </is>
      </c>
      <c r="C855" s="1" t="inlineStr">
        <is>
          <t>Pronto Anthracite Wall And Floor Tiles</t>
        </is>
      </c>
      <c r="D855" s="1" t="n">
        <v>12.99</v>
      </c>
      <c r="E855" s="1" t="inlineStr">
        <is>
          <t>600x300mm</t>
        </is>
      </c>
      <c r="F855" s="1" t="inlineStr">
        <is>
          <t>m2</t>
        </is>
      </c>
      <c r="G855" s="1" t="inlineStr">
        <is>
          <t>Porcelain</t>
        </is>
      </c>
      <c r="H855" s="1" t="inlineStr">
        <is>
          <t>Matt</t>
        </is>
      </c>
      <c r="I855" t="n">
        <v>2784</v>
      </c>
    </row>
    <row r="856">
      <c r="A856" s="1">
        <f>Hyperlink("https://www.tilemountain.co.uk/p/pronto-grey-wall-and-floor-tile.html","Product")</f>
        <v/>
      </c>
      <c r="B856" s="1" t="inlineStr">
        <is>
          <t>445175</t>
        </is>
      </c>
      <c r="C856" s="1" t="inlineStr">
        <is>
          <t>Pronto Grey Wall And Floor Tiles</t>
        </is>
      </c>
      <c r="D856" s="1" t="n">
        <v>12.99</v>
      </c>
      <c r="E856" s="1" t="inlineStr">
        <is>
          <t>600x300mm</t>
        </is>
      </c>
      <c r="F856" s="1" t="inlineStr">
        <is>
          <t>m2</t>
        </is>
      </c>
      <c r="G856" s="1" t="inlineStr">
        <is>
          <t>Porcelain</t>
        </is>
      </c>
      <c r="H856" s="1" t="inlineStr">
        <is>
          <t>Matt</t>
        </is>
      </c>
      <c r="I856" t="n">
        <v>4146</v>
      </c>
    </row>
    <row r="857">
      <c r="A857" s="1">
        <f>Hyperlink("https://www.tilemountain.co.uk/p/pronto-ice-grey-wall-and-floor-tile_1.html","Product")</f>
        <v/>
      </c>
      <c r="B857" s="1" t="inlineStr">
        <is>
          <t>454775</t>
        </is>
      </c>
      <c r="C857" s="1" t="inlineStr">
        <is>
          <t>Pronto Ice Grey Wall And Floor Tile</t>
        </is>
      </c>
      <c r="D857" s="1" t="n">
        <v>12.99</v>
      </c>
      <c r="E857" s="1" t="inlineStr">
        <is>
          <t>300x600mm</t>
        </is>
      </c>
      <c r="F857" s="1" t="inlineStr">
        <is>
          <t>m2</t>
        </is>
      </c>
      <c r="G857" s="1" t="inlineStr">
        <is>
          <t>Porcelain</t>
        </is>
      </c>
      <c r="H857" s="1" t="inlineStr">
        <is>
          <t>Matt</t>
        </is>
      </c>
      <c r="I857" t="n">
        <v>1599</v>
      </c>
    </row>
    <row r="858">
      <c r="A858" s="1">
        <f>Hyperlink("https://www.tilemountain.co.uk/p/pronto-ivory-wall-and-floor-tile.html","Product")</f>
        <v/>
      </c>
      <c r="B858" s="1" t="inlineStr">
        <is>
          <t>445185</t>
        </is>
      </c>
      <c r="C858" s="1" t="inlineStr">
        <is>
          <t>Pronto Ivory Wall And Floor Tiles</t>
        </is>
      </c>
      <c r="D858" s="1" t="n">
        <v>12.99</v>
      </c>
      <c r="E858" s="1" t="inlineStr">
        <is>
          <t>600x300mm</t>
        </is>
      </c>
      <c r="F858" s="1" t="inlineStr">
        <is>
          <t>m2</t>
        </is>
      </c>
      <c r="G858" s="1" t="inlineStr">
        <is>
          <t>Porcelain</t>
        </is>
      </c>
      <c r="H858" s="1" t="inlineStr">
        <is>
          <t>Matt</t>
        </is>
      </c>
      <c r="I858" t="n">
        <v>1105</v>
      </c>
    </row>
    <row r="859">
      <c r="A859" s="1">
        <f>Hyperlink("https://www.tilemountain.co.uk/p/prospect-natural.html","Product")</f>
        <v/>
      </c>
      <c r="B859" s="1" t="inlineStr">
        <is>
          <t>444435</t>
        </is>
      </c>
      <c r="C859" s="1" t="inlineStr">
        <is>
          <t>Prospect Natural Wall and Floor Tile</t>
        </is>
      </c>
      <c r="D859" s="1" t="n">
        <v>16.99</v>
      </c>
      <c r="E859" s="1" t="inlineStr">
        <is>
          <t>1200x600mm</t>
        </is>
      </c>
      <c r="F859" s="1" t="inlineStr">
        <is>
          <t>m2</t>
        </is>
      </c>
      <c r="G859" s="1" t="inlineStr">
        <is>
          <t>Porcelain</t>
        </is>
      </c>
      <c r="H859" s="1" t="inlineStr">
        <is>
          <t>Matt</t>
        </is>
      </c>
      <c r="I859" t="n">
        <v>376</v>
      </c>
    </row>
    <row r="860">
      <c r="A860" s="1">
        <f>Hyperlink("https://www.tilemountain.co.uk/p/pulpis-grey-stone-effect-floor-tile.html","Product")</f>
        <v/>
      </c>
      <c r="B860" s="1" t="inlineStr">
        <is>
          <t>443755</t>
        </is>
      </c>
      <c r="C860" s="1" t="inlineStr">
        <is>
          <t>Pulpis Grey Stone Effect Wall and Floor Tiles</t>
        </is>
      </c>
      <c r="D860" s="1" t="n">
        <v>34.99</v>
      </c>
      <c r="E860" s="1" t="inlineStr">
        <is>
          <t>590x1182mm</t>
        </is>
      </c>
      <c r="F860" s="1" t="inlineStr">
        <is>
          <t>m2</t>
        </is>
      </c>
      <c r="G860" s="1" t="inlineStr">
        <is>
          <t>Porcelain</t>
        </is>
      </c>
      <c r="H860" s="1" t="inlineStr">
        <is>
          <t>Polished</t>
        </is>
      </c>
      <c r="I860" t="n">
        <v>793</v>
      </c>
    </row>
    <row r="861">
      <c r="A861" s="1">
        <f>Hyperlink("https://www.tilemountain.co.uk/p/pulpis-grey-wall-tile.html","Product")</f>
        <v/>
      </c>
      <c r="B861" s="1" t="inlineStr">
        <is>
          <t>448520</t>
        </is>
      </c>
      <c r="C861" s="1" t="inlineStr">
        <is>
          <t>Pulpis Grey Wall Tile</t>
        </is>
      </c>
      <c r="D861" s="1" t="n">
        <v>13.99</v>
      </c>
      <c r="E861" s="1" t="inlineStr">
        <is>
          <t>600x335mm</t>
        </is>
      </c>
      <c r="F861" s="1" t="inlineStr">
        <is>
          <t>m2</t>
        </is>
      </c>
      <c r="G861" s="1" t="inlineStr">
        <is>
          <t>Ceramic</t>
        </is>
      </c>
      <c r="H861" s="1" t="inlineStr">
        <is>
          <t>Gloss</t>
        </is>
      </c>
      <c r="I861" t="n">
        <v>1022</v>
      </c>
    </row>
    <row r="862">
      <c r="A862" s="1">
        <f>Hyperlink("https://www.tilemountain.co.uk/p/quartz-stone-midnight-black-1946.html","Product")</f>
        <v/>
      </c>
      <c r="B862" s="1" t="inlineStr">
        <is>
          <t>436165</t>
        </is>
      </c>
      <c r="C862" s="1" t="inlineStr">
        <is>
          <t>Quartz Stone Midnight Black Floor Tile</t>
        </is>
      </c>
      <c r="D862" s="1" t="n">
        <v>64.95</v>
      </c>
      <c r="E862" s="1" t="inlineStr">
        <is>
          <t>600x600mm</t>
        </is>
      </c>
      <c r="F862" s="1" t="inlineStr">
        <is>
          <t>m2</t>
        </is>
      </c>
      <c r="G862" s="1" t="inlineStr">
        <is>
          <t>Quartz</t>
        </is>
      </c>
      <c r="H862" s="1" t="inlineStr">
        <is>
          <t>Gloss</t>
        </is>
      </c>
      <c r="I862" t="n">
        <v>365</v>
      </c>
    </row>
    <row r="863">
      <c r="A863" s="1">
        <f>Hyperlink("https://www.tilemountain.co.uk/p/quartz-stone-midnight-black.html","Product")</f>
        <v/>
      </c>
      <c r="B863" s="1" t="inlineStr">
        <is>
          <t>436160</t>
        </is>
      </c>
      <c r="C863" s="1" t="inlineStr">
        <is>
          <t>Quartz Stone Midnight Black Wall and Floor Tile</t>
        </is>
      </c>
      <c r="D863" s="1" t="n">
        <v>64.95</v>
      </c>
      <c r="E863" s="1" t="inlineStr">
        <is>
          <t>300x300mm</t>
        </is>
      </c>
      <c r="F863" s="1" t="inlineStr">
        <is>
          <t>m2</t>
        </is>
      </c>
      <c r="G863" s="1" t="inlineStr">
        <is>
          <t>Quartz</t>
        </is>
      </c>
      <c r="H863" s="1" t="inlineStr">
        <is>
          <t>Gloss</t>
        </is>
      </c>
      <c r="I863" t="n">
        <v>238</v>
      </c>
    </row>
    <row r="864">
      <c r="A864" s="1">
        <f>Hyperlink("https://www.tilemountain.co.uk/p/quartz-stone-snow-white-1944.html","Product")</f>
        <v/>
      </c>
      <c r="B864" s="1" t="inlineStr">
        <is>
          <t>436155</t>
        </is>
      </c>
      <c r="C864" s="1" t="inlineStr">
        <is>
          <t>Quartz Stone Snow White Floor Tile</t>
        </is>
      </c>
      <c r="D864" s="1" t="n">
        <v>54.95</v>
      </c>
      <c r="E864" s="1" t="inlineStr">
        <is>
          <t>600x600mm</t>
        </is>
      </c>
      <c r="F864" s="1" t="inlineStr">
        <is>
          <t>m2</t>
        </is>
      </c>
      <c r="G864" s="1" t="inlineStr">
        <is>
          <t>Quartz</t>
        </is>
      </c>
      <c r="H864" s="1" t="inlineStr">
        <is>
          <t>Gloss</t>
        </is>
      </c>
      <c r="I864" t="inlineStr">
        <is>
          <t xml:space="preserve">Out Of Stock </t>
        </is>
      </c>
    </row>
    <row r="865">
      <c r="A865" s="1">
        <f>Hyperlink("https://www.tilemountain.co.uk/p/quartz-stone-snow-white-2099.html","Product")</f>
        <v/>
      </c>
      <c r="B865" s="1" t="inlineStr">
        <is>
          <t>436870</t>
        </is>
      </c>
      <c r="C865" s="1" t="inlineStr">
        <is>
          <t>Quartz Stone Snow White Wall and Floor Tile</t>
        </is>
      </c>
      <c r="D865" s="1" t="n">
        <v>55</v>
      </c>
      <c r="E865" s="1" t="inlineStr">
        <is>
          <t>300x300mm</t>
        </is>
      </c>
      <c r="F865" s="1" t="inlineStr">
        <is>
          <t>m2</t>
        </is>
      </c>
      <c r="G865" s="1" t="inlineStr">
        <is>
          <t>Quartz</t>
        </is>
      </c>
      <c r="H865" s="1" t="inlineStr">
        <is>
          <t>Gloss</t>
        </is>
      </c>
      <c r="I865" t="inlineStr">
        <is>
          <t xml:space="preserve">Out Of Stock </t>
        </is>
      </c>
    </row>
    <row r="866">
      <c r="A866" s="1">
        <f>Hyperlink("https://www.tilemountain.co.uk/p/quartz-stone-snow-white.html","Product")</f>
        <v/>
      </c>
      <c r="B866" s="1" t="inlineStr">
        <is>
          <t>436150</t>
        </is>
      </c>
      <c r="C866" s="1" t="inlineStr">
        <is>
          <t>Quartz Stone Snow White Wall and Floor Tile</t>
        </is>
      </c>
      <c r="D866" s="1" t="n">
        <v>64.95</v>
      </c>
      <c r="E866" s="1" t="inlineStr">
        <is>
          <t>300x600mm</t>
        </is>
      </c>
      <c r="F866" s="1" t="inlineStr">
        <is>
          <t>m2</t>
        </is>
      </c>
      <c r="G866" s="1" t="inlineStr">
        <is>
          <t>Quartz</t>
        </is>
      </c>
      <c r="H866" s="1" t="inlineStr">
        <is>
          <t>Gloss</t>
        </is>
      </c>
      <c r="I866" t="inlineStr">
        <is>
          <t xml:space="preserve">Out Of Stock </t>
        </is>
      </c>
    </row>
    <row r="867">
      <c r="A867" s="1">
        <f>Hyperlink("https://www.tilemountain.co.uk/p/quenos-graphite-outdoor-slab.html","Product")</f>
        <v/>
      </c>
      <c r="B867" s="1" t="inlineStr">
        <is>
          <t>455180</t>
        </is>
      </c>
      <c r="C867" s="1" t="inlineStr">
        <is>
          <t>Quenos Graphite Outdoor Slab</t>
        </is>
      </c>
      <c r="D867" s="1" t="n">
        <v>28.99</v>
      </c>
      <c r="E867" s="1" t="inlineStr">
        <is>
          <t>593x593mm</t>
        </is>
      </c>
      <c r="F867" s="1" t="inlineStr">
        <is>
          <t>m2</t>
        </is>
      </c>
      <c r="G867" s="1" t="inlineStr">
        <is>
          <t>Porcelain</t>
        </is>
      </c>
      <c r="H867" s="1" t="inlineStr">
        <is>
          <t>Matt</t>
        </is>
      </c>
      <c r="I867" t="n">
        <v>2549</v>
      </c>
    </row>
    <row r="868">
      <c r="A868" s="1">
        <f>Hyperlink("https://www.tilemountain.co.uk/p/quenos-grey-outdoor-slab.html","Product")</f>
        <v/>
      </c>
      <c r="B868" s="1" t="inlineStr">
        <is>
          <t>455185</t>
        </is>
      </c>
      <c r="C868" s="1" t="inlineStr">
        <is>
          <t>Quenos Grey Outdoor Slab</t>
        </is>
      </c>
      <c r="D868" s="1" t="n">
        <v>28.99</v>
      </c>
      <c r="E868" s="1" t="inlineStr">
        <is>
          <t>593x593mm</t>
        </is>
      </c>
      <c r="F868" s="1" t="inlineStr">
        <is>
          <t>m2</t>
        </is>
      </c>
      <c r="G868" s="1" t="inlineStr">
        <is>
          <t>Porcelain</t>
        </is>
      </c>
      <c r="H868" s="1" t="inlineStr">
        <is>
          <t>Matt</t>
        </is>
      </c>
      <c r="I868" t="n">
        <v>2238</v>
      </c>
    </row>
    <row r="869">
      <c r="A869" s="1">
        <f>Hyperlink("https://www.tilemountain.co.uk/p/quenos-light-grey-outdoor-slab.html","Product")</f>
        <v/>
      </c>
      <c r="B869" s="1" t="inlineStr">
        <is>
          <t>455190</t>
        </is>
      </c>
      <c r="C869" s="1" t="inlineStr">
        <is>
          <t>Quenos Light Grey Outdoor Slab</t>
        </is>
      </c>
      <c r="D869" s="1" t="n">
        <v>28.99</v>
      </c>
      <c r="E869" s="1" t="inlineStr">
        <is>
          <t>593x593mm</t>
        </is>
      </c>
      <c r="F869" s="1" t="inlineStr">
        <is>
          <t>m2</t>
        </is>
      </c>
      <c r="G869" s="1" t="inlineStr">
        <is>
          <t>Porcelain</t>
        </is>
      </c>
      <c r="H869" s="1" t="inlineStr">
        <is>
          <t>Matt</t>
        </is>
      </c>
      <c r="I869" t="n">
        <v>2321</v>
      </c>
    </row>
    <row r="870">
      <c r="A870" s="1">
        <f>Hyperlink("https://www.tilemountain.co.uk/p/quenos-white-outdoor-slab.html","Product")</f>
        <v/>
      </c>
      <c r="B870" s="1" t="inlineStr">
        <is>
          <t>455195</t>
        </is>
      </c>
      <c r="C870" s="1" t="inlineStr">
        <is>
          <t>Quenos White Outdoor Slab</t>
        </is>
      </c>
      <c r="D870" s="1" t="n">
        <v>29.68</v>
      </c>
      <c r="E870" s="1" t="inlineStr">
        <is>
          <t>593x593mm</t>
        </is>
      </c>
      <c r="F870" s="1" t="inlineStr">
        <is>
          <t>m2</t>
        </is>
      </c>
      <c r="G870" s="1" t="inlineStr">
        <is>
          <t>Porcelain</t>
        </is>
      </c>
      <c r="H870" s="1" t="inlineStr">
        <is>
          <t>Matt</t>
        </is>
      </c>
      <c r="I870" t="n">
        <v>2116</v>
      </c>
    </row>
    <row r="871">
      <c r="A871" s="1">
        <f>Hyperlink("https://www.tilemountain.co.uk/p/raindrop-blue-glass-mosaic.html","Product")</f>
        <v/>
      </c>
      <c r="B871" s="1" t="inlineStr">
        <is>
          <t>450055</t>
        </is>
      </c>
      <c r="C871" s="1" t="inlineStr">
        <is>
          <t>Raindrop Blue Glass Mosaic 300x300</t>
        </is>
      </c>
      <c r="D871" s="1" t="n">
        <v>14.99</v>
      </c>
      <c r="E871" s="1" t="inlineStr">
        <is>
          <t>300x300mm</t>
        </is>
      </c>
      <c r="F871" s="1" t="inlineStr">
        <is>
          <t>sheet</t>
        </is>
      </c>
      <c r="G871" s="1" t="inlineStr">
        <is>
          <t>Glass</t>
        </is>
      </c>
      <c r="H871" s="1" t="inlineStr">
        <is>
          <t>Gloss</t>
        </is>
      </c>
      <c r="I871" t="n">
        <v>104</v>
      </c>
    </row>
    <row r="872">
      <c r="A872" s="1">
        <f>Hyperlink("https://www.tilemountain.co.uk/p/raindrop-green-glass-mosaic.html","Product")</f>
        <v/>
      </c>
      <c r="B872" s="1" t="inlineStr">
        <is>
          <t>450065</t>
        </is>
      </c>
      <c r="C872" s="1" t="inlineStr">
        <is>
          <t>Raindrop Green Glass Mosaic 300x300</t>
        </is>
      </c>
      <c r="D872" s="1" t="n">
        <v>14.99</v>
      </c>
      <c r="E872" s="1" t="inlineStr">
        <is>
          <t>300x300mm</t>
        </is>
      </c>
      <c r="F872" s="1" t="inlineStr">
        <is>
          <t>sheet</t>
        </is>
      </c>
      <c r="G872" s="1" t="inlineStr">
        <is>
          <t>Glass</t>
        </is>
      </c>
      <c r="H872" s="1" t="inlineStr">
        <is>
          <t>Gloss</t>
        </is>
      </c>
      <c r="I872" t="n">
        <v>152</v>
      </c>
    </row>
    <row r="873">
      <c r="A873" s="1">
        <f>Hyperlink("https://www.tilemountain.co.uk/p/raindrop-grey-glass-mosaic_1.html","Product")</f>
        <v/>
      </c>
      <c r="B873" s="1" t="inlineStr">
        <is>
          <t>450070</t>
        </is>
      </c>
      <c r="C873" s="1" t="inlineStr">
        <is>
          <t>Raindrop Grey Glass Mosaic 300x300</t>
        </is>
      </c>
      <c r="D873" s="1" t="n">
        <v>14.99</v>
      </c>
      <c r="E873" s="1" t="inlineStr">
        <is>
          <t>300x300mm</t>
        </is>
      </c>
      <c r="F873" s="1" t="inlineStr">
        <is>
          <t>sheet</t>
        </is>
      </c>
      <c r="G873" s="1" t="inlineStr">
        <is>
          <t>Glass</t>
        </is>
      </c>
      <c r="H873" s="1" t="inlineStr">
        <is>
          <t>Gloss</t>
        </is>
      </c>
      <c r="I873" t="n">
        <v>105</v>
      </c>
    </row>
    <row r="874">
      <c r="A874" s="1">
        <f>Hyperlink("https://www.tilemountain.co.uk/p/raindrop-red-glass-mosaic.html","Product")</f>
        <v/>
      </c>
      <c r="B874" s="1" t="inlineStr">
        <is>
          <t>450060</t>
        </is>
      </c>
      <c r="C874" s="1" t="inlineStr">
        <is>
          <t>Raindrop Red Glass Mosaic 300x300</t>
        </is>
      </c>
      <c r="D874" s="1" t="n">
        <v>14.99</v>
      </c>
      <c r="E874" s="1" t="inlineStr">
        <is>
          <t>300x300mm</t>
        </is>
      </c>
      <c r="F874" s="1" t="inlineStr">
        <is>
          <t>sheet</t>
        </is>
      </c>
      <c r="G874" s="1" t="inlineStr">
        <is>
          <t>Glass</t>
        </is>
      </c>
      <c r="H874" s="1" t="inlineStr">
        <is>
          <t>Gloss</t>
        </is>
      </c>
      <c r="I874" t="inlineStr">
        <is>
          <t>In Stock</t>
        </is>
      </c>
    </row>
    <row r="875">
      <c r="A875" s="1">
        <f>Hyperlink("https://www.tilemountain.co.uk/p/rapid-porcelain-grey-s1.html","Product")</f>
        <v/>
      </c>
      <c r="B875" s="1" t="inlineStr">
        <is>
          <t>450310</t>
        </is>
      </c>
      <c r="C875" s="1" t="inlineStr">
        <is>
          <t>Rapid Porcelain Grey S1 Tile Adhesive</t>
        </is>
      </c>
      <c r="D875" s="1" t="n">
        <v>19.95</v>
      </c>
      <c r="E875" s="1" t="inlineStr">
        <is>
          <t>-</t>
        </is>
      </c>
      <c r="F875" s="1" t="inlineStr">
        <is>
          <t>Qty</t>
        </is>
      </c>
      <c r="G875" s="1" t="inlineStr">
        <is>
          <t>-</t>
        </is>
      </c>
      <c r="H875" s="1" t="inlineStr">
        <is>
          <t>-</t>
        </is>
      </c>
      <c r="I875" t="inlineStr">
        <is>
          <t>In Stock</t>
        </is>
      </c>
    </row>
    <row r="876">
      <c r="A876" s="1">
        <f>Hyperlink("https://www.tilemountain.co.uk/p/rapid-porcelain-white-s1.html","Product")</f>
        <v/>
      </c>
      <c r="B876" s="1" t="inlineStr">
        <is>
          <t>450315</t>
        </is>
      </c>
      <c r="C876" s="1" t="inlineStr">
        <is>
          <t>Rapid Porcelain &amp; Stone White S1 Tile Adhesive</t>
        </is>
      </c>
      <c r="D876" s="1" t="n">
        <v>23.95</v>
      </c>
      <c r="E876" s="1" t="inlineStr">
        <is>
          <t>-</t>
        </is>
      </c>
      <c r="F876" s="1" t="inlineStr">
        <is>
          <t>Qty</t>
        </is>
      </c>
      <c r="G876" s="1" t="inlineStr">
        <is>
          <t>-</t>
        </is>
      </c>
      <c r="H876" s="1" t="inlineStr">
        <is>
          <t>-</t>
        </is>
      </c>
      <c r="I876" t="n">
        <v>30</v>
      </c>
    </row>
    <row r="877">
      <c r="A877" s="1">
        <f>Hyperlink("https://www.tilemountain.co.uk/p/rapolano-grey-wall-tile-3504.html","Product")</f>
        <v/>
      </c>
      <c r="B877" s="1" t="inlineStr">
        <is>
          <t>443810</t>
        </is>
      </c>
      <c r="C877" s="1" t="inlineStr">
        <is>
          <t>Rapolano Grey Wall Tiles</t>
        </is>
      </c>
      <c r="D877" s="1" t="n">
        <v>9.99</v>
      </c>
      <c r="E877" s="1" t="inlineStr">
        <is>
          <t>550x330mm</t>
        </is>
      </c>
      <c r="F877" s="1" t="inlineStr">
        <is>
          <t>m2</t>
        </is>
      </c>
      <c r="G877" s="1" t="inlineStr">
        <is>
          <t>Ceramic</t>
        </is>
      </c>
      <c r="H877" s="1" t="inlineStr">
        <is>
          <t>Matt</t>
        </is>
      </c>
      <c r="I877" t="n">
        <v>490</v>
      </c>
    </row>
    <row r="878">
      <c r="A878" s="1">
        <f>Hyperlink("https://www.tilemountain.co.uk/p/red-glass-upstand-pack-2.html","Product")</f>
        <v/>
      </c>
      <c r="B878" s="1" t="inlineStr">
        <is>
          <t>436375</t>
        </is>
      </c>
      <c r="C878" s="1" t="inlineStr">
        <is>
          <t>Red Glass Upstand 2pcsx1000mmx140mm</t>
        </is>
      </c>
      <c r="D878" s="1" t="n">
        <v>34.99</v>
      </c>
      <c r="E878" s="1" t="inlineStr">
        <is>
          <t>1000x140mm</t>
        </is>
      </c>
      <c r="F878" s="1" t="inlineStr">
        <is>
          <t>piece</t>
        </is>
      </c>
      <c r="G878" s="1" t="inlineStr">
        <is>
          <t>Glass</t>
        </is>
      </c>
      <c r="H878" s="1" t="inlineStr">
        <is>
          <t>Polished</t>
        </is>
      </c>
      <c r="I878" t="inlineStr">
        <is>
          <t>In Stock</t>
        </is>
      </c>
    </row>
    <row r="879">
      <c r="A879" s="1">
        <f>Hyperlink("https://www.tilemountain.co.uk/p/red-quarry-tile-3496.html","Product")</f>
        <v/>
      </c>
      <c r="B879" s="1" t="inlineStr">
        <is>
          <t>443775</t>
        </is>
      </c>
      <c r="C879" s="1" t="inlineStr">
        <is>
          <t>Red Quarry Tiles</t>
        </is>
      </c>
      <c r="D879" s="1" t="n">
        <v>12.99</v>
      </c>
      <c r="E879" s="1" t="inlineStr">
        <is>
          <t>200x100mm</t>
        </is>
      </c>
      <c r="F879" s="1" t="inlineStr">
        <is>
          <t>m2</t>
        </is>
      </c>
      <c r="G879" s="1" t="inlineStr">
        <is>
          <t>Natural Clay</t>
        </is>
      </c>
      <c r="H879" s="1" t="inlineStr">
        <is>
          <t>Matt</t>
        </is>
      </c>
      <c r="I879" t="n">
        <v>49</v>
      </c>
    </row>
    <row r="880">
      <c r="A880" s="1">
        <f>Hyperlink("https://www.tilemountain.co.uk/p/red-quarry-tile-3497.html","Product")</f>
        <v/>
      </c>
      <c r="B880" s="1" t="inlineStr">
        <is>
          <t>443780</t>
        </is>
      </c>
      <c r="C880" s="1" t="inlineStr">
        <is>
          <t>Red Quarry Tiles</t>
        </is>
      </c>
      <c r="D880" s="1" t="n">
        <v>16.99</v>
      </c>
      <c r="E880" s="1" t="inlineStr">
        <is>
          <t>200x200mm</t>
        </is>
      </c>
      <c r="F880" s="1" t="inlineStr">
        <is>
          <t>m2</t>
        </is>
      </c>
      <c r="G880" s="1" t="inlineStr">
        <is>
          <t>Natural Clay</t>
        </is>
      </c>
      <c r="H880" s="1" t="inlineStr">
        <is>
          <t>Matt</t>
        </is>
      </c>
      <c r="I880" t="inlineStr">
        <is>
          <t>More Stock due 29/10/21</t>
        </is>
      </c>
    </row>
    <row r="881">
      <c r="A881" s="1">
        <f>Hyperlink("https://www.tilemountain.co.uk/p/red-quarry-tile-re.html","Product")</f>
        <v/>
      </c>
      <c r="B881" s="1" t="inlineStr">
        <is>
          <t>443765</t>
        </is>
      </c>
      <c r="C881" s="1" t="inlineStr">
        <is>
          <t>Red Quarry Tiles (RE)</t>
        </is>
      </c>
      <c r="D881" s="1" t="n">
        <v>33.99</v>
      </c>
      <c r="E881" s="1" t="inlineStr">
        <is>
          <t>150x150mm</t>
        </is>
      </c>
      <c r="F881" s="1" t="inlineStr">
        <is>
          <t>m2</t>
        </is>
      </c>
      <c r="G881" s="1" t="inlineStr">
        <is>
          <t>Natural Clay</t>
        </is>
      </c>
      <c r="H881" s="1" t="inlineStr">
        <is>
          <t>Matt</t>
        </is>
      </c>
      <c r="I881" t="inlineStr">
        <is>
          <t>In Stock</t>
        </is>
      </c>
    </row>
    <row r="882">
      <c r="A882" s="1">
        <f>Hyperlink("https://www.tilemountain.co.uk/p/red-quarry-tile.html","Product")</f>
        <v/>
      </c>
      <c r="B882" s="1" t="inlineStr">
        <is>
          <t>443760</t>
        </is>
      </c>
      <c r="C882" s="1" t="inlineStr">
        <is>
          <t>Red Quarry Tiles</t>
        </is>
      </c>
      <c r="D882" s="1" t="n">
        <v>12.99</v>
      </c>
      <c r="E882" s="1" t="inlineStr">
        <is>
          <t>150x150mm</t>
        </is>
      </c>
      <c r="F882" s="1" t="inlineStr">
        <is>
          <t>m2</t>
        </is>
      </c>
      <c r="G882" s="1" t="inlineStr">
        <is>
          <t>Natural Clay</t>
        </is>
      </c>
      <c r="H882" s="1" t="inlineStr">
        <is>
          <t>Matt</t>
        </is>
      </c>
      <c r="I882" t="inlineStr">
        <is>
          <t>More Stock due 05/11/21</t>
        </is>
      </c>
    </row>
    <row r="883">
      <c r="A883" s="1">
        <f>Hyperlink("https://www.tilemountain.co.uk/p/rewind-powder-tile-750x750.html","Product")</f>
        <v/>
      </c>
      <c r="B883" s="1" t="inlineStr">
        <is>
          <t>449155</t>
        </is>
      </c>
      <c r="C883" s="1" t="inlineStr">
        <is>
          <t>Rewind Powder Tiles</t>
        </is>
      </c>
      <c r="D883" s="1" t="n">
        <v>26.95</v>
      </c>
      <c r="E883" s="1" t="inlineStr">
        <is>
          <t>750x750mm</t>
        </is>
      </c>
      <c r="F883" s="1" t="inlineStr">
        <is>
          <t>m2</t>
        </is>
      </c>
      <c r="G883" s="1" t="inlineStr">
        <is>
          <t>Porcelain</t>
        </is>
      </c>
      <c r="H883" s="1" t="inlineStr">
        <is>
          <t>Matt</t>
        </is>
      </c>
      <c r="I883" t="n">
        <v>117</v>
      </c>
    </row>
    <row r="884">
      <c r="A884" s="1">
        <f>Hyperlink("https://www.tilemountain.co.uk/p/ribera-grey-slate-effect-wall-tile.html","Product")</f>
        <v/>
      </c>
      <c r="B884" s="1" t="inlineStr">
        <is>
          <t>439565</t>
        </is>
      </c>
      <c r="C884" s="1" t="inlineStr">
        <is>
          <t>Ribera Grey Slate Effect Wall Tiles</t>
        </is>
      </c>
      <c r="D884" s="1" t="n">
        <v>20.99</v>
      </c>
      <c r="E884" s="1" t="inlineStr">
        <is>
          <t>560x310mm</t>
        </is>
      </c>
      <c r="F884" s="1" t="inlineStr">
        <is>
          <t>m2</t>
        </is>
      </c>
      <c r="G884" s="1" t="inlineStr">
        <is>
          <t>Porcelain</t>
        </is>
      </c>
      <c r="H884" s="1" t="inlineStr">
        <is>
          <t>Matt</t>
        </is>
      </c>
      <c r="I884" t="n">
        <v>809</v>
      </c>
    </row>
    <row r="885">
      <c r="A885" s="1">
        <f>Hyperlink("https://www.tilemountain.co.uk/p/riga-concrete-wall-and-floor-tile.html","Product")</f>
        <v/>
      </c>
      <c r="B885" s="1" t="inlineStr">
        <is>
          <t>444325</t>
        </is>
      </c>
      <c r="C885" s="1" t="inlineStr">
        <is>
          <t>Riga Concrete Wall and Floor Tiles</t>
        </is>
      </c>
      <c r="D885" s="1" t="n">
        <v>17.99</v>
      </c>
      <c r="E885" s="1" t="inlineStr">
        <is>
          <t>450x450mm</t>
        </is>
      </c>
      <c r="F885" s="1" t="inlineStr">
        <is>
          <t>m2</t>
        </is>
      </c>
      <c r="G885" s="1" t="inlineStr">
        <is>
          <t>Ceramic</t>
        </is>
      </c>
      <c r="H885" s="1" t="inlineStr">
        <is>
          <t>Matt</t>
        </is>
      </c>
      <c r="I885" t="n">
        <v>41</v>
      </c>
    </row>
    <row r="886">
      <c r="A886" s="1">
        <f>Hyperlink("https://www.tilemountain.co.uk/p/riga-patchwork-wall-and-floor-tile.html","Product")</f>
        <v/>
      </c>
      <c r="B886" s="1" t="inlineStr">
        <is>
          <t>444320</t>
        </is>
      </c>
      <c r="C886" s="1" t="inlineStr">
        <is>
          <t>Riga Patchwork Wall and Floor Tiles</t>
        </is>
      </c>
      <c r="D886" s="1" t="n">
        <v>17.99</v>
      </c>
      <c r="E886" s="1" t="inlineStr">
        <is>
          <t>450x450mm</t>
        </is>
      </c>
      <c r="F886" s="1" t="inlineStr">
        <is>
          <t>m2</t>
        </is>
      </c>
      <c r="G886" s="1" t="inlineStr">
        <is>
          <t>-</t>
        </is>
      </c>
      <c r="H886" s="1" t="inlineStr">
        <is>
          <t>-</t>
        </is>
      </c>
      <c r="I886" t="n">
        <v>273</v>
      </c>
    </row>
    <row r="887">
      <c r="A887" s="1">
        <f>Hyperlink("https://www.tilemountain.co.uk/p/rocastone-grey-20mm-external-porcelain-floor-tile.html","Product")</f>
        <v/>
      </c>
      <c r="B887" s="1" t="inlineStr">
        <is>
          <t>449940</t>
        </is>
      </c>
      <c r="C887" s="1" t="inlineStr">
        <is>
          <t>Rocastone Grey Outdoor Slab Tile</t>
        </is>
      </c>
      <c r="D887" s="1" t="n">
        <v>26.99</v>
      </c>
      <c r="E887" s="1" t="inlineStr">
        <is>
          <t>600x600mm</t>
        </is>
      </c>
      <c r="F887" s="1" t="inlineStr">
        <is>
          <t>m2</t>
        </is>
      </c>
      <c r="G887" s="1" t="inlineStr">
        <is>
          <t>Porcelain</t>
        </is>
      </c>
      <c r="H887" s="1" t="inlineStr">
        <is>
          <t>Matt</t>
        </is>
      </c>
      <c r="I887" t="n">
        <v>299</v>
      </c>
    </row>
    <row r="888">
      <c r="A888" s="1">
        <f>Hyperlink("https://www.tilemountain.co.uk/p/roller-and-tray.html","Product")</f>
        <v/>
      </c>
      <c r="B888" s="1" t="inlineStr">
        <is>
          <t>450735</t>
        </is>
      </c>
      <c r="C888" s="1" t="inlineStr">
        <is>
          <t>Roller And Tray</t>
        </is>
      </c>
      <c r="D888" s="1" t="n">
        <v>2.99</v>
      </c>
      <c r="E888" s="1" t="inlineStr">
        <is>
          <t>-</t>
        </is>
      </c>
      <c r="F888" s="1" t="inlineStr">
        <is>
          <t>Qty</t>
        </is>
      </c>
      <c r="G888" s="1" t="inlineStr">
        <is>
          <t>-</t>
        </is>
      </c>
      <c r="H888" s="1" t="inlineStr">
        <is>
          <t>-</t>
        </is>
      </c>
      <c r="I888" t="n">
        <v>14</v>
      </c>
    </row>
    <row r="889">
      <c r="A889" s="1">
        <f>Hyperlink("https://www.tilemountain.co.uk/p/rombos-rustic-patterned-floor-tile.html","Product")</f>
        <v/>
      </c>
      <c r="B889" s="1" t="inlineStr">
        <is>
          <t>443315</t>
        </is>
      </c>
      <c r="C889" s="1" t="inlineStr">
        <is>
          <t>Rombos Rustic Patterned Floor Tiles</t>
        </is>
      </c>
      <c r="D889" s="1" t="n">
        <v>24.99</v>
      </c>
      <c r="E889" s="1" t="inlineStr">
        <is>
          <t>450x450mm</t>
        </is>
      </c>
      <c r="F889" s="1" t="inlineStr">
        <is>
          <t>m2</t>
        </is>
      </c>
      <c r="G889" s="1" t="inlineStr">
        <is>
          <t>Ceramic</t>
        </is>
      </c>
      <c r="H889" s="1" t="inlineStr">
        <is>
          <t>Matt</t>
        </is>
      </c>
      <c r="I889" t="n">
        <v>126</v>
      </c>
    </row>
    <row r="890">
      <c r="A890" s="1">
        <f>Hyperlink("https://www.tilemountain.co.uk/p/room-black-polished-60x120.html","Product")</f>
        <v/>
      </c>
      <c r="B890" s="1" t="inlineStr">
        <is>
          <t>447325</t>
        </is>
      </c>
      <c r="C890" s="1" t="inlineStr">
        <is>
          <t>The Room Black Polished Porcelain Wall and Floor Tile</t>
        </is>
      </c>
      <c r="D890" s="1" t="n">
        <v>54.99</v>
      </c>
      <c r="E890" s="1" t="inlineStr">
        <is>
          <t>1200x600mm</t>
        </is>
      </c>
      <c r="F890" s="1" t="inlineStr">
        <is>
          <t>m2</t>
        </is>
      </c>
      <c r="G890" s="1" t="inlineStr">
        <is>
          <t>Porcelain</t>
        </is>
      </c>
      <c r="H890" s="1" t="inlineStr">
        <is>
          <t>Polished</t>
        </is>
      </c>
      <c r="I890" t="n">
        <v>154</v>
      </c>
    </row>
    <row r="891">
      <c r="A891" s="1">
        <f>Hyperlink("https://www.tilemountain.co.uk/p/room-black-polished-60x60.html","Product")</f>
        <v/>
      </c>
      <c r="B891" s="1" t="inlineStr">
        <is>
          <t>447285</t>
        </is>
      </c>
      <c r="C891" s="1" t="inlineStr">
        <is>
          <t>The Room Black Polished Porcelain Floor Tile</t>
        </is>
      </c>
      <c r="D891" s="1" t="n">
        <v>52.99</v>
      </c>
      <c r="E891" s="1" t="inlineStr">
        <is>
          <t>600x600mm</t>
        </is>
      </c>
      <c r="F891" s="1" t="inlineStr">
        <is>
          <t>m2</t>
        </is>
      </c>
      <c r="G891" s="1" t="inlineStr">
        <is>
          <t>Porcelain</t>
        </is>
      </c>
      <c r="H891" s="1" t="inlineStr">
        <is>
          <t>Polished</t>
        </is>
      </c>
      <c r="I891" t="n">
        <v>122</v>
      </c>
    </row>
    <row r="892">
      <c r="A892" s="1">
        <f>Hyperlink("https://www.tilemountain.co.uk/p/room-white-polished-60x120.html","Product")</f>
        <v/>
      </c>
      <c r="B892" s="1" t="inlineStr">
        <is>
          <t>447310</t>
        </is>
      </c>
      <c r="C892" s="1" t="inlineStr">
        <is>
          <t>The Room White Polished Porcelain Wall and Floor Tile</t>
        </is>
      </c>
      <c r="D892" s="1" t="n">
        <v>54.99</v>
      </c>
      <c r="E892" s="1" t="inlineStr">
        <is>
          <t>1200x600mm</t>
        </is>
      </c>
      <c r="F892" s="1" t="inlineStr">
        <is>
          <t>m2</t>
        </is>
      </c>
      <c r="G892" s="1" t="inlineStr">
        <is>
          <t>Porcelain</t>
        </is>
      </c>
      <c r="H892" s="1" t="inlineStr">
        <is>
          <t>Polished</t>
        </is>
      </c>
      <c r="I892" t="n">
        <v>154</v>
      </c>
    </row>
    <row r="893">
      <c r="A893" s="1">
        <f>Hyperlink("https://www.tilemountain.co.uk/p/room-white-polished-60x60.html","Product")</f>
        <v/>
      </c>
      <c r="B893" s="1" t="inlineStr">
        <is>
          <t>447270</t>
        </is>
      </c>
      <c r="C893" s="1" t="inlineStr">
        <is>
          <t>The Room White Polished Porcelain Floor Tile</t>
        </is>
      </c>
      <c r="D893" s="1" t="n">
        <v>52.99</v>
      </c>
      <c r="E893" s="1" t="inlineStr">
        <is>
          <t>600x600mm</t>
        </is>
      </c>
      <c r="F893" s="1" t="inlineStr">
        <is>
          <t>m2</t>
        </is>
      </c>
      <c r="G893" s="1" t="inlineStr">
        <is>
          <t>Porcelain</t>
        </is>
      </c>
      <c r="H893" s="1" t="inlineStr">
        <is>
          <t>Polished</t>
        </is>
      </c>
      <c r="I893" t="inlineStr">
        <is>
          <t>More Stock due 05/11/21</t>
        </is>
      </c>
    </row>
    <row r="894">
      <c r="A894" s="1">
        <f>Hyperlink("https://www.tilemountain.co.uk/p/royal-dark-grey-polished-porcelain-3729.html","Product")</f>
        <v/>
      </c>
      <c r="B894" s="1" t="inlineStr">
        <is>
          <t>444905</t>
        </is>
      </c>
      <c r="C894" s="1" t="inlineStr">
        <is>
          <t>Royal Dark Grey Polished Porcelain Floor Tile</t>
        </is>
      </c>
      <c r="D894" s="1" t="n">
        <v>22.99</v>
      </c>
      <c r="E894" s="1" t="inlineStr">
        <is>
          <t>800x800mm</t>
        </is>
      </c>
      <c r="F894" s="1" t="inlineStr">
        <is>
          <t>m2</t>
        </is>
      </c>
      <c r="G894" s="1" t="inlineStr">
        <is>
          <t>Porcelain</t>
        </is>
      </c>
      <c r="H894" s="1" t="inlineStr">
        <is>
          <t>Polished</t>
        </is>
      </c>
      <c r="I894" t="n">
        <v>944</v>
      </c>
    </row>
    <row r="895">
      <c r="A895" s="1">
        <f>Hyperlink("https://www.tilemountain.co.uk/p/royal-dark-grey-polished-porcelain.html","Product")</f>
        <v/>
      </c>
      <c r="B895" s="1" t="inlineStr">
        <is>
          <t>444240</t>
        </is>
      </c>
      <c r="C895" s="1" t="inlineStr">
        <is>
          <t>Royal Dark Grey Polished Porcelain Wall and Floor Tile</t>
        </is>
      </c>
      <c r="D895" s="1" t="n">
        <v>20.99</v>
      </c>
      <c r="E895" s="1" t="inlineStr">
        <is>
          <t>300x600mm</t>
        </is>
      </c>
      <c r="F895" s="1" t="inlineStr">
        <is>
          <t>m2</t>
        </is>
      </c>
      <c r="G895" s="1" t="inlineStr">
        <is>
          <t>Porcelain</t>
        </is>
      </c>
      <c r="H895" s="1" t="inlineStr">
        <is>
          <t>Polished</t>
        </is>
      </c>
      <c r="I895" t="n">
        <v>659</v>
      </c>
    </row>
    <row r="896">
      <c r="A896" s="1">
        <f>Hyperlink("https://www.tilemountain.co.uk/p/royal-grey-polished-porcelain-2773.html","Product")</f>
        <v/>
      </c>
      <c r="B896" s="1" t="inlineStr">
        <is>
          <t>440330</t>
        </is>
      </c>
      <c r="C896" s="1" t="inlineStr">
        <is>
          <t>Royal Grey Polished Porcelain Wall and Floor Tile</t>
        </is>
      </c>
      <c r="D896" s="1" t="n">
        <v>20.99</v>
      </c>
      <c r="E896" s="1" t="inlineStr">
        <is>
          <t>295x600mm</t>
        </is>
      </c>
      <c r="F896" s="1" t="inlineStr">
        <is>
          <t>m2</t>
        </is>
      </c>
      <c r="G896" s="1" t="inlineStr">
        <is>
          <t>Porcelain</t>
        </is>
      </c>
      <c r="H896" s="1" t="inlineStr">
        <is>
          <t>Polished</t>
        </is>
      </c>
      <c r="I896" t="n">
        <v>5678</v>
      </c>
    </row>
    <row r="897">
      <c r="A897" s="1">
        <f>Hyperlink("https://www.tilemountain.co.uk/p/royal-grey-polished-porcelain-3728.html","Product")</f>
        <v/>
      </c>
      <c r="B897" s="1" t="inlineStr">
        <is>
          <t>444900</t>
        </is>
      </c>
      <c r="C897" s="1" t="inlineStr">
        <is>
          <t>Royal Grey Polished Porcelain Floor Tile</t>
        </is>
      </c>
      <c r="D897" s="1" t="n">
        <v>22.99</v>
      </c>
      <c r="E897" s="1" t="inlineStr">
        <is>
          <t>800x800mm</t>
        </is>
      </c>
      <c r="F897" s="1" t="inlineStr">
        <is>
          <t>m2</t>
        </is>
      </c>
      <c r="G897" s="1" t="inlineStr">
        <is>
          <t>Porcelain</t>
        </is>
      </c>
      <c r="H897" s="1" t="inlineStr">
        <is>
          <t>Polished</t>
        </is>
      </c>
      <c r="I897" t="n">
        <v>533</v>
      </c>
    </row>
    <row r="898">
      <c r="A898" s="1">
        <f>Hyperlink("https://www.tilemountain.co.uk/p/royal-grey-polished-porcelain.html","Product")</f>
        <v/>
      </c>
      <c r="B898" s="1" t="inlineStr">
        <is>
          <t>440325</t>
        </is>
      </c>
      <c r="C898" s="1" t="inlineStr">
        <is>
          <t>Royal Grey Polished Porcelain Floor Tile</t>
        </is>
      </c>
      <c r="D898" s="1" t="n">
        <v>19.99</v>
      </c>
      <c r="E898" s="1" t="inlineStr">
        <is>
          <t>600x600mm</t>
        </is>
      </c>
      <c r="F898" s="1" t="inlineStr">
        <is>
          <t>m2</t>
        </is>
      </c>
      <c r="G898" s="1" t="inlineStr">
        <is>
          <t>Porcelain</t>
        </is>
      </c>
      <c r="H898" s="1" t="inlineStr">
        <is>
          <t>Polished</t>
        </is>
      </c>
      <c r="I898" t="n">
        <v>1228</v>
      </c>
    </row>
    <row r="899">
      <c r="A899" s="1">
        <f>Hyperlink("https://www.tilemountain.co.uk/p/royal-vanilla-polished-porcelain-3730.html","Product")</f>
        <v/>
      </c>
      <c r="B899" s="1" t="inlineStr">
        <is>
          <t>444910</t>
        </is>
      </c>
      <c r="C899" s="1" t="inlineStr">
        <is>
          <t>Royal Vanilla Polished Porcelain Floor Tile</t>
        </is>
      </c>
      <c r="D899" s="1" t="n">
        <v>22.99</v>
      </c>
      <c r="E899" s="1" t="inlineStr">
        <is>
          <t>800x800mm</t>
        </is>
      </c>
      <c r="F899" s="1" t="inlineStr">
        <is>
          <t>m2</t>
        </is>
      </c>
      <c r="G899" s="1" t="inlineStr">
        <is>
          <t>Porcelain</t>
        </is>
      </c>
      <c r="H899" s="1" t="inlineStr">
        <is>
          <t>Polished</t>
        </is>
      </c>
      <c r="I899" t="n">
        <v>447</v>
      </c>
    </row>
    <row r="900">
      <c r="A900" s="1">
        <f>Hyperlink("https://www.tilemountain.co.uk/p/royal-vanilla-polished-porcelain-floor-tile.html","Product")</f>
        <v/>
      </c>
      <c r="B900" s="1" t="inlineStr">
        <is>
          <t>443205</t>
        </is>
      </c>
      <c r="C900" s="1" t="inlineStr">
        <is>
          <t>Royal Vanilla Polished Porcelain Floor Tile</t>
        </is>
      </c>
      <c r="D900" s="1" t="n">
        <v>19.99</v>
      </c>
      <c r="E900" s="1" t="inlineStr">
        <is>
          <t>600x600mm</t>
        </is>
      </c>
      <c r="F900" s="1" t="inlineStr">
        <is>
          <t>m2</t>
        </is>
      </c>
      <c r="G900" s="1" t="inlineStr">
        <is>
          <t>Porcelain</t>
        </is>
      </c>
      <c r="H900" s="1" t="inlineStr">
        <is>
          <t>Polished</t>
        </is>
      </c>
      <c r="I900" t="n">
        <v>2231</v>
      </c>
    </row>
    <row r="901">
      <c r="A901" s="1">
        <f>Hyperlink("https://www.tilemountain.co.uk/p/royal-vanilla-polished-porcelain.html","Product")</f>
        <v/>
      </c>
      <c r="B901" s="1" t="inlineStr">
        <is>
          <t>444245</t>
        </is>
      </c>
      <c r="C901" s="1" t="inlineStr">
        <is>
          <t>Royal Vanilla Polished Porcelain Wall and Floor Tile</t>
        </is>
      </c>
      <c r="D901" s="1" t="n">
        <v>20.99</v>
      </c>
      <c r="E901" s="1" t="inlineStr">
        <is>
          <t>295x600mm</t>
        </is>
      </c>
      <c r="F901" s="1" t="inlineStr">
        <is>
          <t>m2</t>
        </is>
      </c>
      <c r="G901" s="1" t="inlineStr">
        <is>
          <t>Porcelain</t>
        </is>
      </c>
      <c r="H901" s="1" t="inlineStr">
        <is>
          <t>Polished</t>
        </is>
      </c>
      <c r="I901" t="n">
        <v>1650</v>
      </c>
    </row>
    <row r="902">
      <c r="A902" s="1">
        <f>Hyperlink("https://www.tilemountain.co.uk/p/rural-rustic-wood-effect-floor-tile.html","Product")</f>
        <v/>
      </c>
      <c r="B902" s="1" t="inlineStr">
        <is>
          <t>440105</t>
        </is>
      </c>
      <c r="C902" s="1" t="inlineStr">
        <is>
          <t>Rural Distressed Wood Effect Floor Tiles</t>
        </is>
      </c>
      <c r="D902" s="1" t="n">
        <v>12.99</v>
      </c>
      <c r="E902" s="1" t="inlineStr">
        <is>
          <t>500x170mm</t>
        </is>
      </c>
      <c r="F902" s="1" t="inlineStr">
        <is>
          <t>m2</t>
        </is>
      </c>
      <c r="G902" s="1" t="inlineStr">
        <is>
          <t>Ceramic</t>
        </is>
      </c>
      <c r="H902" s="1" t="inlineStr">
        <is>
          <t>Matt</t>
        </is>
      </c>
      <c r="I902" t="n">
        <v>328</v>
      </c>
    </row>
    <row r="903">
      <c r="A903" s="1">
        <f>Hyperlink("https://www.tilemountain.co.uk/p/sandalo-grey-natural-wood-effect-floor-tile.html","Product")</f>
        <v/>
      </c>
      <c r="B903" s="1" t="inlineStr">
        <is>
          <t>436645</t>
        </is>
      </c>
      <c r="C903" s="1" t="inlineStr">
        <is>
          <t>Sandalo Grey Natural Wood Effect Floor Tiles</t>
        </is>
      </c>
      <c r="D903" s="1" t="n">
        <v>12.99</v>
      </c>
      <c r="E903" s="1" t="inlineStr">
        <is>
          <t>662x235mm</t>
        </is>
      </c>
      <c r="F903" s="1" t="inlineStr">
        <is>
          <t>m2</t>
        </is>
      </c>
      <c r="G903" s="1" t="inlineStr">
        <is>
          <t>Ceramic</t>
        </is>
      </c>
      <c r="H903" s="1" t="inlineStr">
        <is>
          <t>Matt</t>
        </is>
      </c>
      <c r="I903" t="n">
        <v>209</v>
      </c>
    </row>
    <row r="904">
      <c r="A904" s="1">
        <f>Hyperlink("https://www.tilemountain.co.uk/p/sandalo-taupe-natural-wood-effect-floor-tile.html","Product")</f>
        <v/>
      </c>
      <c r="B904" s="1" t="inlineStr">
        <is>
          <t>436650</t>
        </is>
      </c>
      <c r="C904" s="1" t="inlineStr">
        <is>
          <t>Sandalo Taupe Natural  Wood Effect Floor Tiles</t>
        </is>
      </c>
      <c r="D904" s="1" t="n">
        <v>12.99</v>
      </c>
      <c r="E904" s="1" t="inlineStr">
        <is>
          <t>662x235mm</t>
        </is>
      </c>
      <c r="F904" s="1" t="inlineStr">
        <is>
          <t>m2</t>
        </is>
      </c>
      <c r="G904" s="1" t="inlineStr">
        <is>
          <t>Ceramic</t>
        </is>
      </c>
      <c r="H904" s="1" t="inlineStr">
        <is>
          <t>Matt</t>
        </is>
      </c>
      <c r="I904" t="n">
        <v>238</v>
      </c>
    </row>
    <row r="905">
      <c r="A905" s="1">
        <f>Hyperlink("https://www.tilemountain.co.uk/p/sandune-anthracite-polished-porcelain-4994.html","Product")</f>
        <v/>
      </c>
      <c r="B905" s="1" t="inlineStr">
        <is>
          <t>449125</t>
        </is>
      </c>
      <c r="C905" s="1" t="inlineStr">
        <is>
          <t>Sandune Anthracite Polished Porcelain</t>
        </is>
      </c>
      <c r="D905" s="1" t="n">
        <v>6.48</v>
      </c>
      <c r="E905" s="1" t="inlineStr">
        <is>
          <t>600x600</t>
        </is>
      </c>
      <c r="F905" s="1" t="inlineStr">
        <is>
          <t>Qty</t>
        </is>
      </c>
      <c r="G905" s="1" t="inlineStr">
        <is>
          <t>-</t>
        </is>
      </c>
      <c r="H905" s="1" t="inlineStr">
        <is>
          <t>-</t>
        </is>
      </c>
      <c r="I905" t="inlineStr"/>
    </row>
    <row r="906">
      <c r="A906" s="1">
        <f>Hyperlink("https://www.tilemountain.co.uk/p/savoy-leaf-gloss-decor.html","Product")</f>
        <v/>
      </c>
      <c r="B906" s="1" t="inlineStr">
        <is>
          <t>438090</t>
        </is>
      </c>
      <c r="C906" s="1" t="inlineStr">
        <is>
          <t>Savoy Leaf Gloss Decor Wall Tile</t>
        </is>
      </c>
      <c r="D906" s="1" t="n">
        <v>42.99</v>
      </c>
      <c r="E906" s="1" t="inlineStr">
        <is>
          <t>100x300mm</t>
        </is>
      </c>
      <c r="F906" s="1" t="inlineStr">
        <is>
          <t>m2</t>
        </is>
      </c>
      <c r="G906" s="1" t="inlineStr">
        <is>
          <t>Ceramic</t>
        </is>
      </c>
      <c r="H906" s="1" t="inlineStr">
        <is>
          <t>Gloss</t>
        </is>
      </c>
      <c r="I906" t="inlineStr">
        <is>
          <t>In Stock</t>
        </is>
      </c>
    </row>
    <row r="907">
      <c r="A907" s="1">
        <f>Hyperlink("https://www.tilemountain.co.uk/p/savoy-leaf-gloss-wall-tile-2349.html","Product")</f>
        <v/>
      </c>
      <c r="B907" s="1" t="inlineStr">
        <is>
          <t>438055</t>
        </is>
      </c>
      <c r="C907" s="1" t="inlineStr">
        <is>
          <t>Savoy Leaf Gloss Wall Tiles</t>
        </is>
      </c>
      <c r="D907" s="1" t="n">
        <v>35.99</v>
      </c>
      <c r="E907" s="1" t="inlineStr">
        <is>
          <t>100x300mm</t>
        </is>
      </c>
      <c r="F907" s="1" t="inlineStr">
        <is>
          <t>m2</t>
        </is>
      </c>
      <c r="G907" s="1" t="inlineStr">
        <is>
          <t>Ceramic</t>
        </is>
      </c>
      <c r="H907" s="1" t="inlineStr">
        <is>
          <t>Gloss</t>
        </is>
      </c>
      <c r="I907" t="n">
        <v>25</v>
      </c>
    </row>
    <row r="908">
      <c r="A908" s="1">
        <f>Hyperlink("https://www.tilemountain.co.uk/p/scale-boho-grey-wall-and-floor-tile.html","Product")</f>
        <v/>
      </c>
      <c r="B908" s="1" t="inlineStr">
        <is>
          <t>446655</t>
        </is>
      </c>
      <c r="C908" s="1" t="inlineStr">
        <is>
          <t>Scale Boho Grey Wall and Floor Tiles</t>
        </is>
      </c>
      <c r="D908" s="1" t="n">
        <v>24.99</v>
      </c>
      <c r="E908" s="1" t="inlineStr">
        <is>
          <t>307x307mm</t>
        </is>
      </c>
      <c r="F908" s="1" t="inlineStr">
        <is>
          <t>m2</t>
        </is>
      </c>
      <c r="G908" s="1" t="inlineStr">
        <is>
          <t>Porcelain</t>
        </is>
      </c>
      <c r="H908" s="1" t="inlineStr">
        <is>
          <t>Matt</t>
        </is>
      </c>
      <c r="I908" t="inlineStr">
        <is>
          <t>More Stock due 29/10/21</t>
        </is>
      </c>
    </row>
    <row r="909">
      <c r="A909" s="1">
        <f>Hyperlink("https://www.tilemountain.co.uk/p/scale-boho-white-wall-and-floor-tile.html","Product")</f>
        <v/>
      </c>
      <c r="B909" s="1" t="inlineStr">
        <is>
          <t>446650</t>
        </is>
      </c>
      <c r="C909" s="1" t="inlineStr">
        <is>
          <t>Scale Boho White Wall and Floor Tiles</t>
        </is>
      </c>
      <c r="D909" s="1" t="n">
        <v>24.99</v>
      </c>
      <c r="E909" s="1" t="inlineStr">
        <is>
          <t>307x307mm</t>
        </is>
      </c>
      <c r="F909" s="1" t="inlineStr">
        <is>
          <t>m2</t>
        </is>
      </c>
      <c r="G909" s="1" t="inlineStr">
        <is>
          <t>Porcelain</t>
        </is>
      </c>
      <c r="H909" s="1" t="inlineStr">
        <is>
          <t>Matt</t>
        </is>
      </c>
      <c r="I909" t="inlineStr">
        <is>
          <t>More Stock due 15/11/21</t>
        </is>
      </c>
    </row>
    <row r="910">
      <c r="A910" s="1">
        <f>Hyperlink("https://www.tilemountain.co.uk/p/scandinavia-polished-floor-tile.html","Product")</f>
        <v/>
      </c>
      <c r="B910" s="1" t="inlineStr">
        <is>
          <t>448360</t>
        </is>
      </c>
      <c r="C910" s="1" t="inlineStr">
        <is>
          <t>Scandinavia Polished Floor Tile</t>
        </is>
      </c>
      <c r="D910" s="1" t="n">
        <v>19.99</v>
      </c>
      <c r="E910" s="1" t="inlineStr">
        <is>
          <t>1200x600mm</t>
        </is>
      </c>
      <c r="F910" s="1" t="inlineStr">
        <is>
          <t>m2</t>
        </is>
      </c>
      <c r="G910" s="1" t="inlineStr">
        <is>
          <t>Porcelain</t>
        </is>
      </c>
      <c r="H910" s="1" t="inlineStr">
        <is>
          <t>Polished</t>
        </is>
      </c>
      <c r="I910" t="inlineStr">
        <is>
          <t>More Stock due 22/10/21</t>
        </is>
      </c>
    </row>
    <row r="911">
      <c r="A911" s="1">
        <f>Hyperlink("https://www.tilemountain.co.uk/p/score-and-snap-knife.html","Product")</f>
        <v/>
      </c>
      <c r="B911" s="1" t="inlineStr">
        <is>
          <t>445700</t>
        </is>
      </c>
      <c r="C911" s="1" t="inlineStr">
        <is>
          <t>HardieBacker Score and Snap Knife</t>
        </is>
      </c>
      <c r="D911" s="1" t="n">
        <v>7.49</v>
      </c>
      <c r="E911" s="1" t="inlineStr">
        <is>
          <t>-</t>
        </is>
      </c>
      <c r="F911" s="1" t="inlineStr">
        <is>
          <t>Qty</t>
        </is>
      </c>
      <c r="G911" s="1" t="inlineStr">
        <is>
          <t>-</t>
        </is>
      </c>
      <c r="H911" s="1" t="inlineStr">
        <is>
          <t>-</t>
        </is>
      </c>
      <c r="I911" t="inlineStr">
        <is>
          <t>In Stock</t>
        </is>
      </c>
    </row>
    <row r="912">
      <c r="A912" s="1">
        <f>Hyperlink("https://www.tilemountain.co.uk/p/sealant-applicator-25cm.html","Product")</f>
        <v/>
      </c>
      <c r="B912" s="1" t="inlineStr">
        <is>
          <t>LTPT35</t>
        </is>
      </c>
      <c r="C912" s="1" t="inlineStr">
        <is>
          <t>Sealant Applicator 25cm</t>
        </is>
      </c>
      <c r="D912" s="1" t="n">
        <v>6.49</v>
      </c>
      <c r="E912" s="1" t="inlineStr">
        <is>
          <t>-</t>
        </is>
      </c>
      <c r="F912" s="1" t="inlineStr">
        <is>
          <t>Qty</t>
        </is>
      </c>
      <c r="G912" s="1" t="inlineStr">
        <is>
          <t>-</t>
        </is>
      </c>
      <c r="H912" s="1" t="inlineStr">
        <is>
          <t>-</t>
        </is>
      </c>
      <c r="I912" t="n">
        <v>12</v>
      </c>
    </row>
    <row r="913">
      <c r="A913" s="1">
        <f>Hyperlink("https://www.tilemountain.co.uk/p/sensestone-grey-matt-wall-and-floor-tile.html","Product")</f>
        <v/>
      </c>
      <c r="B913" s="1" t="inlineStr">
        <is>
          <t>438380</t>
        </is>
      </c>
      <c r="C913" s="1" t="inlineStr">
        <is>
          <t>Sensestone Grey Matt Wall And Floor Tiles</t>
        </is>
      </c>
      <c r="D913" s="1" t="n">
        <v>13</v>
      </c>
      <c r="E913" s="1" t="inlineStr">
        <is>
          <t>600x300mm</t>
        </is>
      </c>
      <c r="F913" s="1" t="inlineStr">
        <is>
          <t>m2</t>
        </is>
      </c>
      <c r="G913" s="1" t="inlineStr">
        <is>
          <t>Glazed Porcelain</t>
        </is>
      </c>
      <c r="H913" s="1" t="inlineStr">
        <is>
          <t>Matt</t>
        </is>
      </c>
      <c r="I913" t="n">
        <v>23</v>
      </c>
    </row>
    <row r="914">
      <c r="A914" s="1">
        <f>Hyperlink("https://www.tilemountain.co.uk/p/seven-evo-graphite-floor_1.html","Product")</f>
        <v/>
      </c>
      <c r="B914" s="1" t="inlineStr">
        <is>
          <t>450215</t>
        </is>
      </c>
      <c r="C914" s="1" t="inlineStr">
        <is>
          <t>Seven Evo Graphite Floor Tiles</t>
        </is>
      </c>
      <c r="D914" s="1" t="n">
        <v>13.99</v>
      </c>
      <c r="E914" s="1" t="inlineStr">
        <is>
          <t>600x600mm</t>
        </is>
      </c>
      <c r="F914" s="1" t="inlineStr">
        <is>
          <t>m2</t>
        </is>
      </c>
      <c r="G914" s="1" t="inlineStr">
        <is>
          <t>Porcelain</t>
        </is>
      </c>
      <c r="H914" s="1" t="inlineStr">
        <is>
          <t>Matt</t>
        </is>
      </c>
      <c r="I914" t="n">
        <v>625</v>
      </c>
    </row>
    <row r="915">
      <c r="A915" s="1">
        <f>Hyperlink("https://www.tilemountain.co.uk/p/seven-evo-graphite_1.html","Product")</f>
        <v/>
      </c>
      <c r="B915" s="1" t="inlineStr">
        <is>
          <t>450200</t>
        </is>
      </c>
      <c r="C915" s="1" t="inlineStr">
        <is>
          <t>Seven Evo Graphite Wall and Floor Tiles</t>
        </is>
      </c>
      <c r="D915" s="1" t="n">
        <v>12.99</v>
      </c>
      <c r="E915" s="1" t="inlineStr">
        <is>
          <t>600x300mm</t>
        </is>
      </c>
      <c r="F915" s="1" t="inlineStr">
        <is>
          <t>m2</t>
        </is>
      </c>
      <c r="G915" s="1" t="inlineStr">
        <is>
          <t>Porcelain</t>
        </is>
      </c>
      <c r="H915" s="1" t="inlineStr">
        <is>
          <t>Matt</t>
        </is>
      </c>
      <c r="I915" t="n">
        <v>898</v>
      </c>
    </row>
    <row r="916">
      <c r="A916" s="1">
        <f>Hyperlink("https://www.tilemountain.co.uk/p/seven-evo-smoke-floor_1.html","Product")</f>
        <v/>
      </c>
      <c r="B916" s="1" t="inlineStr">
        <is>
          <t>450220</t>
        </is>
      </c>
      <c r="C916" s="1" t="inlineStr">
        <is>
          <t>Seven Evo Smoke Floor Tiles</t>
        </is>
      </c>
      <c r="D916" s="1" t="n">
        <v>13.99</v>
      </c>
      <c r="E916" s="1" t="inlineStr">
        <is>
          <t>600x600mm</t>
        </is>
      </c>
      <c r="F916" s="1" t="inlineStr">
        <is>
          <t>m2</t>
        </is>
      </c>
      <c r="G916" s="1" t="inlineStr">
        <is>
          <t>Porcelain</t>
        </is>
      </c>
      <c r="H916" s="1" t="inlineStr">
        <is>
          <t>Matt</t>
        </is>
      </c>
      <c r="I916" t="n">
        <v>699</v>
      </c>
    </row>
    <row r="917">
      <c r="A917" s="1">
        <f>Hyperlink("https://www.tilemountain.co.uk/p/seven-evo-taupe-wall-and-floor-tile.html","Product")</f>
        <v/>
      </c>
      <c r="B917" s="1" t="inlineStr">
        <is>
          <t>450210</t>
        </is>
      </c>
      <c r="C917" s="1" t="inlineStr">
        <is>
          <t>Seven Evo Taupe Wall and Floor Tiles</t>
        </is>
      </c>
      <c r="D917" s="1" t="n">
        <v>12.99</v>
      </c>
      <c r="E917" s="1" t="inlineStr">
        <is>
          <t>600x300mm</t>
        </is>
      </c>
      <c r="F917" s="1" t="inlineStr">
        <is>
          <t>m2</t>
        </is>
      </c>
      <c r="G917" s="1" t="inlineStr">
        <is>
          <t>Porcelain</t>
        </is>
      </c>
      <c r="H917" s="1" t="inlineStr">
        <is>
          <t>Matt</t>
        </is>
      </c>
      <c r="I917" t="n">
        <v>610</v>
      </c>
    </row>
    <row r="918">
      <c r="A918" s="1">
        <f>Hyperlink("https://www.tilemountain.co.uk/p/silicone-gun-5421.html","Product")</f>
        <v/>
      </c>
      <c r="B918" s="1" t="inlineStr">
        <is>
          <t>450695</t>
        </is>
      </c>
      <c r="C918" s="1" t="inlineStr">
        <is>
          <t>Silicone Gun</t>
        </is>
      </c>
      <c r="D918" s="1" t="n">
        <v>3.99</v>
      </c>
      <c r="E918" s="1" t="inlineStr">
        <is>
          <t>-</t>
        </is>
      </c>
      <c r="F918" s="1" t="inlineStr">
        <is>
          <t>Qty</t>
        </is>
      </c>
      <c r="G918" s="1" t="inlineStr">
        <is>
          <t>-</t>
        </is>
      </c>
      <c r="H918" s="1" t="inlineStr">
        <is>
          <t>-</t>
        </is>
      </c>
      <c r="I918" t="inlineStr">
        <is>
          <t>In Stock</t>
        </is>
      </c>
    </row>
    <row r="919">
      <c r="A919" s="1">
        <f>Hyperlink("https://www.tilemountain.co.uk/p/silver-grey-split-face-mosaic.html","Product")</f>
        <v/>
      </c>
      <c r="B919" s="1" t="inlineStr">
        <is>
          <t>445545</t>
        </is>
      </c>
      <c r="C919" s="1" t="inlineStr">
        <is>
          <t>Silver Grey Split Face Mosaic</t>
        </is>
      </c>
      <c r="D919" s="1" t="n">
        <v>40.99</v>
      </c>
      <c r="E919" s="1" t="inlineStr">
        <is>
          <t>300x150mm</t>
        </is>
      </c>
      <c r="F919" s="1" t="inlineStr">
        <is>
          <t>m2</t>
        </is>
      </c>
      <c r="G919" s="1" t="inlineStr">
        <is>
          <t>Slate</t>
        </is>
      </c>
      <c r="H919" s="1" t="inlineStr">
        <is>
          <t>Riven</t>
        </is>
      </c>
      <c r="I919" t="n">
        <v>418</v>
      </c>
    </row>
    <row r="920">
      <c r="A920" s="1">
        <f>Hyperlink("https://www.tilemountain.co.uk/p/silverstone-grafite-gloss-wall-tile-3339.html","Product")</f>
        <v/>
      </c>
      <c r="B920" s="1" t="inlineStr">
        <is>
          <t>443135</t>
        </is>
      </c>
      <c r="C920" s="1" t="inlineStr">
        <is>
          <t>Silverstone Grafite Gloss Wall Tiles</t>
        </is>
      </c>
      <c r="D920" s="1" t="n">
        <v>9.99</v>
      </c>
      <c r="E920" s="1" t="inlineStr">
        <is>
          <t>550x330mm</t>
        </is>
      </c>
      <c r="F920" s="1" t="inlineStr">
        <is>
          <t>m2</t>
        </is>
      </c>
      <c r="G920" s="1" t="inlineStr">
        <is>
          <t>Ceramic</t>
        </is>
      </c>
      <c r="H920" s="1" t="inlineStr">
        <is>
          <t>Gloss</t>
        </is>
      </c>
      <c r="I920" t="n">
        <v>288</v>
      </c>
    </row>
    <row r="921">
      <c r="A921" s="1">
        <f>Hyperlink("https://www.tilemountain.co.uk/p/silverstone-grey-matt-wall-tile.html","Product")</f>
        <v/>
      </c>
      <c r="B921" s="1" t="inlineStr">
        <is>
          <t>443130</t>
        </is>
      </c>
      <c r="C921" s="1" t="inlineStr">
        <is>
          <t>Silverstone Grey Gloss Wall Tiles</t>
        </is>
      </c>
      <c r="D921" s="1" t="n">
        <v>9.99</v>
      </c>
      <c r="E921" s="1" t="inlineStr">
        <is>
          <t>550x330mm</t>
        </is>
      </c>
      <c r="F921" s="1" t="inlineStr">
        <is>
          <t>m2</t>
        </is>
      </c>
      <c r="G921" s="1" t="inlineStr">
        <is>
          <t>Ceramic</t>
        </is>
      </c>
      <c r="H921" s="1" t="inlineStr">
        <is>
          <t>Gloss</t>
        </is>
      </c>
      <c r="I921" t="n">
        <v>428</v>
      </c>
    </row>
    <row r="922">
      <c r="A922" s="1">
        <f>Hyperlink("https://www.tilemountain.co.uk/p/skyros-blanco-wall-and-floor-tile.html","Product")</f>
        <v/>
      </c>
      <c r="B922" s="1" t="inlineStr">
        <is>
          <t>437885</t>
        </is>
      </c>
      <c r="C922" s="1" t="inlineStr">
        <is>
          <t>Skyros Blanco Wall and Floor Tiles</t>
        </is>
      </c>
      <c r="D922" s="1" t="n">
        <v>19.99</v>
      </c>
      <c r="E922" s="1" t="inlineStr">
        <is>
          <t>440x440mm</t>
        </is>
      </c>
      <c r="F922" s="1" t="inlineStr">
        <is>
          <t>m2</t>
        </is>
      </c>
      <c r="G922" s="1" t="inlineStr">
        <is>
          <t>Glazed Porcelain</t>
        </is>
      </c>
      <c r="H922" s="1" t="inlineStr">
        <is>
          <t>Matt</t>
        </is>
      </c>
      <c r="I922" t="n">
        <v>471</v>
      </c>
    </row>
    <row r="923">
      <c r="A923" s="1">
        <f>Hyperlink("https://www.tilemountain.co.uk/p/skyros-delft-blue-wall-and-floor-tile.html","Product")</f>
        <v/>
      </c>
      <c r="B923" s="1" t="inlineStr">
        <is>
          <t>437890</t>
        </is>
      </c>
      <c r="C923" s="1" t="inlineStr">
        <is>
          <t>Skyros Delft Blue Wall and Floor Tiles</t>
        </is>
      </c>
      <c r="D923" s="1" t="n">
        <v>20.99</v>
      </c>
      <c r="E923" s="1" t="inlineStr">
        <is>
          <t>440x440mm</t>
        </is>
      </c>
      <c r="F923" s="1" t="inlineStr">
        <is>
          <t>m2</t>
        </is>
      </c>
      <c r="G923" s="1" t="inlineStr">
        <is>
          <t>Glazed Porcelain</t>
        </is>
      </c>
      <c r="H923" s="1" t="inlineStr">
        <is>
          <t>Matt</t>
        </is>
      </c>
      <c r="I923" t="n">
        <v>984</v>
      </c>
    </row>
    <row r="924">
      <c r="A924" s="1">
        <f>Hyperlink("https://www.tilemountain.co.uk/p/skyros-delft-grey-wall-and-floor-tile.html","Product")</f>
        <v/>
      </c>
      <c r="B924" s="1" t="inlineStr">
        <is>
          <t>438405</t>
        </is>
      </c>
      <c r="C924" s="1" t="inlineStr">
        <is>
          <t>Skyros Delft Grey Wall and Floor Tiles</t>
        </is>
      </c>
      <c r="D924" s="1" t="n">
        <v>20.99</v>
      </c>
      <c r="E924" s="1" t="inlineStr">
        <is>
          <t>440x440mm</t>
        </is>
      </c>
      <c r="F924" s="1" t="inlineStr">
        <is>
          <t>m2</t>
        </is>
      </c>
      <c r="G924" s="1" t="inlineStr">
        <is>
          <t>Glazed Porcelain</t>
        </is>
      </c>
      <c r="H924" s="1" t="inlineStr">
        <is>
          <t>Matt</t>
        </is>
      </c>
      <c r="I924" t="n">
        <v>671</v>
      </c>
    </row>
    <row r="925">
      <c r="A925" s="1">
        <f>Hyperlink("https://www.tilemountain.co.uk/p/skyros-grey-wall-and-floor-tile.html","Product")</f>
        <v/>
      </c>
      <c r="B925" s="1" t="inlineStr">
        <is>
          <t>438400</t>
        </is>
      </c>
      <c r="C925" s="1" t="inlineStr">
        <is>
          <t>Skyros Grey Wall and Floor Tiles</t>
        </is>
      </c>
      <c r="D925" s="1" t="n">
        <v>19.99</v>
      </c>
      <c r="E925" s="1" t="inlineStr">
        <is>
          <t>440x440mm</t>
        </is>
      </c>
      <c r="F925" s="1" t="inlineStr">
        <is>
          <t>m2</t>
        </is>
      </c>
      <c r="G925" s="1" t="inlineStr">
        <is>
          <t>Glazed Porcelain</t>
        </is>
      </c>
      <c r="H925" s="1" t="inlineStr">
        <is>
          <t>Matt</t>
        </is>
      </c>
      <c r="I925" t="n">
        <v>119</v>
      </c>
    </row>
    <row r="926">
      <c r="A926" s="1">
        <f>Hyperlink("https://www.tilemountain.co.uk/p/slot-arkesia-sand.html","Product")</f>
        <v/>
      </c>
      <c r="B926" s="1" t="inlineStr">
        <is>
          <t>449825</t>
        </is>
      </c>
      <c r="C926" s="1" t="inlineStr">
        <is>
          <t>Arkesia Cream Split Face Effect Wall Tile</t>
        </is>
      </c>
      <c r="D926" s="1" t="n">
        <v>17.99</v>
      </c>
      <c r="E926" s="1" t="inlineStr">
        <is>
          <t>600x300mm</t>
        </is>
      </c>
      <c r="F926" s="1" t="inlineStr">
        <is>
          <t>m2</t>
        </is>
      </c>
      <c r="G926" s="1" t="inlineStr">
        <is>
          <t>Ceramic</t>
        </is>
      </c>
      <c r="H926" s="1" t="inlineStr">
        <is>
          <t>Matt</t>
        </is>
      </c>
      <c r="I926" t="n">
        <v>198</v>
      </c>
    </row>
    <row r="927">
      <c r="A927" s="1">
        <f>Hyperlink("https://www.tilemountain.co.uk/p/small-margin-trowel.html","Product")</f>
        <v/>
      </c>
      <c r="B927" s="1" t="inlineStr">
        <is>
          <t>450645</t>
        </is>
      </c>
      <c r="C927" s="1" t="inlineStr">
        <is>
          <t>Small Margin Trowel</t>
        </is>
      </c>
      <c r="D927" s="1" t="n">
        <v>4.99</v>
      </c>
      <c r="E927" s="1" t="inlineStr">
        <is>
          <t>-</t>
        </is>
      </c>
      <c r="F927" s="1" t="inlineStr">
        <is>
          <t>Qty</t>
        </is>
      </c>
      <c r="G927" s="1" t="inlineStr">
        <is>
          <t>-</t>
        </is>
      </c>
      <c r="H927" s="1" t="inlineStr">
        <is>
          <t>-</t>
        </is>
      </c>
      <c r="I927" t="inlineStr">
        <is>
          <t>In Stock</t>
        </is>
      </c>
    </row>
    <row r="928">
      <c r="A928" s="1">
        <f>Hyperlink("https://www.tilemountain.co.uk/p/softstone-grey-rectified-wall-tile-300x600.html","Product")</f>
        <v/>
      </c>
      <c r="B928" s="1" t="inlineStr">
        <is>
          <t>452365</t>
        </is>
      </c>
      <c r="C928" s="1" t="inlineStr">
        <is>
          <t>Softstone Grey Rectified Wall Tile</t>
        </is>
      </c>
      <c r="D928" s="1" t="n">
        <v>17.99</v>
      </c>
      <c r="E928" s="1" t="inlineStr">
        <is>
          <t>600x300mm</t>
        </is>
      </c>
      <c r="F928" s="1" t="inlineStr">
        <is>
          <t>m2</t>
        </is>
      </c>
      <c r="G928" s="1" t="inlineStr">
        <is>
          <t>Ceramic</t>
        </is>
      </c>
      <c r="H928" s="1" t="inlineStr">
        <is>
          <t>Gloss</t>
        </is>
      </c>
      <c r="I928" t="n">
        <v>317</v>
      </c>
    </row>
    <row r="929">
      <c r="A929" s="1">
        <f>Hyperlink("https://www.tilemountain.co.uk/p/softstone-grey-semi-polished-floor-tile-600x600.html","Product")</f>
        <v/>
      </c>
      <c r="B929" s="1" t="inlineStr">
        <is>
          <t>452380</t>
        </is>
      </c>
      <c r="C929" s="1" t="inlineStr">
        <is>
          <t>Stoneage Lux Grey Porcelain Semi Polished Floor Tile</t>
        </is>
      </c>
      <c r="D929" s="1" t="n">
        <v>26.99</v>
      </c>
      <c r="E929" s="1" t="inlineStr">
        <is>
          <t>600x600mm</t>
        </is>
      </c>
      <c r="F929" s="1" t="inlineStr">
        <is>
          <t>m2</t>
        </is>
      </c>
      <c r="G929" s="1" t="inlineStr">
        <is>
          <t>Porcelain</t>
        </is>
      </c>
      <c r="H929" s="1" t="inlineStr">
        <is>
          <t>Semi Polished</t>
        </is>
      </c>
      <c r="I929" t="inlineStr">
        <is>
          <t>More Stock due 05/11/21</t>
        </is>
      </c>
    </row>
    <row r="930">
      <c r="A930" s="1">
        <f>Hyperlink("https://www.tilemountain.co.uk/p/softstone-pearl-rectified-wall-tile-300x600.html","Product")</f>
        <v/>
      </c>
      <c r="B930" s="1" t="inlineStr">
        <is>
          <t>452370</t>
        </is>
      </c>
      <c r="C930" s="1" t="inlineStr">
        <is>
          <t>Softstone Pearl Rectified Wall Tile</t>
        </is>
      </c>
      <c r="D930" s="1" t="n">
        <v>17.99</v>
      </c>
      <c r="E930" s="1" t="inlineStr">
        <is>
          <t>600x300mm</t>
        </is>
      </c>
      <c r="F930" s="1" t="inlineStr">
        <is>
          <t>m2</t>
        </is>
      </c>
      <c r="G930" s="1" t="inlineStr">
        <is>
          <t>Ceramic</t>
        </is>
      </c>
      <c r="H930" s="1" t="inlineStr">
        <is>
          <t>Gloss</t>
        </is>
      </c>
      <c r="I930" t="n">
        <v>374</v>
      </c>
    </row>
    <row r="931">
      <c r="A931" s="1">
        <f>Hyperlink("https://www.tilemountain.co.uk/p/softstone-sand-rectified-wall-tile-300x600.html","Product")</f>
        <v/>
      </c>
      <c r="B931" s="1" t="inlineStr">
        <is>
          <t>452360</t>
        </is>
      </c>
      <c r="C931" s="1" t="inlineStr">
        <is>
          <t>Softstone Sand Rectified Wall Tile</t>
        </is>
      </c>
      <c r="D931" s="1" t="n">
        <v>17.99</v>
      </c>
      <c r="E931" s="1" t="inlineStr">
        <is>
          <t>600x300mm</t>
        </is>
      </c>
      <c r="F931" s="1" t="inlineStr">
        <is>
          <t>m2</t>
        </is>
      </c>
      <c r="G931" s="1" t="inlineStr">
        <is>
          <t>Ceramic</t>
        </is>
      </c>
      <c r="H931" s="1" t="inlineStr">
        <is>
          <t>Gloss</t>
        </is>
      </c>
      <c r="I931" t="n">
        <v>252</v>
      </c>
    </row>
    <row r="932">
      <c r="A932" s="1">
        <f>Hyperlink("https://www.tilemountain.co.uk/p/softstone-sand-semi-polished-floor-tile-600x600.html","Product")</f>
        <v/>
      </c>
      <c r="B932" s="1" t="inlineStr">
        <is>
          <t>452375</t>
        </is>
      </c>
      <c r="C932" s="1" t="inlineStr">
        <is>
          <t>Stoneage Lux  Sand Porcelain Semi Polished Floor Tile</t>
        </is>
      </c>
      <c r="D932" s="1" t="n">
        <v>26.99</v>
      </c>
      <c r="E932" s="1" t="inlineStr">
        <is>
          <t>600x600mm</t>
        </is>
      </c>
      <c r="F932" s="1" t="inlineStr">
        <is>
          <t>m2</t>
        </is>
      </c>
      <c r="G932" s="1" t="inlineStr">
        <is>
          <t>Porcelain</t>
        </is>
      </c>
      <c r="H932" s="1" t="inlineStr">
        <is>
          <t>Semi Polished</t>
        </is>
      </c>
      <c r="I932" t="n">
        <v>246</v>
      </c>
    </row>
    <row r="933">
      <c r="A933" s="1">
        <f>Hyperlink("https://www.tilemountain.co.uk/p/souk-gris.html","Product")</f>
        <v/>
      </c>
      <c r="B933" s="1" t="inlineStr">
        <is>
          <t>1009880</t>
        </is>
      </c>
      <c r="C933" s="1" t="inlineStr">
        <is>
          <t>Souk Gris Hexagon Wall Tile</t>
        </is>
      </c>
      <c r="D933" s="1" t="n">
        <v>28.03</v>
      </c>
      <c r="E933" s="1" t="inlineStr">
        <is>
          <t>149x170mm</t>
        </is>
      </c>
      <c r="F933" s="1" t="inlineStr">
        <is>
          <t>m2</t>
        </is>
      </c>
      <c r="G933" s="1" t="inlineStr">
        <is>
          <t>Ceramic</t>
        </is>
      </c>
      <c r="H933" s="1" t="inlineStr">
        <is>
          <t>Matt</t>
        </is>
      </c>
      <c r="I933" t="n">
        <v>34</v>
      </c>
    </row>
    <row r="934">
      <c r="A934" s="1">
        <f>Hyperlink("https://www.tilemountain.co.uk/p/southampton-pattern-porcelain-floor-tile.html","Product")</f>
        <v/>
      </c>
      <c r="B934" s="1" t="inlineStr">
        <is>
          <t>445465</t>
        </is>
      </c>
      <c r="C934" s="1" t="inlineStr">
        <is>
          <t>Southampton Pattern Porcelain Floor Tiles</t>
        </is>
      </c>
      <c r="D934" s="1" t="n">
        <v>16.99</v>
      </c>
      <c r="E934" s="1" t="inlineStr">
        <is>
          <t>450x450mm</t>
        </is>
      </c>
      <c r="F934" s="1" t="inlineStr">
        <is>
          <t>m2</t>
        </is>
      </c>
      <c r="G934" s="1" t="inlineStr">
        <is>
          <t>Porcelain</t>
        </is>
      </c>
      <c r="H934" s="1" t="inlineStr">
        <is>
          <t>Matt</t>
        </is>
      </c>
      <c r="I934" t="n">
        <v>156</v>
      </c>
    </row>
    <row r="935">
      <c r="A935" s="1">
        <f>Hyperlink("https://www.tilemountain.co.uk/p/sparkle-black-split-face-mosaic.html","Product")</f>
        <v/>
      </c>
      <c r="B935" s="1" t="inlineStr">
        <is>
          <t>445395</t>
        </is>
      </c>
      <c r="C935" s="1" t="inlineStr">
        <is>
          <t>Sparkle Black Split Face Mosaic</t>
        </is>
      </c>
      <c r="D935" s="1" t="n">
        <v>44.99</v>
      </c>
      <c r="E935" s="1" t="inlineStr">
        <is>
          <t>300x150mm</t>
        </is>
      </c>
      <c r="F935" s="1" t="inlineStr">
        <is>
          <t>m2</t>
        </is>
      </c>
      <c r="G935" s="1" t="inlineStr">
        <is>
          <t>Stone</t>
        </is>
      </c>
      <c r="H935" s="1" t="inlineStr">
        <is>
          <t>Matt</t>
        </is>
      </c>
      <c r="I935" t="inlineStr">
        <is>
          <t>More Stock due 12/11/21</t>
        </is>
      </c>
    </row>
    <row r="936">
      <c r="A936" s="1">
        <f>Hyperlink("https://www.tilemountain.co.uk/p/sparkle-rustic-split-face-mosaic.html","Product")</f>
        <v/>
      </c>
      <c r="B936" s="1" t="inlineStr">
        <is>
          <t>445390</t>
        </is>
      </c>
      <c r="C936" s="1" t="inlineStr">
        <is>
          <t>Sparkle Rustic Split Face Mosaic</t>
        </is>
      </c>
      <c r="D936" s="1" t="n">
        <v>44.99</v>
      </c>
      <c r="E936" s="1" t="inlineStr">
        <is>
          <t>300x150mm</t>
        </is>
      </c>
      <c r="F936" s="1" t="inlineStr">
        <is>
          <t>m2</t>
        </is>
      </c>
      <c r="G936" s="1" t="inlineStr">
        <is>
          <t>Stone</t>
        </is>
      </c>
      <c r="H936" s="1" t="inlineStr">
        <is>
          <t>Matt</t>
        </is>
      </c>
      <c r="I936" t="n">
        <v>217</v>
      </c>
    </row>
    <row r="937">
      <c r="A937" s="1">
        <f>Hyperlink("https://www.tilemountain.co.uk/p/standard-set-porcelain-grey-s1.html","Product")</f>
        <v/>
      </c>
      <c r="B937" s="1" t="inlineStr">
        <is>
          <t>450320</t>
        </is>
      </c>
      <c r="C937" s="1" t="inlineStr">
        <is>
          <t>Standard Set Porcelain Grey S1 Tile Adhesive</t>
        </is>
      </c>
      <c r="D937" s="1" t="n">
        <v>18.95</v>
      </c>
      <c r="E937" s="1" t="inlineStr">
        <is>
          <t>-</t>
        </is>
      </c>
      <c r="F937" s="1" t="inlineStr">
        <is>
          <t>Qty</t>
        </is>
      </c>
      <c r="G937" s="1" t="inlineStr">
        <is>
          <t>-</t>
        </is>
      </c>
      <c r="H937" s="1" t="inlineStr">
        <is>
          <t>-</t>
        </is>
      </c>
      <c r="I937" t="n">
        <v>14</v>
      </c>
    </row>
    <row r="938">
      <c r="A938" s="1">
        <f>Hyperlink("https://www.tilemountain.co.uk/p/standard-set-porcelain-white-s1.html","Product")</f>
        <v/>
      </c>
      <c r="B938" s="1" t="inlineStr">
        <is>
          <t>450325</t>
        </is>
      </c>
      <c r="C938" s="1" t="inlineStr">
        <is>
          <t>Standard Set Porcelain White S1 Tile Adhesive</t>
        </is>
      </c>
      <c r="D938" s="1" t="n">
        <v>22.95</v>
      </c>
      <c r="E938" s="1" t="inlineStr">
        <is>
          <t>-</t>
        </is>
      </c>
      <c r="F938" s="1" t="inlineStr">
        <is>
          <t>Qty</t>
        </is>
      </c>
      <c r="G938" s="1" t="inlineStr">
        <is>
          <t>-</t>
        </is>
      </c>
      <c r="H938" s="1" t="inlineStr">
        <is>
          <t>-</t>
        </is>
      </c>
      <c r="I938" t="inlineStr">
        <is>
          <t>In Stock</t>
        </is>
      </c>
    </row>
    <row r="939">
      <c r="A939" s="1">
        <f>Hyperlink("https://www.tilemountain.co.uk/p/stockholm-beige-floor-tile.html","Product")</f>
        <v/>
      </c>
      <c r="B939" s="1" t="inlineStr">
        <is>
          <t>448900</t>
        </is>
      </c>
      <c r="C939" s="1" t="inlineStr">
        <is>
          <t>Stockholm Beige Floor Tile</t>
        </is>
      </c>
      <c r="D939" s="1" t="n">
        <v>10.99</v>
      </c>
      <c r="E939" s="1" t="inlineStr">
        <is>
          <t>450x450mm</t>
        </is>
      </c>
      <c r="F939" s="1" t="inlineStr">
        <is>
          <t>m2</t>
        </is>
      </c>
      <c r="G939" s="1" t="inlineStr">
        <is>
          <t>Ceramic</t>
        </is>
      </c>
      <c r="H939" s="1" t="inlineStr">
        <is>
          <t>Matt</t>
        </is>
      </c>
      <c r="I939" t="n">
        <v>61</v>
      </c>
    </row>
    <row r="940">
      <c r="A940" s="1">
        <f>Hyperlink("https://www.tilemountain.co.uk/p/stonebase-black.html","Product")</f>
        <v/>
      </c>
      <c r="B940" s="1" t="inlineStr">
        <is>
          <t>445430</t>
        </is>
      </c>
      <c r="C940" s="1" t="inlineStr">
        <is>
          <t>Stonebase Light Grey Structure Wall and Floor Tiles</t>
        </is>
      </c>
      <c r="D940" s="1" t="n">
        <v>12.5</v>
      </c>
      <c r="E940" s="1" t="inlineStr">
        <is>
          <t>600x300mm</t>
        </is>
      </c>
      <c r="F940" s="1" t="inlineStr">
        <is>
          <t>m2</t>
        </is>
      </c>
      <c r="G940" s="1" t="inlineStr">
        <is>
          <t>-</t>
        </is>
      </c>
      <c r="H940" s="1" t="inlineStr">
        <is>
          <t>-</t>
        </is>
      </c>
      <c r="I940" t="inlineStr">
        <is>
          <t xml:space="preserve">Out Of Stock </t>
        </is>
      </c>
    </row>
    <row r="941">
      <c r="A941" s="1">
        <f>Hyperlink("https://www.tilemountain.co.uk/p/stonebase-grafite-3840.html","Product")</f>
        <v/>
      </c>
      <c r="B941" s="1" t="inlineStr">
        <is>
          <t>445445</t>
        </is>
      </c>
      <c r="C941" s="1" t="inlineStr">
        <is>
          <t>Stonebase Grafite Wall and Floor Tiles</t>
        </is>
      </c>
      <c r="D941" s="1" t="n">
        <v>22.99</v>
      </c>
      <c r="E941" s="1" t="inlineStr">
        <is>
          <t>600x300mm</t>
        </is>
      </c>
      <c r="F941" s="1" t="inlineStr">
        <is>
          <t>m2</t>
        </is>
      </c>
      <c r="G941" s="1" t="inlineStr">
        <is>
          <t>Vitrified Ceramic</t>
        </is>
      </c>
      <c r="H941" s="1" t="inlineStr">
        <is>
          <t>Matt</t>
        </is>
      </c>
      <c r="I941" t="n">
        <v>688</v>
      </c>
    </row>
    <row r="942">
      <c r="A942" s="1">
        <f>Hyperlink("https://www.tilemountain.co.uk/p/stonebase-grafite.html","Product")</f>
        <v/>
      </c>
      <c r="B942" s="1" t="inlineStr">
        <is>
          <t>445425</t>
        </is>
      </c>
      <c r="C942" s="1" t="inlineStr">
        <is>
          <t>Stonebase Grafite Floor Tiles</t>
        </is>
      </c>
      <c r="D942" s="1" t="n">
        <v>24.99</v>
      </c>
      <c r="E942" s="1" t="inlineStr">
        <is>
          <t>600x600mm</t>
        </is>
      </c>
      <c r="F942" s="1" t="inlineStr">
        <is>
          <t>m2</t>
        </is>
      </c>
      <c r="G942" s="1" t="inlineStr">
        <is>
          <t>Vitrified Ceramic</t>
        </is>
      </c>
      <c r="H942" s="1" t="inlineStr">
        <is>
          <t>Matt</t>
        </is>
      </c>
      <c r="I942" t="n">
        <v>199</v>
      </c>
    </row>
    <row r="943">
      <c r="A943" s="1">
        <f>Hyperlink("https://www.tilemountain.co.uk/p/stonebase-light-grey.html","Product")</f>
        <v/>
      </c>
      <c r="B943" s="1" t="inlineStr">
        <is>
          <t>445420</t>
        </is>
      </c>
      <c r="C943" s="1" t="inlineStr">
        <is>
          <t>Stonebase Light Grey Floor Tiles</t>
        </is>
      </c>
      <c r="D943" s="1" t="n">
        <v>24.99</v>
      </c>
      <c r="E943" s="1" t="inlineStr">
        <is>
          <t>600x600mm</t>
        </is>
      </c>
      <c r="F943" s="1" t="inlineStr">
        <is>
          <t>m2</t>
        </is>
      </c>
      <c r="G943" s="1" t="inlineStr">
        <is>
          <t>Vitrified Ceramic</t>
        </is>
      </c>
      <c r="H943" s="1" t="inlineStr">
        <is>
          <t>Matt</t>
        </is>
      </c>
      <c r="I943" t="n">
        <v>344</v>
      </c>
    </row>
    <row r="944">
      <c r="A944" s="1">
        <f>Hyperlink("https://www.tilemountain.co.uk/p/stonebase-taupe-3838.html","Product")</f>
        <v/>
      </c>
      <c r="B944" s="1" t="inlineStr">
        <is>
          <t>445435</t>
        </is>
      </c>
      <c r="C944" s="1" t="inlineStr">
        <is>
          <t>Stonebase Taupe Wall and Floor Tiles</t>
        </is>
      </c>
      <c r="D944" s="1" t="n">
        <v>22.99</v>
      </c>
      <c r="E944" s="1" t="inlineStr">
        <is>
          <t>600x300mm</t>
        </is>
      </c>
      <c r="F944" s="1" t="inlineStr">
        <is>
          <t>m2</t>
        </is>
      </c>
      <c r="G944" s="1" t="inlineStr">
        <is>
          <t>Vitrified Ceramic</t>
        </is>
      </c>
      <c r="H944" s="1" t="inlineStr">
        <is>
          <t>Matt</t>
        </is>
      </c>
      <c r="I944" t="inlineStr">
        <is>
          <t>More Stock due 07/01/22</t>
        </is>
      </c>
    </row>
    <row r="945">
      <c r="A945" s="1">
        <f>Hyperlink("https://www.tilemountain.co.uk/p/stonebase-taupe.html","Product")</f>
        <v/>
      </c>
      <c r="B945" s="1" t="inlineStr">
        <is>
          <t>445415</t>
        </is>
      </c>
      <c r="C945" s="1" t="inlineStr">
        <is>
          <t>Stonebase Taupe Floor Tiles</t>
        </is>
      </c>
      <c r="D945" s="1" t="n">
        <v>24.99</v>
      </c>
      <c r="E945" s="1" t="inlineStr">
        <is>
          <t>600x600mm</t>
        </is>
      </c>
      <c r="F945" s="1" t="inlineStr">
        <is>
          <t>m2</t>
        </is>
      </c>
      <c r="G945" s="1" t="inlineStr">
        <is>
          <t>Vitrified Ceramic</t>
        </is>
      </c>
      <c r="H945" s="1" t="inlineStr">
        <is>
          <t>Matt</t>
        </is>
      </c>
      <c r="I945" t="n">
        <v>251</v>
      </c>
    </row>
    <row r="946">
      <c r="A946" s="1">
        <f>Hyperlink("https://www.tilemountain.co.uk/p/stoneline-fume-matte-wall-and-floor-tiles.html","Product")</f>
        <v/>
      </c>
      <c r="B946" s="1" t="inlineStr">
        <is>
          <t>449315</t>
        </is>
      </c>
      <c r="C946" s="1" t="inlineStr">
        <is>
          <t>Stoneline Fume Matte Wall And Floor Tiles</t>
        </is>
      </c>
      <c r="D946" s="1" t="n">
        <v>17.99</v>
      </c>
      <c r="E946" s="1" t="inlineStr">
        <is>
          <t>800x400mm</t>
        </is>
      </c>
      <c r="F946" s="1" t="inlineStr">
        <is>
          <t>m2</t>
        </is>
      </c>
      <c r="G946" s="1" t="inlineStr">
        <is>
          <t>Porcelain</t>
        </is>
      </c>
      <c r="H946" s="1" t="inlineStr">
        <is>
          <t>Matt</t>
        </is>
      </c>
      <c r="I946" t="n">
        <v>230</v>
      </c>
    </row>
    <row r="947">
      <c r="A947" s="1">
        <f>Hyperlink("https://www.tilemountain.co.uk/p/stoneline-grey.html","Product")</f>
        <v/>
      </c>
      <c r="B947" s="1" t="inlineStr">
        <is>
          <t>443165</t>
        </is>
      </c>
      <c r="C947" s="1" t="inlineStr">
        <is>
          <t>Stoneline Grey Matt Wall And Floor Tiles</t>
        </is>
      </c>
      <c r="D947" s="1" t="n">
        <v>17.99</v>
      </c>
      <c r="E947" s="1" t="inlineStr">
        <is>
          <t>800x400mm</t>
        </is>
      </c>
      <c r="F947" s="1" t="inlineStr">
        <is>
          <t>m2</t>
        </is>
      </c>
      <c r="G947" s="1" t="inlineStr">
        <is>
          <t>Porcelain</t>
        </is>
      </c>
      <c r="H947" s="1" t="inlineStr">
        <is>
          <t>Matt</t>
        </is>
      </c>
      <c r="I947" t="n">
        <v>94</v>
      </c>
    </row>
    <row r="948">
      <c r="A948" s="1">
        <f>Hyperlink("https://www.tilemountain.co.uk/p/stoneline-white.html","Product")</f>
        <v/>
      </c>
      <c r="B948" s="1" t="inlineStr">
        <is>
          <t>443170</t>
        </is>
      </c>
      <c r="C948" s="1" t="inlineStr">
        <is>
          <t>Stoneline White Matt Wall And Floor Tiles</t>
        </is>
      </c>
      <c r="D948" s="1" t="n">
        <v>17.99</v>
      </c>
      <c r="E948" s="1" t="inlineStr">
        <is>
          <t>800x400mm</t>
        </is>
      </c>
      <c r="F948" s="1" t="inlineStr">
        <is>
          <t>m2</t>
        </is>
      </c>
      <c r="G948" s="1" t="inlineStr">
        <is>
          <t>Porcelain</t>
        </is>
      </c>
      <c r="H948" s="1" t="inlineStr">
        <is>
          <t>Matt</t>
        </is>
      </c>
      <c r="I948" t="n">
        <v>591</v>
      </c>
    </row>
    <row r="949">
      <c r="A949" s="1">
        <f>Hyperlink("https://www.tilemountain.co.uk/p/strauss-black-porcelain-mosaic.html","Product")</f>
        <v/>
      </c>
      <c r="B949" s="1" t="inlineStr">
        <is>
          <t>441090</t>
        </is>
      </c>
      <c r="C949" s="1" t="inlineStr">
        <is>
          <t>Strauss Black Porcelain Mosaic</t>
        </is>
      </c>
      <c r="D949" s="1" t="n">
        <v>11.97</v>
      </c>
      <c r="E949" s="1" t="inlineStr">
        <is>
          <t>300x300mm</t>
        </is>
      </c>
      <c r="F949" s="1" t="inlineStr">
        <is>
          <t>sheet</t>
        </is>
      </c>
      <c r="G949" s="1" t="inlineStr">
        <is>
          <t>Porcelain</t>
        </is>
      </c>
      <c r="H949" s="1" t="inlineStr">
        <is>
          <t>Semi Polished</t>
        </is>
      </c>
      <c r="I949" t="n">
        <v>166</v>
      </c>
    </row>
    <row r="950">
      <c r="A950" s="1">
        <f>Hyperlink("https://www.tilemountain.co.uk/p/strauss-black-porcelain-wall-and-floor-tile-2803.html","Product")</f>
        <v/>
      </c>
      <c r="B950" s="1" t="inlineStr">
        <is>
          <t>440475</t>
        </is>
      </c>
      <c r="C950" s="1" t="inlineStr">
        <is>
          <t>Strauss Black Porcelain Wall And Floor</t>
        </is>
      </c>
      <c r="D950" s="1" t="n">
        <v>23.99</v>
      </c>
      <c r="E950" s="1" t="inlineStr">
        <is>
          <t>600x600mm</t>
        </is>
      </c>
      <c r="F950" s="1" t="inlineStr">
        <is>
          <t>m2</t>
        </is>
      </c>
      <c r="G950" s="1" t="inlineStr">
        <is>
          <t>Porcelain</t>
        </is>
      </c>
      <c r="H950" s="1" t="inlineStr">
        <is>
          <t>Semi Polished</t>
        </is>
      </c>
      <c r="I950" t="n">
        <v>215</v>
      </c>
    </row>
    <row r="951">
      <c r="A951" s="1">
        <f>Hyperlink("https://www.tilemountain.co.uk/p/strauss-black-porcelain-wall-and-floor-tile.html","Product")</f>
        <v/>
      </c>
      <c r="B951" s="1" t="inlineStr">
        <is>
          <t>440470</t>
        </is>
      </c>
      <c r="C951" s="1" t="inlineStr">
        <is>
          <t>Strauss Black Porcelain Wall And Floor</t>
        </is>
      </c>
      <c r="D951" s="1" t="n">
        <v>22.99</v>
      </c>
      <c r="E951" s="1" t="inlineStr">
        <is>
          <t>600x300mm</t>
        </is>
      </c>
      <c r="F951" s="1" t="inlineStr">
        <is>
          <t>m2</t>
        </is>
      </c>
      <c r="G951" s="1" t="inlineStr">
        <is>
          <t>Porcelain</t>
        </is>
      </c>
      <c r="H951" s="1" t="inlineStr">
        <is>
          <t>Semi Polished</t>
        </is>
      </c>
      <c r="I951" t="n">
        <v>256</v>
      </c>
    </row>
    <row r="952">
      <c r="A952" s="1">
        <f>Hyperlink("https://www.tilemountain.co.uk/p/strauss-white-porcelain-mosaic.html","Product")</f>
        <v/>
      </c>
      <c r="B952" s="1" t="inlineStr">
        <is>
          <t>442705</t>
        </is>
      </c>
      <c r="C952" s="1" t="inlineStr">
        <is>
          <t>Strauss White Porcelain Mosaic</t>
        </is>
      </c>
      <c r="D952" s="1" t="n">
        <v>11.97</v>
      </c>
      <c r="E952" s="1" t="inlineStr">
        <is>
          <t>300x300mm</t>
        </is>
      </c>
      <c r="F952" s="1" t="inlineStr">
        <is>
          <t>sheet</t>
        </is>
      </c>
      <c r="G952" s="1" t="inlineStr">
        <is>
          <t>Porcelain</t>
        </is>
      </c>
      <c r="H952" s="1" t="inlineStr">
        <is>
          <t>Semi Polished</t>
        </is>
      </c>
      <c r="I952" t="n">
        <v>344</v>
      </c>
    </row>
    <row r="953">
      <c r="A953" s="1">
        <f>Hyperlink("https://www.tilemountain.co.uk/p/strauss-white-porcelain-wall-and-floor-tile-2805.html","Product")</f>
        <v/>
      </c>
      <c r="B953" s="1" t="inlineStr">
        <is>
          <t>440485</t>
        </is>
      </c>
      <c r="C953" s="1" t="inlineStr">
        <is>
          <t>Strauss White Porcelain Wall And Floor</t>
        </is>
      </c>
      <c r="D953" s="1" t="n">
        <v>23.99</v>
      </c>
      <c r="E953" s="1" t="inlineStr">
        <is>
          <t>600x600mm</t>
        </is>
      </c>
      <c r="F953" s="1" t="inlineStr">
        <is>
          <t>m2</t>
        </is>
      </c>
      <c r="G953" s="1" t="inlineStr">
        <is>
          <t>Porcelain</t>
        </is>
      </c>
      <c r="H953" s="1" t="inlineStr">
        <is>
          <t>Semi Polished</t>
        </is>
      </c>
      <c r="I953" t="n">
        <v>1114</v>
      </c>
    </row>
    <row r="954">
      <c r="A954" s="1">
        <f>Hyperlink("https://www.tilemountain.co.uk/p/strauss-white-porcelain-wall-and-floor-tile.html","Product")</f>
        <v/>
      </c>
      <c r="B954" s="1" t="inlineStr">
        <is>
          <t>440480</t>
        </is>
      </c>
      <c r="C954" s="1" t="inlineStr">
        <is>
          <t>Strauss White Porcelain Wall And Floor</t>
        </is>
      </c>
      <c r="D954" s="1" t="n">
        <v>22.99</v>
      </c>
      <c r="E954" s="1" t="inlineStr">
        <is>
          <t>600x300mm</t>
        </is>
      </c>
      <c r="F954" s="1" t="inlineStr">
        <is>
          <t>m2</t>
        </is>
      </c>
      <c r="G954" s="1" t="inlineStr">
        <is>
          <t>Porcelain</t>
        </is>
      </c>
      <c r="H954" s="1" t="inlineStr">
        <is>
          <t>Semi Polished</t>
        </is>
      </c>
      <c r="I954" t="n">
        <v>506</v>
      </c>
    </row>
    <row r="955">
      <c r="A955" s="1">
        <f>Hyperlink("https://www.tilemountain.co.uk/p/stuck-pierre-grey-split-face-effect-wall-tile.html","Product")</f>
        <v/>
      </c>
      <c r="B955" s="1" t="inlineStr">
        <is>
          <t>448765</t>
        </is>
      </c>
      <c r="C955" s="1" t="inlineStr">
        <is>
          <t>Stuck Pierre Grey Mix Split Face Effect Wall Tile</t>
        </is>
      </c>
      <c r="D955" s="1" t="n">
        <v>17.99</v>
      </c>
      <c r="E955" s="1" t="inlineStr">
        <is>
          <t>600x300mm</t>
        </is>
      </c>
      <c r="F955" s="1" t="inlineStr">
        <is>
          <t>m2</t>
        </is>
      </c>
      <c r="G955" s="1" t="inlineStr">
        <is>
          <t>Porcelain</t>
        </is>
      </c>
      <c r="H955" s="1" t="inlineStr">
        <is>
          <t>Matt</t>
        </is>
      </c>
      <c r="I955" t="n">
        <v>74</v>
      </c>
    </row>
    <row r="956">
      <c r="A956" s="1">
        <f>Hyperlink("https://www.tilemountain.co.uk/p/stuck-pierre-taupe-split-face-effect-wall-tile.html","Product")</f>
        <v/>
      </c>
      <c r="B956" s="1" t="inlineStr">
        <is>
          <t>448775</t>
        </is>
      </c>
      <c r="C956" s="1" t="inlineStr">
        <is>
          <t>Stuck Pierre Taupe Split Face Effect Wall Tile</t>
        </is>
      </c>
      <c r="D956" s="1" t="n">
        <v>17.99</v>
      </c>
      <c r="E956" s="1" t="inlineStr">
        <is>
          <t>600x300mm</t>
        </is>
      </c>
      <c r="F956" s="1" t="inlineStr">
        <is>
          <t>m2</t>
        </is>
      </c>
      <c r="G956" s="1" t="inlineStr">
        <is>
          <t>Porcelain</t>
        </is>
      </c>
      <c r="H956" s="1" t="inlineStr">
        <is>
          <t>Matt</t>
        </is>
      </c>
      <c r="I956" t="n">
        <v>143</v>
      </c>
    </row>
    <row r="957">
      <c r="A957" s="1">
        <f>Hyperlink("https://www.tilemountain.co.uk/p/super-matte-white-wall-tile.html","Product")</f>
        <v/>
      </c>
      <c r="B957" s="1" t="inlineStr">
        <is>
          <t>434040</t>
        </is>
      </c>
      <c r="C957" s="1" t="inlineStr">
        <is>
          <t>Super Matte White Wall Tiles</t>
        </is>
      </c>
      <c r="D957" s="1" t="n">
        <v>10.99</v>
      </c>
      <c r="E957" s="1" t="inlineStr">
        <is>
          <t>250x400mm</t>
        </is>
      </c>
      <c r="F957" s="1" t="inlineStr">
        <is>
          <t>m2</t>
        </is>
      </c>
      <c r="G957" s="1" t="inlineStr">
        <is>
          <t>Ceramic</t>
        </is>
      </c>
      <c r="H957" s="1" t="inlineStr">
        <is>
          <t>Matt</t>
        </is>
      </c>
      <c r="I957" t="n">
        <v>1856</v>
      </c>
    </row>
    <row r="958">
      <c r="A958" s="1">
        <f>Hyperlink("https://www.tilemountain.co.uk/p/super-relief-bumpy-white-wall-tile-1317.html","Product")</f>
        <v/>
      </c>
      <c r="B958" s="1" t="inlineStr">
        <is>
          <t>434030</t>
        </is>
      </c>
      <c r="C958" s="1" t="inlineStr">
        <is>
          <t>Super Relief Bumpy White Wall Tiles</t>
        </is>
      </c>
      <c r="D958" s="1" t="n">
        <v>10.99</v>
      </c>
      <c r="E958" s="1" t="inlineStr">
        <is>
          <t>250x330mm</t>
        </is>
      </c>
      <c r="F958" s="1" t="inlineStr">
        <is>
          <t>m2</t>
        </is>
      </c>
      <c r="G958" s="1" t="inlineStr">
        <is>
          <t>Ceramic</t>
        </is>
      </c>
      <c r="H958" s="1" t="inlineStr">
        <is>
          <t>Gloss</t>
        </is>
      </c>
      <c r="I958" t="inlineStr">
        <is>
          <t>More Stock due 18/11/21</t>
        </is>
      </c>
    </row>
    <row r="959">
      <c r="A959" s="1">
        <f>Hyperlink("https://www.tilemountain.co.uk/p/super-relief-bumpy-white-wall-tile-1318.html","Product")</f>
        <v/>
      </c>
      <c r="B959" s="1" t="inlineStr">
        <is>
          <t>434035</t>
        </is>
      </c>
      <c r="C959" s="1" t="inlineStr">
        <is>
          <t>Super Relief Bumpy White Wall Tiles</t>
        </is>
      </c>
      <c r="D959" s="1" t="n">
        <v>10.99</v>
      </c>
      <c r="E959" s="1" t="inlineStr">
        <is>
          <t>250x400mm</t>
        </is>
      </c>
      <c r="F959" s="1" t="inlineStr">
        <is>
          <t>m2</t>
        </is>
      </c>
      <c r="G959" s="1" t="inlineStr">
        <is>
          <t>Ceramic</t>
        </is>
      </c>
      <c r="H959" s="1" t="inlineStr">
        <is>
          <t>Gloss</t>
        </is>
      </c>
      <c r="I959" t="n">
        <v>2055</v>
      </c>
    </row>
    <row r="960">
      <c r="A960" s="1">
        <f>Hyperlink("https://www.tilemountain.co.uk/p/super-relief-bumpy-white-wall-tile-712.html","Product")</f>
        <v/>
      </c>
      <c r="B960" s="1" t="inlineStr">
        <is>
          <t>434020</t>
        </is>
      </c>
      <c r="C960" s="1" t="inlineStr">
        <is>
          <t>Super Relief Bumpy White Wall Tiles</t>
        </is>
      </c>
      <c r="D960" s="1" t="n">
        <v>9.99</v>
      </c>
      <c r="E960" s="1" t="inlineStr">
        <is>
          <t>200x250mm</t>
        </is>
      </c>
      <c r="F960" s="1" t="inlineStr">
        <is>
          <t>m2</t>
        </is>
      </c>
      <c r="G960" s="1" t="inlineStr">
        <is>
          <t>Ceramic</t>
        </is>
      </c>
      <c r="H960" s="1" t="inlineStr">
        <is>
          <t>Gloss</t>
        </is>
      </c>
      <c r="I960" t="n">
        <v>101</v>
      </c>
    </row>
    <row r="961">
      <c r="A961" s="1">
        <f>Hyperlink("https://www.tilemountain.co.uk/p/super-white-polished-porcelain-1320.html","Product")</f>
        <v/>
      </c>
      <c r="B961" s="1" t="inlineStr">
        <is>
          <t>431780</t>
        </is>
      </c>
      <c r="C961" s="1" t="inlineStr">
        <is>
          <t>Super White Polished Porcelain Floor Tile</t>
        </is>
      </c>
      <c r="D961" s="1" t="n">
        <v>23.99</v>
      </c>
      <c r="E961" s="1" t="inlineStr">
        <is>
          <t>600x600mm</t>
        </is>
      </c>
      <c r="F961" s="1" t="inlineStr">
        <is>
          <t>m2</t>
        </is>
      </c>
      <c r="G961" s="1" t="inlineStr">
        <is>
          <t>Polished Porcelain</t>
        </is>
      </c>
      <c r="H961" s="1" t="inlineStr">
        <is>
          <t>Polished</t>
        </is>
      </c>
      <c r="I961" t="n">
        <v>994</v>
      </c>
    </row>
    <row r="962">
      <c r="A962" s="1">
        <f>Hyperlink("https://www.tilemountain.co.uk/p/super-white-polished-porcelain.html","Product")</f>
        <v/>
      </c>
      <c r="B962" s="1" t="inlineStr">
        <is>
          <t>431740</t>
        </is>
      </c>
      <c r="C962" s="1" t="inlineStr">
        <is>
          <t>Super White Polished Porcelain Floor Tile</t>
        </is>
      </c>
      <c r="D962" s="1" t="n">
        <v>27.99</v>
      </c>
      <c r="E962" s="1" t="inlineStr">
        <is>
          <t>298x600mm</t>
        </is>
      </c>
      <c r="F962" s="1" t="inlineStr">
        <is>
          <t>m2</t>
        </is>
      </c>
      <c r="G962" s="1" t="inlineStr">
        <is>
          <t>Polished Porcelain</t>
        </is>
      </c>
      <c r="H962" s="1" t="inlineStr">
        <is>
          <t>Polished</t>
        </is>
      </c>
      <c r="I962" t="n">
        <v>173</v>
      </c>
    </row>
    <row r="963">
      <c r="A963" s="1">
        <f>Hyperlink("https://www.tilemountain.co.uk/p/surface-cool-grey-lapatto-wall-and-floor-tile.html","Product")</f>
        <v/>
      </c>
      <c r="B963" s="1" t="inlineStr">
        <is>
          <t>439865</t>
        </is>
      </c>
      <c r="C963" s="1" t="inlineStr">
        <is>
          <t>Surface Cool Grey Lappato Wall And Floor Tiles</t>
        </is>
      </c>
      <c r="D963" s="1" t="n">
        <v>22</v>
      </c>
      <c r="E963" s="1" t="inlineStr">
        <is>
          <t>600x300mm</t>
        </is>
      </c>
      <c r="F963" s="1" t="inlineStr">
        <is>
          <t>m2</t>
        </is>
      </c>
      <c r="G963" s="1" t="inlineStr">
        <is>
          <t>Porcelain</t>
        </is>
      </c>
      <c r="H963" s="1" t="inlineStr">
        <is>
          <t>Satin</t>
        </is>
      </c>
      <c r="I963" t="n">
        <v>319</v>
      </c>
    </row>
    <row r="964">
      <c r="A964" s="1">
        <f>Hyperlink("https://www.tilemountain.co.uk/p/surface-cool-grey-matt-wall-and-floor-tile.html","Product")</f>
        <v/>
      </c>
      <c r="B964" s="1" t="inlineStr">
        <is>
          <t>439870</t>
        </is>
      </c>
      <c r="C964" s="1" t="inlineStr">
        <is>
          <t>Surface Cool Grey Matt Wall And Floor Tiles</t>
        </is>
      </c>
      <c r="D964" s="1" t="n">
        <v>20</v>
      </c>
      <c r="E964" s="1" t="inlineStr">
        <is>
          <t>600x300mm</t>
        </is>
      </c>
      <c r="F964" s="1" t="inlineStr">
        <is>
          <t>m2</t>
        </is>
      </c>
      <c r="G964" s="1" t="inlineStr">
        <is>
          <t>Porcelain</t>
        </is>
      </c>
      <c r="H964" s="1" t="inlineStr">
        <is>
          <t>Matt</t>
        </is>
      </c>
      <c r="I964" t="n">
        <v>356</v>
      </c>
    </row>
    <row r="965">
      <c r="A965" s="1">
        <f>Hyperlink("https://www.tilemountain.co.uk/p/surface-mid-grey-lapatto-wall-and-floor-tile.html","Product")</f>
        <v/>
      </c>
      <c r="B965" s="1" t="inlineStr">
        <is>
          <t>439875</t>
        </is>
      </c>
      <c r="C965" s="1" t="inlineStr">
        <is>
          <t>Surface Mid Grey Lappato Wall And Floor Tiles</t>
        </is>
      </c>
      <c r="D965" s="1" t="n">
        <v>22</v>
      </c>
      <c r="E965" s="1" t="inlineStr">
        <is>
          <t>600x300mm</t>
        </is>
      </c>
      <c r="F965" s="1" t="inlineStr">
        <is>
          <t>m2</t>
        </is>
      </c>
      <c r="G965" s="1" t="inlineStr">
        <is>
          <t>Porcelain</t>
        </is>
      </c>
      <c r="H965" s="1" t="inlineStr">
        <is>
          <t>Satin</t>
        </is>
      </c>
      <c r="I965" t="n">
        <v>432</v>
      </c>
    </row>
    <row r="966">
      <c r="A966" s="1">
        <f>Hyperlink("https://www.tilemountain.co.uk/p/surface-mid-grey-matt-wall-and-floor-tile.html","Product")</f>
        <v/>
      </c>
      <c r="B966" s="1" t="inlineStr">
        <is>
          <t>439880</t>
        </is>
      </c>
      <c r="C966" s="1" t="inlineStr">
        <is>
          <t>Surface Mid Grey Matt Wall And Floor Tiles</t>
        </is>
      </c>
      <c r="D966" s="1" t="n">
        <v>20</v>
      </c>
      <c r="E966" s="1" t="inlineStr">
        <is>
          <t>600x300mm</t>
        </is>
      </c>
      <c r="F966" s="1" t="inlineStr">
        <is>
          <t>m2</t>
        </is>
      </c>
      <c r="G966" s="1" t="inlineStr">
        <is>
          <t>Porcelain</t>
        </is>
      </c>
      <c r="H966" s="1" t="inlineStr">
        <is>
          <t>Matt</t>
        </is>
      </c>
      <c r="I966" t="n">
        <v>267</v>
      </c>
    </row>
    <row r="967">
      <c r="A967" s="1">
        <f>Hyperlink("https://www.tilemountain.co.uk/p/surface-off-white-lapatto-wall-and-floor-tile.html","Product")</f>
        <v/>
      </c>
      <c r="B967" s="1" t="inlineStr">
        <is>
          <t>439885</t>
        </is>
      </c>
      <c r="C967" s="1" t="inlineStr">
        <is>
          <t>Surface Bone Lappato Wall And Floor Tiles</t>
        </is>
      </c>
      <c r="D967" s="1" t="n">
        <v>24.99</v>
      </c>
      <c r="E967" s="1" t="inlineStr">
        <is>
          <t>600x300mm</t>
        </is>
      </c>
      <c r="F967" s="1" t="inlineStr">
        <is>
          <t>m2</t>
        </is>
      </c>
      <c r="G967" s="1" t="inlineStr">
        <is>
          <t>Porcelain</t>
        </is>
      </c>
      <c r="H967" s="1" t="inlineStr">
        <is>
          <t>Satin</t>
        </is>
      </c>
      <c r="I967" t="n">
        <v>142</v>
      </c>
    </row>
    <row r="968">
      <c r="A968" s="1">
        <f>Hyperlink("https://www.tilemountain.co.uk/p/surface-outdoor-mid-grey-porcelain-slab.html","Product")</f>
        <v/>
      </c>
      <c r="B968" s="1" t="inlineStr">
        <is>
          <t>442755</t>
        </is>
      </c>
      <c r="C968" s="1" t="inlineStr">
        <is>
          <t>Surface Outdoor Mid Grey Porcelain Slab</t>
        </is>
      </c>
      <c r="D968" s="1" t="n">
        <v>29.94</v>
      </c>
      <c r="E968" s="1" t="inlineStr">
        <is>
          <t>600x600mm</t>
        </is>
      </c>
      <c r="F968" s="1" t="inlineStr">
        <is>
          <t>m2</t>
        </is>
      </c>
      <c r="G968" s="1" t="inlineStr">
        <is>
          <t>Porcelain</t>
        </is>
      </c>
      <c r="H968" s="1" t="inlineStr">
        <is>
          <t>Matt</t>
        </is>
      </c>
      <c r="I968" t="n">
        <v>1876</v>
      </c>
    </row>
    <row r="969">
      <c r="A969" s="1">
        <f>Hyperlink("https://www.tilemountain.co.uk/p/surface-outdoor-night-black-porcelain-slab.html","Product")</f>
        <v/>
      </c>
      <c r="B969" s="1" t="inlineStr">
        <is>
          <t>442760</t>
        </is>
      </c>
      <c r="C969" s="1" t="inlineStr">
        <is>
          <t>Surface Outdoor Night Black Porcelain Slab</t>
        </is>
      </c>
      <c r="D969" s="1" t="n">
        <v>34.99</v>
      </c>
      <c r="E969" s="1" t="inlineStr">
        <is>
          <t>600x600mm</t>
        </is>
      </c>
      <c r="F969" s="1" t="inlineStr">
        <is>
          <t>m2</t>
        </is>
      </c>
      <c r="G969" s="1" t="inlineStr">
        <is>
          <t>Porcelain</t>
        </is>
      </c>
      <c r="H969" s="1" t="inlineStr">
        <is>
          <t>Matt</t>
        </is>
      </c>
      <c r="I969" t="n">
        <v>2763</v>
      </c>
    </row>
    <row r="970">
      <c r="A970" s="1">
        <f>Hyperlink("https://www.tilemountain.co.uk/p/sweet-green-sea-wall-tile.html","Product")</f>
        <v/>
      </c>
      <c r="B970" s="1" t="inlineStr">
        <is>
          <t>452585</t>
        </is>
      </c>
      <c r="C970" s="1" t="inlineStr">
        <is>
          <t>Sweet Sea Green Wall Tile</t>
        </is>
      </c>
      <c r="D970" s="1" t="n">
        <v>12.99</v>
      </c>
      <c r="E970" s="1" t="inlineStr">
        <is>
          <t>600x300mm</t>
        </is>
      </c>
      <c r="F970" s="1" t="inlineStr">
        <is>
          <t>m2</t>
        </is>
      </c>
      <c r="G970" s="1" t="inlineStr">
        <is>
          <t>Ceramic</t>
        </is>
      </c>
      <c r="H970" s="1" t="inlineStr">
        <is>
          <t>Matt</t>
        </is>
      </c>
      <c r="I970" t="n">
        <v>178</v>
      </c>
    </row>
    <row r="971">
      <c r="A971" s="1">
        <f>Hyperlink("https://www.tilemountain.co.uk/p/sweet-light-blue-wall-tile.html","Product")</f>
        <v/>
      </c>
      <c r="B971" s="1" t="inlineStr">
        <is>
          <t>452590</t>
        </is>
      </c>
      <c r="C971" s="1" t="inlineStr">
        <is>
          <t>Sweet Light Blue Wall Tile</t>
        </is>
      </c>
      <c r="D971" s="1" t="n">
        <v>12.99</v>
      </c>
      <c r="E971" s="1" t="inlineStr">
        <is>
          <t>600x300mm</t>
        </is>
      </c>
      <c r="F971" s="1" t="inlineStr">
        <is>
          <t>m2</t>
        </is>
      </c>
      <c r="G971" s="1" t="inlineStr">
        <is>
          <t>Ceramic</t>
        </is>
      </c>
      <c r="H971" s="1" t="inlineStr">
        <is>
          <t>Matt</t>
        </is>
      </c>
      <c r="I971" t="n">
        <v>169</v>
      </c>
    </row>
    <row r="972">
      <c r="A972" s="1">
        <f>Hyperlink("https://www.tilemountain.co.uk/p/sweet-white-wall-tile.html","Product")</f>
        <v/>
      </c>
      <c r="B972" s="1" t="inlineStr">
        <is>
          <t>452580</t>
        </is>
      </c>
      <c r="C972" s="1" t="inlineStr">
        <is>
          <t>Sweet White Wall Tile</t>
        </is>
      </c>
      <c r="D972" s="1" t="n">
        <v>12.99</v>
      </c>
      <c r="E972" s="1" t="inlineStr">
        <is>
          <t>600x300mm</t>
        </is>
      </c>
      <c r="F972" s="1" t="inlineStr">
        <is>
          <t>m2</t>
        </is>
      </c>
      <c r="G972" s="1" t="inlineStr">
        <is>
          <t>Ceramic</t>
        </is>
      </c>
      <c r="H972" s="1" t="inlineStr">
        <is>
          <t>Matt</t>
        </is>
      </c>
      <c r="I972" t="n">
        <v>362</v>
      </c>
    </row>
    <row r="973">
      <c r="A973" s="1">
        <f>Hyperlink("https://www.tilemountain.co.uk/p/sweet-white-waves-wall-tile.html","Product")</f>
        <v/>
      </c>
      <c r="B973" s="1" t="inlineStr">
        <is>
          <t>452595</t>
        </is>
      </c>
      <c r="C973" s="1" t="inlineStr">
        <is>
          <t>Sweet White Waves Wall Tile</t>
        </is>
      </c>
      <c r="D973" s="1" t="n">
        <v>13.99</v>
      </c>
      <c r="E973" s="1" t="inlineStr">
        <is>
          <t>600x300mm</t>
        </is>
      </c>
      <c r="F973" s="1" t="inlineStr">
        <is>
          <t>m2</t>
        </is>
      </c>
      <c r="G973" s="1" t="inlineStr">
        <is>
          <t>Ceramic</t>
        </is>
      </c>
      <c r="H973" s="1" t="inlineStr">
        <is>
          <t>Matt</t>
        </is>
      </c>
      <c r="I973" t="n">
        <v>93</v>
      </c>
    </row>
    <row r="974">
      <c r="A974" s="1">
        <f>Hyperlink("https://www.tilemountain.co.uk/p/swing-beige.html","Product")</f>
        <v/>
      </c>
      <c r="B974" s="1" t="inlineStr">
        <is>
          <t>446380</t>
        </is>
      </c>
      <c r="C974" s="1" t="inlineStr">
        <is>
          <t>Swing Beige Wall and Floor Tiles</t>
        </is>
      </c>
      <c r="D974" s="1" t="n">
        <v>24.99</v>
      </c>
      <c r="E974" s="1" t="inlineStr">
        <is>
          <t>203x203mm</t>
        </is>
      </c>
      <c r="F974" s="1" t="inlineStr">
        <is>
          <t>m2</t>
        </is>
      </c>
      <c r="G974" s="1" t="inlineStr">
        <is>
          <t>Porcelain</t>
        </is>
      </c>
      <c r="H974" s="1" t="inlineStr">
        <is>
          <t>Satin</t>
        </is>
      </c>
      <c r="I974" t="n">
        <v>88</v>
      </c>
    </row>
    <row r="975">
      <c r="A975" s="1">
        <f>Hyperlink("https://www.tilemountain.co.uk/p/swing-blue-decor-night-day-02.html","Product")</f>
        <v/>
      </c>
      <c r="B975" s="1" t="inlineStr">
        <is>
          <t>446690</t>
        </is>
      </c>
      <c r="C975" s="1" t="inlineStr">
        <is>
          <t>Swing Decor Night and Day Geometric Wall and Floor Tiles</t>
        </is>
      </c>
      <c r="D975" s="1" t="n">
        <v>29.99</v>
      </c>
      <c r="E975" s="1" t="inlineStr">
        <is>
          <t>203x203mm</t>
        </is>
      </c>
      <c r="F975" s="1" t="inlineStr">
        <is>
          <t>m2</t>
        </is>
      </c>
      <c r="G975" s="1" t="inlineStr">
        <is>
          <t>Porcelain</t>
        </is>
      </c>
      <c r="H975" s="1" t="inlineStr">
        <is>
          <t>Satin</t>
        </is>
      </c>
      <c r="I975" t="n">
        <v>71</v>
      </c>
    </row>
    <row r="976">
      <c r="A976" s="1">
        <f>Hyperlink("https://www.tilemountain.co.uk/p/swing-blue-decor-night-day-04.html","Product")</f>
        <v/>
      </c>
      <c r="B976" s="1" t="inlineStr">
        <is>
          <t>446410</t>
        </is>
      </c>
      <c r="C976" s="1" t="inlineStr">
        <is>
          <t>Swing Decor Night &amp; Day Stripe Wall and Floor Tiles</t>
        </is>
      </c>
      <c r="D976" s="1" t="n">
        <v>29.99</v>
      </c>
      <c r="E976" s="1" t="inlineStr">
        <is>
          <t>203x203mm</t>
        </is>
      </c>
      <c r="F976" s="1" t="inlineStr">
        <is>
          <t>m2</t>
        </is>
      </c>
      <c r="G976" s="1" t="inlineStr">
        <is>
          <t>Porcelain</t>
        </is>
      </c>
      <c r="H976" s="1" t="inlineStr">
        <is>
          <t>Satin</t>
        </is>
      </c>
      <c r="I976" t="inlineStr">
        <is>
          <t>More Stock due 19/11/21</t>
        </is>
      </c>
    </row>
    <row r="977">
      <c r="A977" s="1">
        <f>Hyperlink("https://www.tilemountain.co.uk/p/swing-decor-blue-02.html","Product")</f>
        <v/>
      </c>
      <c r="B977" s="1" t="inlineStr">
        <is>
          <t>446390</t>
        </is>
      </c>
      <c r="C977" s="1" t="inlineStr">
        <is>
          <t>Swing Decor Blue Geometric Wall and Floor Tiles</t>
        </is>
      </c>
      <c r="D977" s="1" t="n">
        <v>29.99</v>
      </c>
      <c r="E977" s="1" t="inlineStr">
        <is>
          <t>203x203mm</t>
        </is>
      </c>
      <c r="F977" s="1" t="inlineStr">
        <is>
          <t>m2</t>
        </is>
      </c>
      <c r="G977" s="1" t="inlineStr">
        <is>
          <t>Porcelain</t>
        </is>
      </c>
      <c r="H977" s="1" t="inlineStr">
        <is>
          <t>Satin</t>
        </is>
      </c>
      <c r="I977" t="n">
        <v>39</v>
      </c>
    </row>
    <row r="978">
      <c r="A978" s="1">
        <f>Hyperlink("https://www.tilemountain.co.uk/p/swing-decor-blue-04.html","Product")</f>
        <v/>
      </c>
      <c r="B978" s="1" t="inlineStr">
        <is>
          <t>446395</t>
        </is>
      </c>
      <c r="C978" s="1" t="inlineStr">
        <is>
          <t>Swing Decor Blue Stripe Wall and Floor Tiles</t>
        </is>
      </c>
      <c r="D978" s="1" t="n">
        <v>29.99</v>
      </c>
      <c r="E978" s="1" t="inlineStr">
        <is>
          <t>203x203mm</t>
        </is>
      </c>
      <c r="F978" s="1" t="inlineStr">
        <is>
          <t>m2</t>
        </is>
      </c>
      <c r="G978" s="1" t="inlineStr">
        <is>
          <t>Porcelain</t>
        </is>
      </c>
      <c r="H978" s="1" t="inlineStr">
        <is>
          <t>Satin</t>
        </is>
      </c>
      <c r="I978" t="n">
        <v>25</v>
      </c>
    </row>
    <row r="979">
      <c r="A979" s="1">
        <f>Hyperlink("https://www.tilemountain.co.uk/p/swing-decor-multicolor-02.html","Product")</f>
        <v/>
      </c>
      <c r="B979" s="1" t="inlineStr">
        <is>
          <t>446400</t>
        </is>
      </c>
      <c r="C979" s="1" t="inlineStr">
        <is>
          <t>Swing Decor Beige Multicolour Geometric Wall and Floor Tiles</t>
        </is>
      </c>
      <c r="D979" s="1" t="n">
        <v>29.99</v>
      </c>
      <c r="E979" s="1" t="inlineStr">
        <is>
          <t>203x203mm</t>
        </is>
      </c>
      <c r="F979" s="1" t="inlineStr">
        <is>
          <t>m2</t>
        </is>
      </c>
      <c r="G979" s="1" t="inlineStr">
        <is>
          <t>Porcelain</t>
        </is>
      </c>
      <c r="H979" s="1" t="inlineStr">
        <is>
          <t>Satin</t>
        </is>
      </c>
      <c r="I979" t="n">
        <v>32</v>
      </c>
    </row>
    <row r="980">
      <c r="A980" s="1">
        <f>Hyperlink("https://www.tilemountain.co.uk/p/swing-decor-multicolor-04.html","Product")</f>
        <v/>
      </c>
      <c r="B980" s="1" t="inlineStr">
        <is>
          <t>446405</t>
        </is>
      </c>
      <c r="C980" s="1" t="inlineStr">
        <is>
          <t>Swing Decor Beige Multicolour Stripe Wall and Floor Tiles</t>
        </is>
      </c>
      <c r="D980" s="1" t="n">
        <v>29.99</v>
      </c>
      <c r="E980" s="1" t="inlineStr">
        <is>
          <t>203x203mm</t>
        </is>
      </c>
      <c r="F980" s="1" t="inlineStr">
        <is>
          <t>m2</t>
        </is>
      </c>
      <c r="G980" s="1" t="inlineStr">
        <is>
          <t>Porcelain</t>
        </is>
      </c>
      <c r="H980" s="1" t="inlineStr">
        <is>
          <t>Satin</t>
        </is>
      </c>
      <c r="I980" t="n">
        <v>34</v>
      </c>
    </row>
    <row r="981">
      <c r="A981" s="1">
        <f>Hyperlink("https://www.tilemountain.co.uk/p/swing-decor-night-day-carpet.html","Product")</f>
        <v/>
      </c>
      <c r="B981" s="1" t="inlineStr">
        <is>
          <t>446415</t>
        </is>
      </c>
      <c r="C981" s="1" t="inlineStr">
        <is>
          <t>Swing Decor Night &amp; Day Carpet Mix Wall and Floor Tiles</t>
        </is>
      </c>
      <c r="D981" s="1" t="n">
        <v>29.99</v>
      </c>
      <c r="E981" s="1" t="inlineStr">
        <is>
          <t>203x203mm</t>
        </is>
      </c>
      <c r="F981" s="1" t="inlineStr">
        <is>
          <t>m2</t>
        </is>
      </c>
      <c r="G981" s="1" t="inlineStr">
        <is>
          <t>Porcelain</t>
        </is>
      </c>
      <c r="H981" s="1" t="inlineStr">
        <is>
          <t>Satin</t>
        </is>
      </c>
      <c r="I981" t="inlineStr">
        <is>
          <t>More Stock due 19/11/21</t>
        </is>
      </c>
    </row>
    <row r="982">
      <c r="A982" s="1">
        <f>Hyperlink("https://www.tilemountain.co.uk/p/swing-grey.html","Product")</f>
        <v/>
      </c>
      <c r="B982" s="1" t="inlineStr">
        <is>
          <t>446385</t>
        </is>
      </c>
      <c r="C982" s="1" t="inlineStr">
        <is>
          <t>Swing Grey Wall and Floor Tiles</t>
        </is>
      </c>
      <c r="D982" s="1" t="n">
        <v>24.99</v>
      </c>
      <c r="E982" s="1" t="inlineStr">
        <is>
          <t>203x203mm</t>
        </is>
      </c>
      <c r="F982" s="1" t="inlineStr">
        <is>
          <t>m2</t>
        </is>
      </c>
      <c r="G982" s="1" t="inlineStr">
        <is>
          <t>Porcelain</t>
        </is>
      </c>
      <c r="H982" s="1" t="inlineStr">
        <is>
          <t>Satin</t>
        </is>
      </c>
      <c r="I982" t="n">
        <v>60</v>
      </c>
    </row>
    <row r="983">
      <c r="A983" s="1">
        <f>Hyperlink("https://www.tilemountain.co.uk/p/swing-ice.html","Product")</f>
        <v/>
      </c>
      <c r="B983" s="1" t="inlineStr">
        <is>
          <t>446375</t>
        </is>
      </c>
      <c r="C983" s="1" t="inlineStr">
        <is>
          <t>Swing Ice Wall and Floor Tiles</t>
        </is>
      </c>
      <c r="D983" s="1" t="n">
        <v>24.99</v>
      </c>
      <c r="E983" s="1" t="inlineStr">
        <is>
          <t>203x203mm</t>
        </is>
      </c>
      <c r="F983" s="1" t="inlineStr">
        <is>
          <t>m2</t>
        </is>
      </c>
      <c r="G983" s="1" t="inlineStr">
        <is>
          <t>Porcelain</t>
        </is>
      </c>
      <c r="H983" s="1" t="inlineStr">
        <is>
          <t>Satin</t>
        </is>
      </c>
      <c r="I983" t="n">
        <v>30</v>
      </c>
    </row>
    <row r="984">
      <c r="A984" s="1">
        <f>Hyperlink("https://www.tilemountain.co.uk/p/tacora-beige-wood-effect-porcelain-wall-floor-tile.html","Product")</f>
        <v/>
      </c>
      <c r="B984" s="1" t="inlineStr">
        <is>
          <t>449740</t>
        </is>
      </c>
      <c r="C984" s="1" t="inlineStr">
        <is>
          <t>Tacora Beige Wood Effect Porcelain Wall &amp; Floor Tile</t>
        </is>
      </c>
      <c r="D984" s="1" t="n">
        <v>18.99</v>
      </c>
      <c r="E984" s="1" t="inlineStr">
        <is>
          <t>1200x230mm</t>
        </is>
      </c>
      <c r="F984" s="1" t="inlineStr">
        <is>
          <t>m2</t>
        </is>
      </c>
      <c r="G984" s="1" t="inlineStr">
        <is>
          <t>Porcelain</t>
        </is>
      </c>
      <c r="H984" s="1" t="inlineStr">
        <is>
          <t>Matt</t>
        </is>
      </c>
      <c r="I984" t="n">
        <v>61</v>
      </c>
    </row>
    <row r="985">
      <c r="A985" s="1">
        <f>Hyperlink("https://www.tilemountain.co.uk/p/tacora-brown-wood-effect-porcelain-wall-floor-tile.html","Product")</f>
        <v/>
      </c>
      <c r="B985" s="1" t="inlineStr">
        <is>
          <t>449750</t>
        </is>
      </c>
      <c r="C985" s="1" t="inlineStr">
        <is>
          <t>Tacora Brown Wood Effect Porcelain Wall &amp; Floor Tile</t>
        </is>
      </c>
      <c r="D985" s="1" t="n">
        <v>18.99</v>
      </c>
      <c r="E985" s="1" t="inlineStr">
        <is>
          <t>1200x230mm</t>
        </is>
      </c>
      <c r="F985" s="1" t="inlineStr">
        <is>
          <t>m2</t>
        </is>
      </c>
      <c r="G985" s="1" t="inlineStr">
        <is>
          <t>Porcelain</t>
        </is>
      </c>
      <c r="H985" s="1" t="inlineStr">
        <is>
          <t>Matt</t>
        </is>
      </c>
      <c r="I985" t="n">
        <v>267</v>
      </c>
    </row>
    <row r="986">
      <c r="A986" s="1">
        <f>Hyperlink("https://www.tilemountain.co.uk/p/tacora-camel-wood-effect-porcelain-wall-floor-tile.html","Product")</f>
        <v/>
      </c>
      <c r="B986" s="1" t="inlineStr">
        <is>
          <t>449745</t>
        </is>
      </c>
      <c r="C986" s="1" t="inlineStr">
        <is>
          <t>Tacora Camel Wood Effect Porcelain Wall &amp; Floor Tile</t>
        </is>
      </c>
      <c r="D986" s="1" t="n">
        <v>18.99</v>
      </c>
      <c r="E986" s="1" t="inlineStr">
        <is>
          <t>1200x230mm</t>
        </is>
      </c>
      <c r="F986" s="1" t="inlineStr">
        <is>
          <t>m2</t>
        </is>
      </c>
      <c r="G986" s="1" t="inlineStr">
        <is>
          <t>Porcelain</t>
        </is>
      </c>
      <c r="H986" s="1" t="inlineStr">
        <is>
          <t>Matt</t>
        </is>
      </c>
      <c r="I986" t="n">
        <v>168</v>
      </c>
    </row>
    <row r="987">
      <c r="A987" s="1">
        <f>Hyperlink("https://www.tilemountain.co.uk/p/tacora-grey-wood-effect-porcelain-wall-floor-tile_1.html","Product")</f>
        <v/>
      </c>
      <c r="B987" s="1" t="inlineStr">
        <is>
          <t>449870</t>
        </is>
      </c>
      <c r="C987" s="1" t="inlineStr">
        <is>
          <t>Tacora Grey Wood Effect Porcelain Wall &amp; Floor Tile</t>
        </is>
      </c>
      <c r="D987" s="1" t="n">
        <v>18.99</v>
      </c>
      <c r="E987" s="1" t="inlineStr">
        <is>
          <t>1200x230mm</t>
        </is>
      </c>
      <c r="F987" s="1" t="inlineStr">
        <is>
          <t>m2</t>
        </is>
      </c>
      <c r="G987" s="1" t="inlineStr">
        <is>
          <t>Porcelain</t>
        </is>
      </c>
      <c r="H987" s="1" t="inlineStr">
        <is>
          <t>Matt</t>
        </is>
      </c>
      <c r="I987" t="n">
        <v>127</v>
      </c>
    </row>
    <row r="988">
      <c r="A988" s="1">
        <f>Hyperlink("https://www.tilemountain.co.uk/p/tacora-white-wood-effect-porcelain-wall-floor-tile.html","Product")</f>
        <v/>
      </c>
      <c r="B988" s="1" t="inlineStr">
        <is>
          <t>449735</t>
        </is>
      </c>
      <c r="C988" s="1" t="inlineStr">
        <is>
          <t>Tacora White Wood Effect Porcelain Wall &amp; Floor Tile</t>
        </is>
      </c>
      <c r="D988" s="1" t="n">
        <v>18.99</v>
      </c>
      <c r="E988" s="1" t="inlineStr">
        <is>
          <t>1200x230mm</t>
        </is>
      </c>
      <c r="F988" s="1" t="inlineStr">
        <is>
          <t>m2</t>
        </is>
      </c>
      <c r="G988" s="1" t="inlineStr">
        <is>
          <t>Porcelain</t>
        </is>
      </c>
      <c r="H988" s="1" t="inlineStr">
        <is>
          <t>Matt</t>
        </is>
      </c>
      <c r="I988" t="n">
        <v>468</v>
      </c>
    </row>
    <row r="989">
      <c r="A989" s="1">
        <f>Hyperlink("https://www.tilemountain.co.uk/p/talent-beige-decor-wall-tile.html","Product")</f>
        <v/>
      </c>
      <c r="B989" s="1" t="inlineStr">
        <is>
          <t>451440</t>
        </is>
      </c>
      <c r="C989" s="1" t="inlineStr">
        <is>
          <t>Talent Beige Decor Wall Tile</t>
        </is>
      </c>
      <c r="D989" s="1" t="n">
        <v>11.99</v>
      </c>
      <c r="E989" s="1" t="inlineStr">
        <is>
          <t>500x250mm</t>
        </is>
      </c>
      <c r="F989" s="1" t="inlineStr">
        <is>
          <t>m2</t>
        </is>
      </c>
      <c r="G989" s="1" t="inlineStr">
        <is>
          <t>Ceramic</t>
        </is>
      </c>
      <c r="H989" s="1" t="inlineStr">
        <is>
          <t>Matt</t>
        </is>
      </c>
      <c r="I989" t="n">
        <v>170</v>
      </c>
    </row>
    <row r="990">
      <c r="A990" s="1">
        <f>Hyperlink("https://www.tilemountain.co.uk/p/talent-beige-porcelain-floor-tile.html","Product")</f>
        <v/>
      </c>
      <c r="B990" s="1" t="inlineStr">
        <is>
          <t>451450</t>
        </is>
      </c>
      <c r="C990" s="1" t="inlineStr">
        <is>
          <t>Talent Beige Porcelain Floor Tile</t>
        </is>
      </c>
      <c r="D990" s="1" t="n">
        <v>12.99</v>
      </c>
      <c r="E990" s="1" t="inlineStr">
        <is>
          <t>450x450mm</t>
        </is>
      </c>
      <c r="F990" s="1" t="inlineStr">
        <is>
          <t>m2</t>
        </is>
      </c>
      <c r="G990" s="1" t="inlineStr">
        <is>
          <t>Porcelain</t>
        </is>
      </c>
      <c r="H990" s="1" t="inlineStr">
        <is>
          <t>Matt</t>
        </is>
      </c>
      <c r="I990" t="n">
        <v>262</v>
      </c>
    </row>
    <row r="991">
      <c r="A991" s="1">
        <f>Hyperlink("https://www.tilemountain.co.uk/p/talent-beige-wall-tile.html","Product")</f>
        <v/>
      </c>
      <c r="B991" s="1" t="inlineStr">
        <is>
          <t>451425</t>
        </is>
      </c>
      <c r="C991" s="1" t="inlineStr">
        <is>
          <t>Talent Beige Wall Tile</t>
        </is>
      </c>
      <c r="D991" s="1" t="n">
        <v>11.99</v>
      </c>
      <c r="E991" s="1" t="inlineStr">
        <is>
          <t>500x250mm</t>
        </is>
      </c>
      <c r="F991" s="1" t="inlineStr">
        <is>
          <t>m2</t>
        </is>
      </c>
      <c r="G991" s="1" t="inlineStr">
        <is>
          <t>Ceramic</t>
        </is>
      </c>
      <c r="H991" s="1" t="inlineStr">
        <is>
          <t>Matt</t>
        </is>
      </c>
      <c r="I991" t="n">
        <v>217</v>
      </c>
    </row>
    <row r="992">
      <c r="A992" s="1">
        <f>Hyperlink("https://www.tilemountain.co.uk/p/talent-grey-porcelain-floor-tile.html","Product")</f>
        <v/>
      </c>
      <c r="B992" s="1" t="inlineStr">
        <is>
          <t>451455</t>
        </is>
      </c>
      <c r="C992" s="1" t="inlineStr">
        <is>
          <t>Talent Grey Porcelain Floor Tile</t>
        </is>
      </c>
      <c r="D992" s="1" t="n">
        <v>12.99</v>
      </c>
      <c r="E992" s="1" t="inlineStr">
        <is>
          <t>450x450mm</t>
        </is>
      </c>
      <c r="F992" s="1" t="inlineStr">
        <is>
          <t>m2</t>
        </is>
      </c>
      <c r="G992" s="1" t="inlineStr">
        <is>
          <t>Porcelain</t>
        </is>
      </c>
      <c r="H992" s="1" t="inlineStr">
        <is>
          <t>Matt</t>
        </is>
      </c>
      <c r="I992" t="n">
        <v>151</v>
      </c>
    </row>
    <row r="993">
      <c r="A993" s="1">
        <f>Hyperlink("https://www.tilemountain.co.uk/p/talent-grey-wall-tile.html","Product")</f>
        <v/>
      </c>
      <c r="B993" s="1" t="inlineStr">
        <is>
          <t>451430</t>
        </is>
      </c>
      <c r="C993" s="1" t="inlineStr">
        <is>
          <t>Talent Grey Wall Tile</t>
        </is>
      </c>
      <c r="D993" s="1" t="n">
        <v>11.99</v>
      </c>
      <c r="E993" s="1" t="inlineStr">
        <is>
          <t>500x250mm</t>
        </is>
      </c>
      <c r="F993" s="1" t="inlineStr">
        <is>
          <t>m2</t>
        </is>
      </c>
      <c r="G993" s="1" t="inlineStr">
        <is>
          <t>Ceramic</t>
        </is>
      </c>
      <c r="H993" s="1" t="inlineStr">
        <is>
          <t>Matt</t>
        </is>
      </c>
      <c r="I993" t="inlineStr">
        <is>
          <t>More Stock due 19/10/21</t>
        </is>
      </c>
    </row>
    <row r="994">
      <c r="A994" s="1">
        <f>Hyperlink("https://www.tilemountain.co.uk/p/talent-white-decor-wall-tile.html","Product")</f>
        <v/>
      </c>
      <c r="B994" s="1" t="inlineStr">
        <is>
          <t>451445</t>
        </is>
      </c>
      <c r="C994" s="1" t="inlineStr">
        <is>
          <t>Talent White Decor Wall Tile</t>
        </is>
      </c>
      <c r="D994" s="1" t="n">
        <v>11.99</v>
      </c>
      <c r="E994" s="1" t="inlineStr">
        <is>
          <t>500x250mm</t>
        </is>
      </c>
      <c r="F994" s="1" t="inlineStr">
        <is>
          <t>m2</t>
        </is>
      </c>
      <c r="G994" s="1" t="inlineStr">
        <is>
          <t>Ceramic</t>
        </is>
      </c>
      <c r="H994" s="1" t="inlineStr">
        <is>
          <t>Matt</t>
        </is>
      </c>
      <c r="I994" t="n">
        <v>149</v>
      </c>
    </row>
    <row r="995">
      <c r="A995" s="1">
        <f>Hyperlink("https://www.tilemountain.co.uk/p/talent-white-porcelain-floor-tile.html","Product")</f>
        <v/>
      </c>
      <c r="B995" s="1" t="inlineStr">
        <is>
          <t>451460</t>
        </is>
      </c>
      <c r="C995" s="1" t="inlineStr">
        <is>
          <t>Talent White Porcelain Floor Tile</t>
        </is>
      </c>
      <c r="D995" s="1" t="n">
        <v>12.99</v>
      </c>
      <c r="E995" s="1" t="inlineStr">
        <is>
          <t>450x450mm</t>
        </is>
      </c>
      <c r="F995" s="1" t="inlineStr">
        <is>
          <t>m2</t>
        </is>
      </c>
      <c r="G995" s="1" t="inlineStr">
        <is>
          <t>Porcelain</t>
        </is>
      </c>
      <c r="H995" s="1" t="inlineStr">
        <is>
          <t>Matt</t>
        </is>
      </c>
      <c r="I995" t="n">
        <v>87</v>
      </c>
    </row>
    <row r="996">
      <c r="A996" s="1">
        <f>Hyperlink("https://www.tilemountain.co.uk/p/talent-white-wall-tile.html","Product")</f>
        <v/>
      </c>
      <c r="B996" s="1" t="inlineStr">
        <is>
          <t>451435</t>
        </is>
      </c>
      <c r="C996" s="1" t="inlineStr">
        <is>
          <t>Talent White Wall Tile</t>
        </is>
      </c>
      <c r="D996" s="1" t="n">
        <v>11.99</v>
      </c>
      <c r="E996" s="1" t="inlineStr">
        <is>
          <t>500x250mm</t>
        </is>
      </c>
      <c r="F996" s="1" t="inlineStr">
        <is>
          <t>m2</t>
        </is>
      </c>
      <c r="G996" s="1" t="inlineStr">
        <is>
          <t>Ceramic</t>
        </is>
      </c>
      <c r="H996" s="1" t="inlineStr">
        <is>
          <t>Matt</t>
        </is>
      </c>
      <c r="I996" t="n">
        <v>490</v>
      </c>
    </row>
    <row r="997">
      <c r="A997" s="1">
        <f>Hyperlink("https://www.tilemountain.co.uk/p/techstone-grey-stone-effect-porcelain-floor-tile_1.html","Product")</f>
        <v/>
      </c>
      <c r="B997" s="1" t="inlineStr">
        <is>
          <t>449935</t>
        </is>
      </c>
      <c r="C997" s="1" t="inlineStr">
        <is>
          <t>Rocastone Grey Stone Effect Porcelain Floor Tile</t>
        </is>
      </c>
      <c r="D997" s="1" t="n">
        <v>14.99</v>
      </c>
      <c r="E997" s="1" t="inlineStr">
        <is>
          <t>600x600mm</t>
        </is>
      </c>
      <c r="F997" s="1" t="inlineStr">
        <is>
          <t>m2</t>
        </is>
      </c>
      <c r="G997" s="1" t="inlineStr">
        <is>
          <t>Porcelain</t>
        </is>
      </c>
      <c r="H997" s="1" t="inlineStr">
        <is>
          <t>Matt</t>
        </is>
      </c>
      <c r="I997" t="n">
        <v>1078</v>
      </c>
    </row>
    <row r="998">
      <c r="A998" s="1">
        <f>Hyperlink("https://www.tilemountain.co.uk/p/tejos-ceniza.html","Product")</f>
        <v/>
      </c>
      <c r="B998" s="1" t="inlineStr">
        <is>
          <t>452305</t>
        </is>
      </c>
      <c r="C998" s="1" t="inlineStr">
        <is>
          <t>Tejos Grey Porcelain Wood Effect Floor Tile</t>
        </is>
      </c>
      <c r="D998" s="1" t="n">
        <v>14.99</v>
      </c>
      <c r="E998" s="1" t="inlineStr">
        <is>
          <t>1000x250mm</t>
        </is>
      </c>
      <c r="F998" s="1" t="inlineStr">
        <is>
          <t>m2</t>
        </is>
      </c>
      <c r="G998" s="1" t="inlineStr">
        <is>
          <t>Porcelain</t>
        </is>
      </c>
      <c r="H998" s="1" t="inlineStr">
        <is>
          <t>Matt</t>
        </is>
      </c>
      <c r="I998" t="n">
        <v>293</v>
      </c>
    </row>
    <row r="999">
      <c r="A999" s="1">
        <f>Hyperlink("https://www.tilemountain.co.uk/p/tejos-cerezo.html","Product")</f>
        <v/>
      </c>
      <c r="B999" s="1" t="inlineStr">
        <is>
          <t>452310</t>
        </is>
      </c>
      <c r="C999" s="1" t="inlineStr">
        <is>
          <t>Tejos Medium Oak Porcelain Wood Effect Floor Tile</t>
        </is>
      </c>
      <c r="D999" s="1" t="n">
        <v>14.99</v>
      </c>
      <c r="E999" s="1" t="inlineStr">
        <is>
          <t>1000x250mm</t>
        </is>
      </c>
      <c r="F999" s="1" t="inlineStr">
        <is>
          <t>m2</t>
        </is>
      </c>
      <c r="G999" s="1" t="inlineStr">
        <is>
          <t>Porcelain</t>
        </is>
      </c>
      <c r="H999" s="1" t="inlineStr">
        <is>
          <t>Matt</t>
        </is>
      </c>
      <c r="I999" t="n">
        <v>55</v>
      </c>
    </row>
    <row r="1000">
      <c r="A1000" s="1">
        <f>Hyperlink("https://www.tilemountain.co.uk/p/tejos-haya.html","Product")</f>
        <v/>
      </c>
      <c r="B1000" s="1" t="inlineStr">
        <is>
          <t>452295</t>
        </is>
      </c>
      <c r="C1000" s="1" t="inlineStr">
        <is>
          <t>Tejos Greige Porcelain Wood Effect Floor Tile</t>
        </is>
      </c>
      <c r="D1000" s="1" t="n">
        <v>14.99</v>
      </c>
      <c r="E1000" s="1" t="inlineStr">
        <is>
          <t>1000x250mm</t>
        </is>
      </c>
      <c r="F1000" s="1" t="inlineStr">
        <is>
          <t>m2</t>
        </is>
      </c>
      <c r="G1000" s="1" t="inlineStr">
        <is>
          <t>Porcelain</t>
        </is>
      </c>
      <c r="H1000" s="1" t="inlineStr">
        <is>
          <t>Matt</t>
        </is>
      </c>
      <c r="I1000" t="n">
        <v>212</v>
      </c>
    </row>
    <row r="1001">
      <c r="A1001" s="1">
        <f>Hyperlink("https://www.tilemountain.co.uk/p/tejos-oak-roble.html","Product")</f>
        <v/>
      </c>
      <c r="B1001" s="1" t="inlineStr">
        <is>
          <t>452300</t>
        </is>
      </c>
      <c r="C1001" s="1" t="inlineStr">
        <is>
          <t>Tejos Light Oak Porcelain Wood Effect Floor Tile</t>
        </is>
      </c>
      <c r="D1001" s="1" t="n">
        <v>14.99</v>
      </c>
      <c r="E1001" s="1" t="inlineStr">
        <is>
          <t>1000x250mm</t>
        </is>
      </c>
      <c r="F1001" s="1" t="inlineStr">
        <is>
          <t>m2</t>
        </is>
      </c>
      <c r="G1001" s="1" t="inlineStr">
        <is>
          <t>Porcelain</t>
        </is>
      </c>
      <c r="H1001" s="1" t="inlineStr">
        <is>
          <t>Matt</t>
        </is>
      </c>
      <c r="I1001" t="n">
        <v>604</v>
      </c>
    </row>
    <row r="1002">
      <c r="A1002" s="1">
        <f>Hyperlink("https://www.tilemountain.co.uk/p/terrazzo-grigio-3604.html","Product")</f>
        <v/>
      </c>
      <c r="B1002" s="1" t="inlineStr">
        <is>
          <t>444275</t>
        </is>
      </c>
      <c r="C1002" s="1" t="inlineStr">
        <is>
          <t>Terrazzo Grey Outdoor Porcelain Slab Tiles</t>
        </is>
      </c>
      <c r="D1002" s="1" t="n">
        <v>28.99</v>
      </c>
      <c r="E1002" s="1" t="inlineStr">
        <is>
          <t>600x600mm</t>
        </is>
      </c>
      <c r="F1002" s="1" t="inlineStr">
        <is>
          <t>m2</t>
        </is>
      </c>
      <c r="G1002" s="1" t="inlineStr">
        <is>
          <t>Porcelain</t>
        </is>
      </c>
      <c r="H1002" s="1" t="inlineStr">
        <is>
          <t>Matt</t>
        </is>
      </c>
      <c r="I1002" t="n">
        <v>1035</v>
      </c>
    </row>
    <row r="1003">
      <c r="A1003" s="1">
        <f>Hyperlink("https://www.tilemountain.co.uk/p/terrazzo-mix-anthracite-wall-floor-tiles-75x75cm.html","Product")</f>
        <v/>
      </c>
      <c r="B1003" s="1" t="inlineStr">
        <is>
          <t>449135</t>
        </is>
      </c>
      <c r="C1003" s="1" t="inlineStr">
        <is>
          <t>Terrazzo Mix Anthracite Wall and Floor Tiles</t>
        </is>
      </c>
      <c r="D1003" s="1" t="n">
        <v>34.99</v>
      </c>
      <c r="E1003" s="1" t="inlineStr">
        <is>
          <t>750x750mm</t>
        </is>
      </c>
      <c r="F1003" s="1" t="inlineStr">
        <is>
          <t>m2</t>
        </is>
      </c>
      <c r="G1003" s="1" t="inlineStr">
        <is>
          <t>Porcelain</t>
        </is>
      </c>
      <c r="H1003" s="1" t="inlineStr">
        <is>
          <t>Matt</t>
        </is>
      </c>
      <c r="I1003" t="n">
        <v>24</v>
      </c>
    </row>
    <row r="1004">
      <c r="A1004" s="1">
        <f>Hyperlink("https://www.tilemountain.co.uk/p/testarabesco-grey-glass-mosaic.html","Product")</f>
        <v/>
      </c>
      <c r="B1004" s="1" t="inlineStr">
        <is>
          <t>453715</t>
        </is>
      </c>
      <c r="C1004" s="1" t="inlineStr">
        <is>
          <t>Arabesco Grey Glass Mosaic</t>
        </is>
      </c>
      <c r="D1004" s="1" t="n">
        <v>14.99</v>
      </c>
      <c r="E1004" s="1" t="inlineStr">
        <is>
          <t>300x300mm</t>
        </is>
      </c>
      <c r="F1004" s="1" t="inlineStr">
        <is>
          <t>sheet</t>
        </is>
      </c>
      <c r="G1004" s="1" t="inlineStr">
        <is>
          <t>Glass</t>
        </is>
      </c>
      <c r="H1004" s="1" t="inlineStr">
        <is>
          <t>Gloss</t>
        </is>
      </c>
      <c r="I1004" t="inlineStr">
        <is>
          <t>In Stock</t>
        </is>
      </c>
    </row>
    <row r="1005">
      <c r="A1005" s="1">
        <f>Hyperlink("https://www.tilemountain.co.uk/p/tile-levelling-pliers.html","Product")</f>
        <v/>
      </c>
      <c r="B1005" s="1" t="inlineStr">
        <is>
          <t>450870</t>
        </is>
      </c>
      <c r="C1005" s="1" t="inlineStr">
        <is>
          <t>Tile Levelling Pliers</t>
        </is>
      </c>
      <c r="D1005" s="1" t="n">
        <v>12.99</v>
      </c>
      <c r="E1005" s="1" t="inlineStr">
        <is>
          <t>-</t>
        </is>
      </c>
      <c r="F1005" s="1" t="inlineStr">
        <is>
          <t>Qty</t>
        </is>
      </c>
      <c r="G1005" s="1" t="inlineStr">
        <is>
          <t>-</t>
        </is>
      </c>
      <c r="H1005" s="1" t="inlineStr">
        <is>
          <t>-</t>
        </is>
      </c>
      <c r="I1005" t="n">
        <v>24</v>
      </c>
    </row>
    <row r="1006">
      <c r="A1006" s="1">
        <f>Hyperlink("https://www.tilemountain.co.uk/p/tile-levelling-wedges-100-per-pack.html","Product")</f>
        <v/>
      </c>
      <c r="B1006" s="1" t="inlineStr">
        <is>
          <t>450855</t>
        </is>
      </c>
      <c r="C1006" s="1" t="inlineStr">
        <is>
          <t>Tile Levelling Wedges - 100 per pack</t>
        </is>
      </c>
      <c r="D1006" s="1" t="n">
        <v>7.99</v>
      </c>
      <c r="E1006" s="1" t="inlineStr">
        <is>
          <t>-</t>
        </is>
      </c>
      <c r="F1006" s="1" t="inlineStr">
        <is>
          <t>Qty</t>
        </is>
      </c>
      <c r="G1006" s="1" t="inlineStr">
        <is>
          <t>-</t>
        </is>
      </c>
      <c r="H1006" s="1" t="inlineStr">
        <is>
          <t>-</t>
        </is>
      </c>
      <c r="I1006" t="n">
        <v>50</v>
      </c>
    </row>
    <row r="1007">
      <c r="A1007" s="1">
        <f>Hyperlink("https://www.tilemountain.co.uk/p/tile-wedges.html","Product")</f>
        <v/>
      </c>
      <c r="B1007" s="1" t="inlineStr">
        <is>
          <t>450790</t>
        </is>
      </c>
      <c r="C1007" s="1" t="inlineStr">
        <is>
          <t>Tile Wedges</t>
        </is>
      </c>
      <c r="D1007" s="1" t="n">
        <v>2.99</v>
      </c>
      <c r="E1007" s="1" t="inlineStr">
        <is>
          <t>-</t>
        </is>
      </c>
      <c r="F1007" s="1" t="inlineStr">
        <is>
          <t>Qty</t>
        </is>
      </c>
      <c r="G1007" s="1" t="inlineStr">
        <is>
          <t>-</t>
        </is>
      </c>
      <c r="H1007" s="1" t="inlineStr">
        <is>
          <t>-</t>
        </is>
      </c>
      <c r="I1007" t="inlineStr">
        <is>
          <t>In Stock</t>
        </is>
      </c>
    </row>
    <row r="1008">
      <c r="A1008" s="1">
        <f>Hyperlink("https://www.tilemountain.co.uk/p/titanio-beige-floor-tile.html","Product")</f>
        <v/>
      </c>
      <c r="B1008" s="1" t="inlineStr">
        <is>
          <t>452540</t>
        </is>
      </c>
      <c r="C1008" s="1" t="inlineStr">
        <is>
          <t>Titanio Beige Floor Tile</t>
        </is>
      </c>
      <c r="D1008" s="1" t="n">
        <v>14.99</v>
      </c>
      <c r="E1008" s="1" t="inlineStr">
        <is>
          <t>600x600mm</t>
        </is>
      </c>
      <c r="F1008" s="1" t="inlineStr">
        <is>
          <t>m2</t>
        </is>
      </c>
      <c r="G1008" s="1" t="inlineStr">
        <is>
          <t>Porcelain</t>
        </is>
      </c>
      <c r="H1008" s="1" t="inlineStr">
        <is>
          <t>Matt</t>
        </is>
      </c>
      <c r="I1008" t="n">
        <v>40</v>
      </c>
    </row>
    <row r="1009">
      <c r="A1009" s="1">
        <f>Hyperlink("https://www.tilemountain.co.uk/p/titanio-beige-wall-and-floor-tile.html","Product")</f>
        <v/>
      </c>
      <c r="B1009" s="1" t="inlineStr">
        <is>
          <t>452525</t>
        </is>
      </c>
      <c r="C1009" s="1" t="inlineStr">
        <is>
          <t>Titanio Beige Wall and Floor Tile</t>
        </is>
      </c>
      <c r="D1009" s="1" t="n">
        <v>14.99</v>
      </c>
      <c r="E1009" s="1" t="inlineStr">
        <is>
          <t>600x300mm</t>
        </is>
      </c>
      <c r="F1009" s="1" t="inlineStr">
        <is>
          <t>m2</t>
        </is>
      </c>
      <c r="G1009" s="1" t="inlineStr">
        <is>
          <t>Porcelain</t>
        </is>
      </c>
      <c r="H1009" s="1" t="inlineStr">
        <is>
          <t>Matt</t>
        </is>
      </c>
      <c r="I1009" t="n">
        <v>535</v>
      </c>
    </row>
    <row r="1010">
      <c r="A1010" s="1">
        <f>Hyperlink("https://www.tilemountain.co.uk/p/titanio-grafito-floor-tile.html","Product")</f>
        <v/>
      </c>
      <c r="B1010" s="1" t="inlineStr">
        <is>
          <t>452550</t>
        </is>
      </c>
      <c r="C1010" s="1" t="inlineStr">
        <is>
          <t>Titanio Grafito Floor Tile</t>
        </is>
      </c>
      <c r="D1010" s="1" t="n">
        <v>14.99</v>
      </c>
      <c r="E1010" s="1" t="inlineStr">
        <is>
          <t>600x600mm</t>
        </is>
      </c>
      <c r="F1010" s="1" t="inlineStr">
        <is>
          <t>m2</t>
        </is>
      </c>
      <c r="G1010" s="1" t="inlineStr">
        <is>
          <t>Porcelain</t>
        </is>
      </c>
      <c r="H1010" s="1" t="inlineStr">
        <is>
          <t>Matt</t>
        </is>
      </c>
      <c r="I1010" t="n">
        <v>251</v>
      </c>
    </row>
    <row r="1011">
      <c r="A1011" s="1">
        <f>Hyperlink("https://www.tilemountain.co.uk/p/titanio-grafito-wall-and-floor-tile.html","Product")</f>
        <v/>
      </c>
      <c r="B1011" s="1" t="inlineStr">
        <is>
          <t>452535</t>
        </is>
      </c>
      <c r="C1011" s="1" t="inlineStr">
        <is>
          <t>Titanio Grafito Wall and Floor Tile</t>
        </is>
      </c>
      <c r="D1011" s="1" t="n">
        <v>14.99</v>
      </c>
      <c r="E1011" s="1" t="inlineStr">
        <is>
          <t>600x300mm</t>
        </is>
      </c>
      <c r="F1011" s="1" t="inlineStr">
        <is>
          <t>m2</t>
        </is>
      </c>
      <c r="G1011" s="1" t="inlineStr">
        <is>
          <t>Porcelain</t>
        </is>
      </c>
      <c r="H1011" s="1" t="inlineStr">
        <is>
          <t>Matt</t>
        </is>
      </c>
      <c r="I1011" t="n">
        <v>306</v>
      </c>
    </row>
    <row r="1012">
      <c r="A1012" s="1">
        <f>Hyperlink("https://www.tilemountain.co.uk/p/titanio-grey-floor-tile_1.html","Product")</f>
        <v/>
      </c>
      <c r="B1012" s="1" t="inlineStr">
        <is>
          <t>452545</t>
        </is>
      </c>
      <c r="C1012" s="1" t="inlineStr">
        <is>
          <t>Titanio Grey Floor Tile</t>
        </is>
      </c>
      <c r="D1012" s="1" t="n">
        <v>14.99</v>
      </c>
      <c r="E1012" s="1" t="inlineStr">
        <is>
          <t>600x600mm</t>
        </is>
      </c>
      <c r="F1012" s="1" t="inlineStr">
        <is>
          <t>m2</t>
        </is>
      </c>
      <c r="G1012" s="1" t="inlineStr">
        <is>
          <t>Porcelain</t>
        </is>
      </c>
      <c r="H1012" s="1" t="inlineStr">
        <is>
          <t>Matt</t>
        </is>
      </c>
      <c r="I1012" t="n">
        <v>1004</v>
      </c>
    </row>
    <row r="1013">
      <c r="A1013" s="1">
        <f>Hyperlink("https://www.tilemountain.co.uk/p/titanio-grey-wall-and-floor-tile.html","Product")</f>
        <v/>
      </c>
      <c r="B1013" s="1" t="inlineStr">
        <is>
          <t>452530</t>
        </is>
      </c>
      <c r="C1013" s="1" t="inlineStr">
        <is>
          <t>Titanio Grey Wall and Floor Tile</t>
        </is>
      </c>
      <c r="D1013" s="1" t="n">
        <v>14.99</v>
      </c>
      <c r="E1013" s="1" t="inlineStr">
        <is>
          <t>600x300mm</t>
        </is>
      </c>
      <c r="F1013" s="1" t="inlineStr">
        <is>
          <t>m2</t>
        </is>
      </c>
      <c r="G1013" s="1" t="inlineStr">
        <is>
          <t>Porcelain</t>
        </is>
      </c>
      <c r="H1013" s="1" t="inlineStr">
        <is>
          <t>Matt</t>
        </is>
      </c>
      <c r="I1013" t="n">
        <v>663</v>
      </c>
    </row>
    <row r="1014">
      <c r="A1014" s="1">
        <f>Hyperlink("https://www.tilemountain.co.uk/p/tones-charcoal-wall-tile.html","Product")</f>
        <v/>
      </c>
      <c r="B1014" s="1" t="inlineStr">
        <is>
          <t>433685</t>
        </is>
      </c>
      <c r="C1014" s="1" t="inlineStr">
        <is>
          <t>Tones Charcoal Wall Tiles</t>
        </is>
      </c>
      <c r="D1014" s="1" t="n">
        <v>24.99</v>
      </c>
      <c r="E1014" s="1" t="inlineStr">
        <is>
          <t>150x400mm</t>
        </is>
      </c>
      <c r="F1014" s="1" t="inlineStr">
        <is>
          <t>m2</t>
        </is>
      </c>
      <c r="G1014" s="1" t="inlineStr">
        <is>
          <t>Ceramic</t>
        </is>
      </c>
      <c r="H1014" s="1" t="inlineStr">
        <is>
          <t>Matt</t>
        </is>
      </c>
      <c r="I1014" t="n">
        <v>20</v>
      </c>
    </row>
    <row r="1015">
      <c r="A1015" s="1">
        <f>Hyperlink("https://www.tilemountain.co.uk/p/tones-cream-wall-tile.html","Product")</f>
        <v/>
      </c>
      <c r="B1015" s="1" t="inlineStr">
        <is>
          <t>433660</t>
        </is>
      </c>
      <c r="C1015" s="1" t="inlineStr">
        <is>
          <t>Tones Cream Wall Tiles</t>
        </is>
      </c>
      <c r="D1015" s="1" t="n">
        <v>24.99</v>
      </c>
      <c r="E1015" s="1" t="inlineStr">
        <is>
          <t>150x400mm</t>
        </is>
      </c>
      <c r="F1015" s="1" t="inlineStr">
        <is>
          <t>m2</t>
        </is>
      </c>
      <c r="G1015" s="1" t="inlineStr">
        <is>
          <t>Ceramic</t>
        </is>
      </c>
      <c r="H1015" s="1" t="inlineStr">
        <is>
          <t>Matt</t>
        </is>
      </c>
      <c r="I1015" t="n">
        <v>23</v>
      </c>
    </row>
    <row r="1016">
      <c r="A1016" s="1">
        <f>Hyperlink("https://www.tilemountain.co.uk/p/tones-nano-white-wall-tile.html","Product")</f>
        <v/>
      </c>
      <c r="B1016" s="1" t="inlineStr">
        <is>
          <t>433715</t>
        </is>
      </c>
      <c r="C1016" s="1" t="inlineStr">
        <is>
          <t>Tones Nano White Wall Tiles</t>
        </is>
      </c>
      <c r="D1016" s="1" t="n">
        <v>29.99</v>
      </c>
      <c r="E1016" s="1" t="inlineStr">
        <is>
          <t>150x400mm</t>
        </is>
      </c>
      <c r="F1016" s="1" t="inlineStr">
        <is>
          <t>m2</t>
        </is>
      </c>
      <c r="G1016" s="1" t="inlineStr">
        <is>
          <t>Ceramic</t>
        </is>
      </c>
      <c r="H1016" s="1" t="inlineStr">
        <is>
          <t>Matt</t>
        </is>
      </c>
      <c r="I1016" t="n">
        <v>45</v>
      </c>
    </row>
    <row r="1017">
      <c r="A1017" s="1">
        <f>Hyperlink("https://www.tilemountain.co.uk/p/tones-smoke-wall-tile.html","Product")</f>
        <v/>
      </c>
      <c r="B1017" s="1" t="inlineStr">
        <is>
          <t>433680</t>
        </is>
      </c>
      <c r="C1017" s="1" t="inlineStr">
        <is>
          <t>Tones Smoke Wall Tiles</t>
        </is>
      </c>
      <c r="D1017" s="1" t="n">
        <v>29.99</v>
      </c>
      <c r="E1017" s="1" t="inlineStr">
        <is>
          <t>150x400mm</t>
        </is>
      </c>
      <c r="F1017" s="1" t="inlineStr">
        <is>
          <t>m2</t>
        </is>
      </c>
      <c r="G1017" s="1" t="inlineStr">
        <is>
          <t>Ceramic</t>
        </is>
      </c>
      <c r="H1017" s="1" t="inlineStr">
        <is>
          <t>Matt</t>
        </is>
      </c>
      <c r="I1017" t="n">
        <v>35</v>
      </c>
    </row>
    <row r="1018">
      <c r="A1018" s="1">
        <f>Hyperlink("https://www.tilemountain.co.uk/p/tones-steam-wall-tile.html","Product")</f>
        <v/>
      </c>
      <c r="B1018" s="1" t="inlineStr">
        <is>
          <t>433675</t>
        </is>
      </c>
      <c r="C1018" s="1" t="inlineStr">
        <is>
          <t>Tones Steam Wall Tiles</t>
        </is>
      </c>
      <c r="D1018" s="1" t="n">
        <v>27.99</v>
      </c>
      <c r="E1018" s="1" t="inlineStr">
        <is>
          <t>150x400mm</t>
        </is>
      </c>
      <c r="F1018" s="1" t="inlineStr">
        <is>
          <t>m2</t>
        </is>
      </c>
      <c r="G1018" s="1" t="inlineStr">
        <is>
          <t>Ceramic</t>
        </is>
      </c>
      <c r="H1018" s="1" t="inlineStr">
        <is>
          <t>Matt</t>
        </is>
      </c>
      <c r="I1018" t="n">
        <v>16</v>
      </c>
    </row>
    <row r="1019">
      <c r="A1019" s="1">
        <f>Hyperlink("https://www.tilemountain.co.uk/p/tones-wave-white-wall-tile.html","Product")</f>
        <v/>
      </c>
      <c r="B1019" s="1" t="inlineStr">
        <is>
          <t>433725</t>
        </is>
      </c>
      <c r="C1019" s="1" t="inlineStr">
        <is>
          <t>Tones Wave White Wall Tiles</t>
        </is>
      </c>
      <c r="D1019" s="1" t="n">
        <v>29.99</v>
      </c>
      <c r="E1019" s="1" t="inlineStr">
        <is>
          <t>150x400mm</t>
        </is>
      </c>
      <c r="F1019" s="1" t="inlineStr">
        <is>
          <t>m2</t>
        </is>
      </c>
      <c r="G1019" s="1" t="inlineStr">
        <is>
          <t>Ceramic</t>
        </is>
      </c>
      <c r="H1019" s="1" t="inlineStr">
        <is>
          <t>Matt</t>
        </is>
      </c>
      <c r="I1019" t="n">
        <v>55</v>
      </c>
    </row>
    <row r="1020">
      <c r="A1020" s="1">
        <f>Hyperlink("https://www.tilemountain.co.uk/p/tones-white-wall-tile.html","Product")</f>
        <v/>
      </c>
      <c r="B1020" s="1" t="inlineStr">
        <is>
          <t>433655</t>
        </is>
      </c>
      <c r="C1020" s="1" t="inlineStr">
        <is>
          <t>Tones White Wall Tiles</t>
        </is>
      </c>
      <c r="D1020" s="1" t="n">
        <v>24.99</v>
      </c>
      <c r="E1020" s="1" t="inlineStr">
        <is>
          <t>150x400mm</t>
        </is>
      </c>
      <c r="F1020" s="1" t="inlineStr">
        <is>
          <t>m2</t>
        </is>
      </c>
      <c r="G1020" s="1" t="inlineStr">
        <is>
          <t>Ceramic</t>
        </is>
      </c>
      <c r="H1020" s="1" t="inlineStr">
        <is>
          <t>Matt</t>
        </is>
      </c>
      <c r="I1020" t="n">
        <v>64</v>
      </c>
    </row>
    <row r="1021">
      <c r="A1021" s="1">
        <f>Hyperlink("https://www.tilemountain.co.uk/p/topcem-20kg-pallet-deal-50-bags.html","Product")</f>
        <v/>
      </c>
      <c r="B1021" s="1" t="inlineStr">
        <is>
          <t>024620-pd</t>
        </is>
      </c>
      <c r="C1021" s="1" t="inlineStr">
        <is>
          <t>TopCem 20kg Pallet Deal- 50 Bags</t>
        </is>
      </c>
      <c r="D1021" s="1" t="n">
        <v>629.99</v>
      </c>
      <c r="E1021" s="1" t="inlineStr">
        <is>
          <t>PALLET</t>
        </is>
      </c>
      <c r="F1021" s="1" t="inlineStr">
        <is>
          <t>Qty</t>
        </is>
      </c>
      <c r="G1021" s="1" t="inlineStr">
        <is>
          <t>-</t>
        </is>
      </c>
      <c r="H1021" s="1" t="inlineStr">
        <is>
          <t>-</t>
        </is>
      </c>
      <c r="I1021" t="inlineStr">
        <is>
          <t>In Stock</t>
        </is>
      </c>
    </row>
    <row r="1022">
      <c r="A1022" s="1">
        <f>Hyperlink("https://www.tilemountain.co.uk/p/topcem.html","Product")</f>
        <v/>
      </c>
      <c r="B1022" s="1" t="inlineStr">
        <is>
          <t>024620</t>
        </is>
      </c>
      <c r="C1022" s="1" t="inlineStr">
        <is>
          <t>TopCem 20KG</t>
        </is>
      </c>
      <c r="D1022" s="1" t="n">
        <v>16.99</v>
      </c>
      <c r="E1022" s="1" t="inlineStr">
        <is>
          <t>-</t>
        </is>
      </c>
      <c r="F1022" s="1" t="inlineStr">
        <is>
          <t>Qty</t>
        </is>
      </c>
      <c r="G1022" s="1" t="inlineStr">
        <is>
          <t>-</t>
        </is>
      </c>
      <c r="H1022" s="1" t="inlineStr">
        <is>
          <t>-</t>
        </is>
      </c>
      <c r="I1022" t="inlineStr">
        <is>
          <t>In Stock</t>
        </is>
      </c>
    </row>
    <row r="1023">
      <c r="A1023" s="1">
        <f>Hyperlink("https://www.tilemountain.co.uk/p/torino-grey-wall-tile.html","Product")</f>
        <v/>
      </c>
      <c r="B1023" s="1" t="inlineStr">
        <is>
          <t>452565</t>
        </is>
      </c>
      <c r="C1023" s="1" t="inlineStr">
        <is>
          <t>Torino Grey Wall Tile</t>
        </is>
      </c>
      <c r="D1023" s="1" t="n">
        <v>12.99</v>
      </c>
      <c r="E1023" s="1" t="inlineStr">
        <is>
          <t>600x300mm</t>
        </is>
      </c>
      <c r="F1023" s="1" t="inlineStr">
        <is>
          <t>m2</t>
        </is>
      </c>
      <c r="G1023" s="1" t="inlineStr">
        <is>
          <t>Ceramic</t>
        </is>
      </c>
      <c r="H1023" s="1" t="inlineStr">
        <is>
          <t>Matt</t>
        </is>
      </c>
      <c r="I1023" t="n">
        <v>350</v>
      </c>
    </row>
    <row r="1024">
      <c r="A1024" s="1">
        <f>Hyperlink("https://www.tilemountain.co.uk/p/torino-ivory-breeze-wall-tile.html","Product")</f>
        <v/>
      </c>
      <c r="B1024" s="1" t="inlineStr">
        <is>
          <t>452570</t>
        </is>
      </c>
      <c r="C1024" s="1" t="inlineStr">
        <is>
          <t>Torino Light Grey Breeze Wall Tile</t>
        </is>
      </c>
      <c r="D1024" s="1" t="n">
        <v>13.99</v>
      </c>
      <c r="E1024" s="1" t="inlineStr">
        <is>
          <t>600x300mm</t>
        </is>
      </c>
      <c r="F1024" s="1" t="inlineStr">
        <is>
          <t>m2</t>
        </is>
      </c>
      <c r="G1024" s="1" t="inlineStr">
        <is>
          <t>Ceramic</t>
        </is>
      </c>
      <c r="H1024" s="1" t="inlineStr">
        <is>
          <t>Matt</t>
        </is>
      </c>
      <c r="I1024" t="n">
        <v>225</v>
      </c>
    </row>
    <row r="1025">
      <c r="A1025" s="1">
        <f>Hyperlink("https://www.tilemountain.co.uk/p/torino-ivory-floor-tile.html","Product")</f>
        <v/>
      </c>
      <c r="B1025" s="1" t="inlineStr">
        <is>
          <t>452575</t>
        </is>
      </c>
      <c r="C1025" s="1" t="inlineStr">
        <is>
          <t>Torino Light Grey Floor Tile</t>
        </is>
      </c>
      <c r="D1025" s="1" t="n">
        <v>12.99</v>
      </c>
      <c r="E1025" s="1" t="inlineStr">
        <is>
          <t>450x450mm</t>
        </is>
      </c>
      <c r="F1025" s="1" t="inlineStr">
        <is>
          <t>m2</t>
        </is>
      </c>
      <c r="G1025" s="1" t="inlineStr">
        <is>
          <t>Ceramic</t>
        </is>
      </c>
      <c r="H1025" s="1" t="inlineStr">
        <is>
          <t>Matt</t>
        </is>
      </c>
      <c r="I1025" t="n">
        <v>180</v>
      </c>
    </row>
    <row r="1026">
      <c r="A1026" s="1">
        <f>Hyperlink("https://www.tilemountain.co.uk/p/torino-ivory-wall-tile.html","Product")</f>
        <v/>
      </c>
      <c r="B1026" s="1" t="inlineStr">
        <is>
          <t>452560</t>
        </is>
      </c>
      <c r="C1026" s="1" t="inlineStr">
        <is>
          <t>Torino Light Grey Wall Tile</t>
        </is>
      </c>
      <c r="D1026" s="1" t="n">
        <v>12.99</v>
      </c>
      <c r="E1026" s="1" t="inlineStr">
        <is>
          <t>600x300mm</t>
        </is>
      </c>
      <c r="F1026" s="1" t="inlineStr">
        <is>
          <t>m2</t>
        </is>
      </c>
      <c r="G1026" s="1" t="inlineStr">
        <is>
          <t>Ceramic</t>
        </is>
      </c>
      <c r="H1026" s="1" t="inlineStr">
        <is>
          <t>Matt</t>
        </is>
      </c>
      <c r="I1026" t="n">
        <v>608</v>
      </c>
    </row>
    <row r="1027">
      <c r="A1027" s="1">
        <f>Hyperlink("https://www.tilemountain.co.uk/p/toscana-mixed-mosaic.html","Product")</f>
        <v/>
      </c>
      <c r="B1027" s="1" t="inlineStr">
        <is>
          <t>439815</t>
        </is>
      </c>
      <c r="C1027" s="1" t="inlineStr">
        <is>
          <t>Toscana Mixed Mosaic</t>
        </is>
      </c>
      <c r="D1027" s="1" t="n">
        <v>6.99</v>
      </c>
      <c r="E1027" s="1" t="inlineStr">
        <is>
          <t>300x300mm</t>
        </is>
      </c>
      <c r="F1027" s="1" t="inlineStr">
        <is>
          <t>sheet</t>
        </is>
      </c>
      <c r="G1027" s="1" t="inlineStr">
        <is>
          <t>Porcelain</t>
        </is>
      </c>
      <c r="H1027" s="1" t="inlineStr">
        <is>
          <t>Matt</t>
        </is>
      </c>
      <c r="I1027" t="n">
        <v>402</v>
      </c>
    </row>
    <row r="1028">
      <c r="A1028" s="1">
        <f>Hyperlink("https://www.tilemountain.co.uk/p/toscana-silver-wall-and-floor-tile.html","Product")</f>
        <v/>
      </c>
      <c r="B1028" s="1" t="inlineStr">
        <is>
          <t>439690</t>
        </is>
      </c>
      <c r="C1028" s="1" t="inlineStr">
        <is>
          <t>Toscana Silver Rectified Wall And Floor Tiles</t>
        </is>
      </c>
      <c r="D1028" s="1" t="n">
        <v>17.99</v>
      </c>
      <c r="E1028" s="1" t="inlineStr">
        <is>
          <t>585x292mm</t>
        </is>
      </c>
      <c r="F1028" s="1" t="inlineStr">
        <is>
          <t>m2</t>
        </is>
      </c>
      <c r="G1028" s="1" t="inlineStr">
        <is>
          <t>Porcelain</t>
        </is>
      </c>
      <c r="H1028" s="1" t="inlineStr">
        <is>
          <t>Matt</t>
        </is>
      </c>
      <c r="I1028" t="n">
        <v>1766</v>
      </c>
    </row>
    <row r="1029">
      <c r="A1029" s="1">
        <f>Hyperlink("https://www.tilemountain.co.uk/p/traditional-red-brick-quarry-tile.html","Product")</f>
        <v/>
      </c>
      <c r="B1029" s="1" t="inlineStr">
        <is>
          <t>439590</t>
        </is>
      </c>
      <c r="C1029" s="1" t="inlineStr">
        <is>
          <t>Moorland Red Brick Quarry Tiles</t>
        </is>
      </c>
      <c r="D1029" s="1" t="n">
        <v>14.99</v>
      </c>
      <c r="E1029" s="1" t="inlineStr">
        <is>
          <t>240x55mm</t>
        </is>
      </c>
      <c r="F1029" s="1" t="inlineStr">
        <is>
          <t>m2</t>
        </is>
      </c>
      <c r="G1029" s="1" t="inlineStr">
        <is>
          <t>Natural Clay</t>
        </is>
      </c>
      <c r="H1029" s="1" t="inlineStr">
        <is>
          <t>Matt</t>
        </is>
      </c>
      <c r="I1029" t="n">
        <v>18</v>
      </c>
    </row>
    <row r="1030">
      <c r="A1030" s="1">
        <f>Hyperlink("https://www.tilemountain.co.uk/p/trend-grafito-decor.html","Product")</f>
        <v/>
      </c>
      <c r="B1030" s="1" t="inlineStr">
        <is>
          <t>454825</t>
        </is>
      </c>
      <c r="C1030" s="1" t="inlineStr">
        <is>
          <t>Trend Black Terrazo Multicolour Wall and Floor Tile</t>
        </is>
      </c>
      <c r="D1030" s="1" t="n">
        <v>19.99</v>
      </c>
      <c r="E1030" s="1" t="inlineStr">
        <is>
          <t>600x600mm</t>
        </is>
      </c>
      <c r="F1030" s="1" t="inlineStr">
        <is>
          <t>m2</t>
        </is>
      </c>
      <c r="G1030" s="1" t="inlineStr">
        <is>
          <t>Porcelain</t>
        </is>
      </c>
      <c r="H1030" s="1" t="inlineStr">
        <is>
          <t>Matt</t>
        </is>
      </c>
      <c r="I1030" t="n">
        <v>421</v>
      </c>
    </row>
    <row r="1031">
      <c r="A1031" s="1">
        <f>Hyperlink("https://www.tilemountain.co.uk/p/trend-grafito.html","Product")</f>
        <v/>
      </c>
      <c r="B1031" s="1" t="inlineStr">
        <is>
          <t>454820</t>
        </is>
      </c>
      <c r="C1031" s="1" t="inlineStr">
        <is>
          <t>Trend Black Terrazo Wall and Floor Tile</t>
        </is>
      </c>
      <c r="D1031" s="1" t="n">
        <v>19.99</v>
      </c>
      <c r="E1031" s="1" t="inlineStr">
        <is>
          <t>600x600mm</t>
        </is>
      </c>
      <c r="F1031" s="1" t="inlineStr">
        <is>
          <t>m2</t>
        </is>
      </c>
      <c r="G1031" s="1" t="inlineStr">
        <is>
          <t>Porcelain</t>
        </is>
      </c>
      <c r="H1031" s="1" t="inlineStr">
        <is>
          <t>Matt</t>
        </is>
      </c>
      <c r="I1031" t="n">
        <v>462</v>
      </c>
    </row>
    <row r="1032">
      <c r="A1032" s="1">
        <f>Hyperlink("https://www.tilemountain.co.uk/p/trend-nacar-decor.html","Product")</f>
        <v/>
      </c>
      <c r="B1032" s="1" t="inlineStr">
        <is>
          <t>454835</t>
        </is>
      </c>
      <c r="C1032" s="1" t="inlineStr">
        <is>
          <t>Trend White Terrazo Multicolour Wall and Floor Tile</t>
        </is>
      </c>
      <c r="D1032" s="1" t="n">
        <v>19.99</v>
      </c>
      <c r="E1032" s="1" t="inlineStr">
        <is>
          <t>600x600mm</t>
        </is>
      </c>
      <c r="F1032" s="1" t="inlineStr">
        <is>
          <t>m2</t>
        </is>
      </c>
      <c r="G1032" s="1" t="inlineStr">
        <is>
          <t>Porcelain</t>
        </is>
      </c>
      <c r="H1032" s="1" t="inlineStr">
        <is>
          <t>Matt</t>
        </is>
      </c>
      <c r="I1032" t="n">
        <v>274</v>
      </c>
    </row>
    <row r="1033">
      <c r="A1033" s="1">
        <f>Hyperlink("https://www.tilemountain.co.uk/p/trend-nacar.html","Product")</f>
        <v/>
      </c>
      <c r="B1033" s="1" t="inlineStr">
        <is>
          <t>454830</t>
        </is>
      </c>
      <c r="C1033" s="1" t="inlineStr">
        <is>
          <t>Trend White Terrazo Wall and Floor Tile</t>
        </is>
      </c>
      <c r="D1033" s="1" t="n">
        <v>19.99</v>
      </c>
      <c r="E1033" s="1" t="inlineStr">
        <is>
          <t>600x600mm</t>
        </is>
      </c>
      <c r="F1033" s="1" t="inlineStr">
        <is>
          <t>m2</t>
        </is>
      </c>
      <c r="G1033" s="1" t="inlineStr">
        <is>
          <t>Porcelain</t>
        </is>
      </c>
      <c r="H1033" s="1" t="inlineStr">
        <is>
          <t>Matt</t>
        </is>
      </c>
      <c r="I1033" t="n">
        <v>399</v>
      </c>
    </row>
    <row r="1034">
      <c r="A1034" s="1">
        <f>Hyperlink("https://www.tilemountain.co.uk/p/trinity-lux-black-porcelain-wall-and-floor-tile.html","Product")</f>
        <v/>
      </c>
      <c r="B1034" s="1" t="inlineStr">
        <is>
          <t>442935</t>
        </is>
      </c>
      <c r="C1034" s="1" t="inlineStr">
        <is>
          <t>Trinity Lux Black Porcelain Wall And Floor Tiles</t>
        </is>
      </c>
      <c r="D1034" s="1" t="n">
        <v>27</v>
      </c>
      <c r="E1034" s="1" t="inlineStr">
        <is>
          <t>300x600mm</t>
        </is>
      </c>
      <c r="F1034" s="1" t="inlineStr">
        <is>
          <t>m2</t>
        </is>
      </c>
      <c r="G1034" s="1" t="inlineStr">
        <is>
          <t>Porcelain</t>
        </is>
      </c>
      <c r="H1034" s="1" t="inlineStr">
        <is>
          <t>Semi Polished</t>
        </is>
      </c>
      <c r="I1034" t="n">
        <v>94</v>
      </c>
    </row>
    <row r="1035">
      <c r="A1035" s="1">
        <f>Hyperlink("https://www.tilemountain.co.uk/p/trinity-lux-grey-porcelain-wall-and-floor-tile-3455.html","Product")</f>
        <v/>
      </c>
      <c r="B1035" s="1" t="inlineStr">
        <is>
          <t>443570</t>
        </is>
      </c>
      <c r="C1035" s="1" t="inlineStr">
        <is>
          <t>Trinity Lux Grey Porcelain Wall And Floor Tiles</t>
        </is>
      </c>
      <c r="D1035" s="1" t="n">
        <v>26.99</v>
      </c>
      <c r="E1035" s="1" t="inlineStr">
        <is>
          <t>600x600mm</t>
        </is>
      </c>
      <c r="F1035" s="1" t="inlineStr">
        <is>
          <t>m2</t>
        </is>
      </c>
      <c r="G1035" s="1" t="inlineStr">
        <is>
          <t>Porcelain</t>
        </is>
      </c>
      <c r="H1035" s="1" t="inlineStr">
        <is>
          <t>Semi Polished</t>
        </is>
      </c>
      <c r="I1035" t="n">
        <v>144</v>
      </c>
    </row>
    <row r="1036">
      <c r="A1036" s="1">
        <f>Hyperlink("https://www.tilemountain.co.uk/p/trinity-lux-white-porcelain-wall-and-floor-tile-3300.html","Product")</f>
        <v/>
      </c>
      <c r="B1036" s="1" t="inlineStr">
        <is>
          <t>442940</t>
        </is>
      </c>
      <c r="C1036" s="1" t="inlineStr">
        <is>
          <t>Trinity Lux White Porcelain Wall And Floor Tiles</t>
        </is>
      </c>
      <c r="D1036" s="1" t="n">
        <v>27</v>
      </c>
      <c r="E1036" s="1" t="inlineStr">
        <is>
          <t>600x600mm</t>
        </is>
      </c>
      <c r="F1036" s="1" t="inlineStr">
        <is>
          <t>m2</t>
        </is>
      </c>
      <c r="G1036" s="1" t="inlineStr">
        <is>
          <t>Porcelain</t>
        </is>
      </c>
      <c r="H1036" s="1" t="inlineStr">
        <is>
          <t>Semi Polished</t>
        </is>
      </c>
      <c r="I1036" t="n">
        <v>260</v>
      </c>
    </row>
    <row r="1037">
      <c r="A1037" s="1">
        <f>Hyperlink("https://www.tilemountain.co.uk/p/trinity-lux-white-porcelain-wall-and-floor-tile.html","Product")</f>
        <v/>
      </c>
      <c r="B1037" s="1" t="inlineStr">
        <is>
          <t>442930</t>
        </is>
      </c>
      <c r="C1037" s="1" t="inlineStr">
        <is>
          <t>Trinity Lux White Porcelain Wall And Floor Tiles</t>
        </is>
      </c>
      <c r="D1037" s="1" t="n">
        <v>27</v>
      </c>
      <c r="E1037" s="1" t="inlineStr">
        <is>
          <t>300x600mm</t>
        </is>
      </c>
      <c r="F1037" s="1" t="inlineStr">
        <is>
          <t>m2</t>
        </is>
      </c>
      <c r="G1037" s="1" t="inlineStr">
        <is>
          <t>Porcelain</t>
        </is>
      </c>
      <c r="H1037" s="1" t="inlineStr">
        <is>
          <t>Semi Polished</t>
        </is>
      </c>
      <c r="I1037" t="n">
        <v>174</v>
      </c>
    </row>
    <row r="1038">
      <c r="A1038" s="1">
        <f>Hyperlink("https://www.tilemountain.co.uk/p/ultim8-wall-tile-adhesive-5539.html","Product")</f>
        <v/>
      </c>
      <c r="B1038" s="1" t="inlineStr">
        <is>
          <t>451270</t>
        </is>
      </c>
      <c r="C1038" s="1" t="inlineStr">
        <is>
          <t>Norcros Ultim8+ Wall Tile Adhesive</t>
        </is>
      </c>
      <c r="D1038" s="1" t="n">
        <v>17.99</v>
      </c>
      <c r="E1038" s="1" t="inlineStr">
        <is>
          <t>-</t>
        </is>
      </c>
      <c r="F1038" s="1" t="inlineStr">
        <is>
          <t>Qty</t>
        </is>
      </c>
      <c r="G1038" s="1" t="inlineStr">
        <is>
          <t>-</t>
        </is>
      </c>
      <c r="H1038" s="1" t="inlineStr">
        <is>
          <t>-</t>
        </is>
      </c>
      <c r="I1038" t="n">
        <v>12</v>
      </c>
    </row>
    <row r="1039">
      <c r="A1039" s="1">
        <f>Hyperlink("https://www.tilemountain.co.uk/p/ultim8-wall-tile-adhesive.html","Product")</f>
        <v/>
      </c>
      <c r="B1039" s="1" t="inlineStr">
        <is>
          <t>451265</t>
        </is>
      </c>
      <c r="C1039" s="1" t="inlineStr">
        <is>
          <t>Norcros Ultim8 Wall Tile Adhesive</t>
        </is>
      </c>
      <c r="D1039" s="1" t="n">
        <v>12.99</v>
      </c>
      <c r="E1039" s="1" t="inlineStr">
        <is>
          <t>-</t>
        </is>
      </c>
      <c r="F1039" s="1" t="inlineStr">
        <is>
          <t>Qty</t>
        </is>
      </c>
      <c r="G1039" s="1" t="inlineStr">
        <is>
          <t>-</t>
        </is>
      </c>
      <c r="H1039" s="1" t="inlineStr">
        <is>
          <t>-</t>
        </is>
      </c>
      <c r="I1039" t="n">
        <v>13</v>
      </c>
    </row>
    <row r="1040">
      <c r="A1040" s="1">
        <f>Hyperlink("https://www.tilemountain.co.uk/p/ultracolor-anthracite-charcoal-114-flexible-grout-5kg.html","Product")</f>
        <v/>
      </c>
      <c r="B1040" s="1" t="inlineStr">
        <is>
          <t>6011405A</t>
        </is>
      </c>
      <c r="C1040" s="1" t="inlineStr">
        <is>
          <t>Ultracolor Anthracite (Charcoal) 114 Flexible Grout 5kg</t>
        </is>
      </c>
      <c r="D1040" s="1" t="n">
        <v>15.49</v>
      </c>
      <c r="E1040" s="1" t="inlineStr">
        <is>
          <t>-</t>
        </is>
      </c>
      <c r="F1040" s="1" t="inlineStr">
        <is>
          <t>Qty</t>
        </is>
      </c>
      <c r="G1040" s="1" t="inlineStr">
        <is>
          <t>-</t>
        </is>
      </c>
      <c r="H1040" s="1" t="inlineStr">
        <is>
          <t>-</t>
        </is>
      </c>
      <c r="I1040" t="inlineStr">
        <is>
          <t>In Stock</t>
        </is>
      </c>
    </row>
    <row r="1041">
      <c r="A1041" s="1">
        <f>Hyperlink("https://www.tilemountain.co.uk/p/ultracolor-beige-132-flexible-grout-5kg.html","Product")</f>
        <v/>
      </c>
      <c r="B1041" s="1" t="inlineStr">
        <is>
          <t>6013205A</t>
        </is>
      </c>
      <c r="C1041" s="1" t="inlineStr">
        <is>
          <t>Ultracolor Beige 132 Flexible Grout 5kg</t>
        </is>
      </c>
      <c r="D1041" s="1" t="n">
        <v>15.49</v>
      </c>
      <c r="E1041" s="1" t="inlineStr">
        <is>
          <t>-</t>
        </is>
      </c>
      <c r="F1041" s="1" t="inlineStr">
        <is>
          <t>Qty</t>
        </is>
      </c>
      <c r="G1041" s="1" t="inlineStr">
        <is>
          <t>-</t>
        </is>
      </c>
      <c r="H1041" s="1" t="inlineStr">
        <is>
          <t>-</t>
        </is>
      </c>
      <c r="I1041" t="inlineStr">
        <is>
          <t>In Stock</t>
        </is>
      </c>
    </row>
    <row r="1042">
      <c r="A1042" s="1">
        <f>Hyperlink("https://www.tilemountain.co.uk/p/ultracolor-beige-132-grout-2kg.html","Product")</f>
        <v/>
      </c>
      <c r="B1042" s="1" t="inlineStr">
        <is>
          <t>6013202A</t>
        </is>
      </c>
      <c r="C1042" s="1" t="inlineStr">
        <is>
          <t>Ultracolor Beige 132 Grout 2kg</t>
        </is>
      </c>
      <c r="D1042" s="1" t="n">
        <v>8.99</v>
      </c>
      <c r="E1042" s="1" t="inlineStr">
        <is>
          <t>-</t>
        </is>
      </c>
      <c r="F1042" s="1" t="inlineStr">
        <is>
          <t>Qty</t>
        </is>
      </c>
      <c r="G1042" s="1" t="inlineStr">
        <is>
          <t>-</t>
        </is>
      </c>
      <c r="H1042" s="1" t="inlineStr">
        <is>
          <t>-</t>
        </is>
      </c>
      <c r="I1042" t="inlineStr">
        <is>
          <t>More Stock due 22/10/21</t>
        </is>
      </c>
    </row>
    <row r="1043">
      <c r="A1043" s="1">
        <f>Hyperlink("https://www.tilemountain.co.uk/p/ultracolor-black-120-grout-2kg.html","Product")</f>
        <v/>
      </c>
      <c r="B1043" s="1" t="inlineStr">
        <is>
          <t>6012002A</t>
        </is>
      </c>
      <c r="C1043" s="1" t="inlineStr">
        <is>
          <t>Ultracolor Black 120 Grout 2kg</t>
        </is>
      </c>
      <c r="D1043" s="1" t="n">
        <v>8.99</v>
      </c>
      <c r="E1043" s="1" t="inlineStr">
        <is>
          <t>-</t>
        </is>
      </c>
      <c r="F1043" s="1" t="inlineStr">
        <is>
          <t>Qty</t>
        </is>
      </c>
      <c r="G1043" s="1" t="inlineStr">
        <is>
          <t>-</t>
        </is>
      </c>
      <c r="H1043" s="1" t="inlineStr">
        <is>
          <t>-</t>
        </is>
      </c>
      <c r="I1043" t="n">
        <v>13</v>
      </c>
    </row>
    <row r="1044">
      <c r="A1044" s="1">
        <f>Hyperlink("https://www.tilemountain.co.uk/p/ultracolor-brown-142-flexible-grout-2kg.html","Product")</f>
        <v/>
      </c>
      <c r="B1044" s="1" t="inlineStr">
        <is>
          <t>6014202A</t>
        </is>
      </c>
      <c r="C1044" s="1" t="inlineStr">
        <is>
          <t>Ultracolor Brown 142 Flexible Grout 2kg</t>
        </is>
      </c>
      <c r="D1044" s="1" t="n">
        <v>8.99</v>
      </c>
      <c r="E1044" s="1" t="inlineStr">
        <is>
          <t>-</t>
        </is>
      </c>
      <c r="F1044" s="1" t="inlineStr">
        <is>
          <t>Qty</t>
        </is>
      </c>
      <c r="G1044" s="1" t="inlineStr">
        <is>
          <t>-</t>
        </is>
      </c>
      <c r="H1044" s="1" t="inlineStr">
        <is>
          <t>-</t>
        </is>
      </c>
      <c r="I1044" t="inlineStr">
        <is>
          <t>In Stock</t>
        </is>
      </c>
    </row>
    <row r="1045">
      <c r="A1045" s="1">
        <f>Hyperlink("https://www.tilemountain.co.uk/p/ultracolor-brown-142-flexible-grout-5kg.html","Product")</f>
        <v/>
      </c>
      <c r="B1045" s="1" t="inlineStr">
        <is>
          <t>435120</t>
        </is>
      </c>
      <c r="C1045" s="1" t="inlineStr">
        <is>
          <t>Ultracolor Brown 142 Flexible Grout 5kg</t>
        </is>
      </c>
      <c r="D1045" s="1" t="n">
        <v>15.49</v>
      </c>
      <c r="E1045" s="1" t="inlineStr">
        <is>
          <t>-</t>
        </is>
      </c>
      <c r="F1045" s="1" t="inlineStr">
        <is>
          <t>Qty</t>
        </is>
      </c>
      <c r="G1045" s="1" t="inlineStr">
        <is>
          <t>-</t>
        </is>
      </c>
      <c r="H1045" s="1" t="inlineStr">
        <is>
          <t>-</t>
        </is>
      </c>
      <c r="I1045" t="n">
        <v>15</v>
      </c>
    </row>
    <row r="1046">
      <c r="A1046" s="1">
        <f>Hyperlink("https://www.tilemountain.co.uk/p/ultracolor-cement-grey-113-flexible-grout-5kg.html","Product")</f>
        <v/>
      </c>
      <c r="B1046" s="1" t="inlineStr">
        <is>
          <t>6011305A</t>
        </is>
      </c>
      <c r="C1046" s="1" t="inlineStr">
        <is>
          <t>Ultracolor Cement Grey 113 Flexible Grout 5kg</t>
        </is>
      </c>
      <c r="D1046" s="1" t="n">
        <v>15.49</v>
      </c>
      <c r="E1046" s="1" t="inlineStr">
        <is>
          <t>-</t>
        </is>
      </c>
      <c r="F1046" s="1" t="inlineStr">
        <is>
          <t>Qty</t>
        </is>
      </c>
      <c r="G1046" s="1" t="inlineStr">
        <is>
          <t>-</t>
        </is>
      </c>
      <c r="H1046" s="1" t="inlineStr">
        <is>
          <t>-</t>
        </is>
      </c>
      <c r="I1046" t="inlineStr">
        <is>
          <t>In Stock</t>
        </is>
      </c>
    </row>
    <row r="1047">
      <c r="A1047" s="1">
        <f>Hyperlink("https://www.tilemountain.co.uk/p/ultracolor-cement-grey-113-grout-2kg.html","Product")</f>
        <v/>
      </c>
      <c r="B1047" s="1" t="inlineStr">
        <is>
          <t>6011302A</t>
        </is>
      </c>
      <c r="C1047" s="1" t="inlineStr">
        <is>
          <t>Ultracolor Cement Grey 113 Grout 2kg</t>
        </is>
      </c>
      <c r="D1047" s="1" t="n">
        <v>8.99</v>
      </c>
      <c r="E1047" s="1" t="inlineStr">
        <is>
          <t>-</t>
        </is>
      </c>
      <c r="F1047" s="1" t="inlineStr">
        <is>
          <t>Qty</t>
        </is>
      </c>
      <c r="G1047" s="1" t="inlineStr">
        <is>
          <t>-</t>
        </is>
      </c>
      <c r="H1047" s="1" t="inlineStr">
        <is>
          <t>-</t>
        </is>
      </c>
      <c r="I1047" t="n">
        <v>29</v>
      </c>
    </row>
    <row r="1048">
      <c r="A1048" s="1">
        <f>Hyperlink("https://www.tilemountain.co.uk/p/ultracolor-chocolate-144-flexible-grout-5kg.html","Product")</f>
        <v/>
      </c>
      <c r="B1048" s="1" t="inlineStr">
        <is>
          <t>6014405A</t>
        </is>
      </c>
      <c r="C1048" s="1" t="inlineStr">
        <is>
          <t>Ultracolor Chocolate 144 Flexible Grout 5kg</t>
        </is>
      </c>
      <c r="D1048" s="1" t="n">
        <v>15.49</v>
      </c>
      <c r="E1048" s="1" t="inlineStr">
        <is>
          <t>-</t>
        </is>
      </c>
      <c r="F1048" s="1" t="inlineStr">
        <is>
          <t>Qty</t>
        </is>
      </c>
      <c r="G1048" s="1" t="inlineStr">
        <is>
          <t>-</t>
        </is>
      </c>
      <c r="H1048" s="1" t="inlineStr">
        <is>
          <t>-</t>
        </is>
      </c>
      <c r="I1048" t="inlineStr">
        <is>
          <t>In Stock</t>
        </is>
      </c>
    </row>
    <row r="1049">
      <c r="A1049" s="1">
        <f>Hyperlink("https://www.tilemountain.co.uk/p/ultracolor-golden-dust-135-flexible-grout-5kg.html","Product")</f>
        <v/>
      </c>
      <c r="B1049" s="1" t="inlineStr">
        <is>
          <t>6013505A</t>
        </is>
      </c>
      <c r="C1049" s="1" t="inlineStr">
        <is>
          <t>Ultracolor Golden Dust 135 Flexible Grout 5kg</t>
        </is>
      </c>
      <c r="D1049" s="1" t="n">
        <v>15.49</v>
      </c>
      <c r="E1049" s="1" t="inlineStr">
        <is>
          <t>-</t>
        </is>
      </c>
      <c r="F1049" s="1" t="inlineStr">
        <is>
          <t>Qty</t>
        </is>
      </c>
      <c r="G1049" s="1" t="inlineStr">
        <is>
          <t>-</t>
        </is>
      </c>
      <c r="H1049" s="1" t="inlineStr">
        <is>
          <t>-</t>
        </is>
      </c>
      <c r="I1049" t="inlineStr">
        <is>
          <t>In Stock</t>
        </is>
      </c>
    </row>
    <row r="1050">
      <c r="A1050" s="1">
        <f>Hyperlink("https://www.tilemountain.co.uk/p/ultracolor-jasmine-130-grout-2kg.html","Product")</f>
        <v/>
      </c>
      <c r="B1050" s="1" t="inlineStr">
        <is>
          <t>6013002A</t>
        </is>
      </c>
      <c r="C1050" s="1" t="inlineStr">
        <is>
          <t>Ultracolor Jasmine 130 Grout 2kg</t>
        </is>
      </c>
      <c r="D1050" s="1" t="n">
        <v>8.99</v>
      </c>
      <c r="E1050" s="1" t="inlineStr">
        <is>
          <t>-</t>
        </is>
      </c>
      <c r="F1050" s="1" t="inlineStr">
        <is>
          <t>Qty</t>
        </is>
      </c>
      <c r="G1050" s="1" t="inlineStr">
        <is>
          <t>-</t>
        </is>
      </c>
      <c r="H1050" s="1" t="inlineStr">
        <is>
          <t>-</t>
        </is>
      </c>
      <c r="I1050" t="n">
        <v>18</v>
      </c>
    </row>
    <row r="1051">
      <c r="A1051" s="1">
        <f>Hyperlink("https://www.tilemountain.co.uk/p/ultracolor-jasmine-cream-130-flexible-grout-5kg.html","Product")</f>
        <v/>
      </c>
      <c r="B1051" s="1" t="inlineStr">
        <is>
          <t>6013005A</t>
        </is>
      </c>
      <c r="C1051" s="1" t="inlineStr">
        <is>
          <t>Ultracolor Jasmine (Cream) 130 Flexible Grout 5kg</t>
        </is>
      </c>
      <c r="D1051" s="1" t="n">
        <v>15.49</v>
      </c>
      <c r="E1051" s="1" t="inlineStr">
        <is>
          <t>-</t>
        </is>
      </c>
      <c r="F1051" s="1" t="inlineStr">
        <is>
          <t>Qty</t>
        </is>
      </c>
      <c r="G1051" s="1" t="inlineStr">
        <is>
          <t>-</t>
        </is>
      </c>
      <c r="H1051" s="1" t="inlineStr">
        <is>
          <t>-</t>
        </is>
      </c>
      <c r="I1051" t="n">
        <v>22</v>
      </c>
    </row>
    <row r="1052">
      <c r="A1052" s="1">
        <f>Hyperlink("https://www.tilemountain.co.uk/p/ultracolor-limestone-299-flexible-grout-5kg.html","Product")</f>
        <v/>
      </c>
      <c r="B1052" s="1" t="inlineStr">
        <is>
          <t>6029905A</t>
        </is>
      </c>
      <c r="C1052" s="1" t="inlineStr">
        <is>
          <t>Ultracolor Limestone 299 Flexible Grout 5kg</t>
        </is>
      </c>
      <c r="D1052" s="1" t="n">
        <v>15.49</v>
      </c>
      <c r="E1052" s="1" t="inlineStr">
        <is>
          <t>-</t>
        </is>
      </c>
      <c r="F1052" s="1" t="inlineStr">
        <is>
          <t>Qty</t>
        </is>
      </c>
      <c r="G1052" s="1" t="inlineStr">
        <is>
          <t>-</t>
        </is>
      </c>
      <c r="H1052" s="1" t="inlineStr">
        <is>
          <t>-</t>
        </is>
      </c>
      <c r="I1052" t="n">
        <v>27</v>
      </c>
    </row>
    <row r="1053">
      <c r="A1053" s="1">
        <f>Hyperlink("https://www.tilemountain.co.uk/p/ultracolor-london-grey-119-5kg.html","Product")</f>
        <v/>
      </c>
      <c r="B1053" s="1" t="inlineStr">
        <is>
          <t>6011905A</t>
        </is>
      </c>
      <c r="C1053" s="1" t="inlineStr">
        <is>
          <t>Ultracolor London Grey 119   5kg</t>
        </is>
      </c>
      <c r="D1053" s="1" t="n">
        <v>15.49</v>
      </c>
      <c r="E1053" s="1" t="inlineStr">
        <is>
          <t>-</t>
        </is>
      </c>
      <c r="F1053" s="1" t="inlineStr">
        <is>
          <t>Qty</t>
        </is>
      </c>
      <c r="G1053" s="1" t="inlineStr">
        <is>
          <t>-</t>
        </is>
      </c>
      <c r="H1053" s="1" t="inlineStr">
        <is>
          <t>-</t>
        </is>
      </c>
      <c r="I1053" t="n">
        <v>30</v>
      </c>
    </row>
    <row r="1054">
      <c r="A1054" s="1">
        <f>Hyperlink("https://www.tilemountain.co.uk/p/ultracolor-manhattan-110-grout-2kg.html","Product")</f>
        <v/>
      </c>
      <c r="B1054" s="1" t="inlineStr">
        <is>
          <t>6011002A</t>
        </is>
      </c>
      <c r="C1054" s="1" t="inlineStr">
        <is>
          <t>Ultracolor Manhattan 110 Grout 2kg</t>
        </is>
      </c>
      <c r="D1054" s="1" t="n">
        <v>8.99</v>
      </c>
      <c r="E1054" s="1" t="inlineStr">
        <is>
          <t>-</t>
        </is>
      </c>
      <c r="F1054" s="1" t="inlineStr">
        <is>
          <t>Qty</t>
        </is>
      </c>
      <c r="G1054" s="1" t="inlineStr">
        <is>
          <t>-</t>
        </is>
      </c>
      <c r="H1054" s="1" t="inlineStr">
        <is>
          <t>-</t>
        </is>
      </c>
      <c r="I1054" t="n">
        <v>31</v>
      </c>
    </row>
    <row r="1055">
      <c r="A1055" s="1">
        <f>Hyperlink("https://www.tilemountain.co.uk/p/ultracolor-manhattan-light-grey-110-flexible-grout-5kg.html","Product")</f>
        <v/>
      </c>
      <c r="B1055" s="1" t="inlineStr">
        <is>
          <t>6011005A</t>
        </is>
      </c>
      <c r="C1055" s="1" t="inlineStr">
        <is>
          <t>Ultracolor Manhattan (Light Grey) 110 Flexible Grout 5kg</t>
        </is>
      </c>
      <c r="D1055" s="1" t="n">
        <v>15.49</v>
      </c>
      <c r="E1055" s="1" t="inlineStr">
        <is>
          <t>-</t>
        </is>
      </c>
      <c r="F1055" s="1" t="inlineStr">
        <is>
          <t>Qty</t>
        </is>
      </c>
      <c r="G1055" s="1" t="inlineStr">
        <is>
          <t>-</t>
        </is>
      </c>
      <c r="H1055" s="1" t="inlineStr">
        <is>
          <t>-</t>
        </is>
      </c>
      <c r="I1055" t="n">
        <v>22</v>
      </c>
    </row>
    <row r="1056">
      <c r="A1056" s="1">
        <f>Hyperlink("https://www.tilemountain.co.uk/p/ultracolor-medium-grey-112-flexible-grout-5kg.html","Product")</f>
        <v/>
      </c>
      <c r="B1056" s="1" t="inlineStr">
        <is>
          <t>6011205A</t>
        </is>
      </c>
      <c r="C1056" s="1" t="inlineStr">
        <is>
          <t>Ultracolor Medium Grey 112 Flexible Grout 5kg</t>
        </is>
      </c>
      <c r="D1056" s="1" t="n">
        <v>15.49</v>
      </c>
      <c r="E1056" s="1" t="inlineStr">
        <is>
          <t>-</t>
        </is>
      </c>
      <c r="F1056" s="1" t="inlineStr">
        <is>
          <t>Qty</t>
        </is>
      </c>
      <c r="G1056" s="1" t="inlineStr">
        <is>
          <t>-</t>
        </is>
      </c>
      <c r="H1056" s="1" t="inlineStr">
        <is>
          <t>-</t>
        </is>
      </c>
      <c r="I1056" t="n">
        <v>65</v>
      </c>
    </row>
    <row r="1057">
      <c r="A1057" s="1">
        <f>Hyperlink("https://www.tilemountain.co.uk/p/ultracolor-moon-white-103-flexible-grout-5kg.html","Product")</f>
        <v/>
      </c>
      <c r="B1057" s="1" t="inlineStr">
        <is>
          <t>6010305A</t>
        </is>
      </c>
      <c r="C1057" s="1" t="inlineStr">
        <is>
          <t>Ultracolor Moon White 103 Flexible Grout 5kg</t>
        </is>
      </c>
      <c r="D1057" s="1" t="n">
        <v>14.99</v>
      </c>
      <c r="E1057" s="1" t="inlineStr">
        <is>
          <t>-</t>
        </is>
      </c>
      <c r="F1057" s="1" t="inlineStr">
        <is>
          <t>Qty</t>
        </is>
      </c>
      <c r="G1057" s="1" t="inlineStr">
        <is>
          <t>-</t>
        </is>
      </c>
      <c r="H1057" s="1" t="inlineStr">
        <is>
          <t>-</t>
        </is>
      </c>
      <c r="I1057" t="n">
        <v>46</v>
      </c>
    </row>
    <row r="1058">
      <c r="A1058" s="1">
        <f>Hyperlink("https://www.tilemountain.co.uk/p/ultracolor-sand-133-flexible-grout-5kg.html","Product")</f>
        <v/>
      </c>
      <c r="B1058" s="1" t="inlineStr">
        <is>
          <t>6013305A</t>
        </is>
      </c>
      <c r="C1058" s="1" t="inlineStr">
        <is>
          <t>Ultracolor Sand 133 Flexible Grout 5kg</t>
        </is>
      </c>
      <c r="D1058" s="1" t="n">
        <v>15.49</v>
      </c>
      <c r="E1058" s="1" t="inlineStr">
        <is>
          <t>-</t>
        </is>
      </c>
      <c r="F1058" s="1" t="inlineStr">
        <is>
          <t>Qty</t>
        </is>
      </c>
      <c r="G1058" s="1" t="inlineStr">
        <is>
          <t>-</t>
        </is>
      </c>
      <c r="H1058" s="1" t="inlineStr">
        <is>
          <t>-</t>
        </is>
      </c>
      <c r="I1058" t="inlineStr">
        <is>
          <t>In Stock</t>
        </is>
      </c>
    </row>
    <row r="1059">
      <c r="A1059" s="1">
        <f>Hyperlink("https://www.tilemountain.co.uk/p/ultracolor-silk-134-flexible-grout-5kg.html","Product")</f>
        <v/>
      </c>
      <c r="B1059" s="1" t="inlineStr">
        <is>
          <t>6013405A</t>
        </is>
      </c>
      <c r="C1059" s="1" t="inlineStr">
        <is>
          <t>Ultracolor Silk 134 Flexible Grout 5kg</t>
        </is>
      </c>
      <c r="D1059" s="1" t="n">
        <v>15.49</v>
      </c>
      <c r="E1059" s="1" t="inlineStr">
        <is>
          <t>-</t>
        </is>
      </c>
      <c r="F1059" s="1" t="inlineStr">
        <is>
          <t>Qty</t>
        </is>
      </c>
      <c r="G1059" s="1" t="inlineStr">
        <is>
          <t>-</t>
        </is>
      </c>
      <c r="H1059" s="1" t="inlineStr">
        <is>
          <t>-</t>
        </is>
      </c>
      <c r="I1059" t="n">
        <v>11</v>
      </c>
    </row>
    <row r="1060">
      <c r="A1060" s="1">
        <f>Hyperlink("https://www.tilemountain.co.uk/p/ultracolor-silver-grey-111-flexible-5kg.html","Product")</f>
        <v/>
      </c>
      <c r="B1060" s="1" t="inlineStr">
        <is>
          <t>6011105A</t>
        </is>
      </c>
      <c r="C1060" s="1" t="inlineStr">
        <is>
          <t>Ultracolor Silver Grey 111 Flexible 5kg</t>
        </is>
      </c>
      <c r="D1060" s="1" t="n">
        <v>15.49</v>
      </c>
      <c r="E1060" s="1" t="inlineStr">
        <is>
          <t>-</t>
        </is>
      </c>
      <c r="F1060" s="1" t="inlineStr">
        <is>
          <t>Qty</t>
        </is>
      </c>
      <c r="G1060" s="1" t="inlineStr">
        <is>
          <t>-</t>
        </is>
      </c>
      <c r="H1060" s="1" t="inlineStr">
        <is>
          <t>-</t>
        </is>
      </c>
      <c r="I1060" t="inlineStr">
        <is>
          <t>In Stock</t>
        </is>
      </c>
    </row>
    <row r="1061">
      <c r="A1061" s="1">
        <f>Hyperlink("https://www.tilemountain.co.uk/p/ultracolor-silver-grey-111-flexible-grout-2kg.html","Product")</f>
        <v/>
      </c>
      <c r="B1061" s="1" t="inlineStr">
        <is>
          <t>6011102A</t>
        </is>
      </c>
      <c r="C1061" s="1" t="inlineStr">
        <is>
          <t>Ultracolor Silver Grey 111 Flexible Grout 2kg</t>
        </is>
      </c>
      <c r="D1061" s="1" t="n">
        <v>8.99</v>
      </c>
      <c r="E1061" s="1" t="inlineStr">
        <is>
          <t>-</t>
        </is>
      </c>
      <c r="F1061" s="1" t="inlineStr">
        <is>
          <t>Qty</t>
        </is>
      </c>
      <c r="G1061" s="1" t="inlineStr">
        <is>
          <t>-</t>
        </is>
      </c>
      <c r="H1061" s="1" t="inlineStr">
        <is>
          <t>-</t>
        </is>
      </c>
      <c r="I1061" t="n">
        <v>17</v>
      </c>
    </row>
    <row r="1062">
      <c r="A1062" s="1">
        <f>Hyperlink("https://www.tilemountain.co.uk/p/ultracolor-tornado-174-flexible-grout-5kg.html","Product")</f>
        <v/>
      </c>
      <c r="B1062" s="1" t="inlineStr">
        <is>
          <t>6017405A</t>
        </is>
      </c>
      <c r="C1062" s="1" t="inlineStr">
        <is>
          <t>Ultracolor Tornado 174 Flexible Grout 5kg</t>
        </is>
      </c>
      <c r="D1062" s="1" t="n">
        <v>15.49</v>
      </c>
      <c r="E1062" s="1" t="inlineStr">
        <is>
          <t>-</t>
        </is>
      </c>
      <c r="F1062" s="1" t="inlineStr">
        <is>
          <t>Qty</t>
        </is>
      </c>
      <c r="G1062" s="1" t="inlineStr">
        <is>
          <t>-</t>
        </is>
      </c>
      <c r="H1062" s="1" t="inlineStr">
        <is>
          <t>-</t>
        </is>
      </c>
      <c r="I1062" t="inlineStr">
        <is>
          <t>In Stock</t>
        </is>
      </c>
    </row>
    <row r="1063">
      <c r="A1063" s="1">
        <f>Hyperlink("https://www.tilemountain.co.uk/p/ultracolor-violet-162-flexible-grout-5kg.html","Product")</f>
        <v/>
      </c>
      <c r="B1063" s="1" t="inlineStr">
        <is>
          <t>6016205A</t>
        </is>
      </c>
      <c r="C1063" s="1" t="inlineStr">
        <is>
          <t>Ultracolor Violet 162 Flexible Grout 5kg</t>
        </is>
      </c>
      <c r="D1063" s="1" t="n">
        <v>15.49</v>
      </c>
      <c r="E1063" s="1" t="inlineStr">
        <is>
          <t>-</t>
        </is>
      </c>
      <c r="F1063" s="1" t="inlineStr">
        <is>
          <t>Qty</t>
        </is>
      </c>
      <c r="G1063" s="1" t="inlineStr">
        <is>
          <t>-</t>
        </is>
      </c>
      <c r="H1063" s="1" t="inlineStr">
        <is>
          <t>-</t>
        </is>
      </c>
      <c r="I1063" t="n">
        <v>12</v>
      </c>
    </row>
    <row r="1064">
      <c r="A1064" s="1">
        <f>Hyperlink("https://www.tilemountain.co.uk/p/ultracolor-volcano-sand-149-flexible-grout-5kg.html","Product")</f>
        <v/>
      </c>
      <c r="B1064" s="1" t="inlineStr">
        <is>
          <t>6014905A</t>
        </is>
      </c>
      <c r="C1064" s="1" t="inlineStr">
        <is>
          <t>Ultracolor Volcano Sand 149 Flexible Grout 5kg</t>
        </is>
      </c>
      <c r="D1064" s="1" t="n">
        <v>15.49</v>
      </c>
      <c r="E1064" s="1" t="inlineStr">
        <is>
          <t>-</t>
        </is>
      </c>
      <c r="F1064" s="1" t="inlineStr">
        <is>
          <t>Qty</t>
        </is>
      </c>
      <c r="G1064" s="1" t="inlineStr">
        <is>
          <t>-</t>
        </is>
      </c>
      <c r="H1064" s="1" t="inlineStr">
        <is>
          <t>-</t>
        </is>
      </c>
      <c r="I1064" t="inlineStr">
        <is>
          <t>In Stock</t>
        </is>
      </c>
    </row>
    <row r="1065">
      <c r="A1065" s="1">
        <f>Hyperlink("https://www.tilemountain.co.uk/p/ultracolor-white-100-flexible-grout-5kg.html","Product")</f>
        <v/>
      </c>
      <c r="B1065" s="1" t="inlineStr">
        <is>
          <t>6010005A</t>
        </is>
      </c>
      <c r="C1065" s="1" t="inlineStr">
        <is>
          <t>Ultracolor White 100 Flexible Grout 5kg</t>
        </is>
      </c>
      <c r="D1065" s="1" t="n">
        <v>15.49</v>
      </c>
      <c r="E1065" s="1" t="inlineStr">
        <is>
          <t>5kg</t>
        </is>
      </c>
      <c r="F1065" s="1" t="inlineStr">
        <is>
          <t>Qty</t>
        </is>
      </c>
      <c r="G1065" s="1" t="inlineStr">
        <is>
          <t>-</t>
        </is>
      </c>
      <c r="H1065" s="1" t="inlineStr">
        <is>
          <t>-</t>
        </is>
      </c>
      <c r="I1065" t="inlineStr">
        <is>
          <t>In Stock</t>
        </is>
      </c>
    </row>
    <row r="1066">
      <c r="A1066" s="1">
        <f>Hyperlink("https://www.tilemountain.co.uk/p/ultracolor-white-100-grout-2kg.html","Product")</f>
        <v/>
      </c>
      <c r="B1066" s="1" t="inlineStr">
        <is>
          <t>6010002A</t>
        </is>
      </c>
      <c r="C1066" s="1" t="inlineStr">
        <is>
          <t>Ultracolor White 100 Grout 2kg</t>
        </is>
      </c>
      <c r="D1066" s="1" t="n">
        <v>8.99</v>
      </c>
      <c r="E1066" s="1" t="inlineStr">
        <is>
          <t>-</t>
        </is>
      </c>
      <c r="F1066" s="1" t="inlineStr">
        <is>
          <t>Qty</t>
        </is>
      </c>
      <c r="G1066" s="1" t="inlineStr">
        <is>
          <t>-</t>
        </is>
      </c>
      <c r="H1066" s="1" t="inlineStr">
        <is>
          <t>-</t>
        </is>
      </c>
      <c r="I1066" t="inlineStr">
        <is>
          <t>In Stock</t>
        </is>
      </c>
    </row>
    <row r="1067">
      <c r="A1067" s="1">
        <f>Hyperlink("https://www.tilemountain.co.uk/p/ultraplan-renovation-levelling-compound-25kg-pallet-deal-40-bags.html","Product")</f>
        <v/>
      </c>
      <c r="B1067" s="1" t="inlineStr">
        <is>
          <t>0124325-pd</t>
        </is>
      </c>
      <c r="C1067" s="1" t="inlineStr">
        <is>
          <t>Ultraplan Renovation Levelling Compound 25kg Pallet Deal- 40 Bags</t>
        </is>
      </c>
      <c r="D1067" s="1" t="n">
        <v>599.99</v>
      </c>
      <c r="E1067" s="1" t="inlineStr">
        <is>
          <t>PALLET</t>
        </is>
      </c>
      <c r="F1067" s="1" t="inlineStr">
        <is>
          <t>Qty</t>
        </is>
      </c>
      <c r="G1067" s="1" t="inlineStr">
        <is>
          <t>-</t>
        </is>
      </c>
      <c r="H1067" s="1" t="inlineStr">
        <is>
          <t>-</t>
        </is>
      </c>
      <c r="I1067" t="inlineStr">
        <is>
          <t>In Stock</t>
        </is>
      </c>
    </row>
    <row r="1068">
      <c r="A1068" s="1">
        <f>Hyperlink("https://www.tilemountain.co.uk/p/ultraplan-renovation-levelling-compound-25kg.html","Product")</f>
        <v/>
      </c>
      <c r="B1068" s="1" t="inlineStr">
        <is>
          <t>0124325</t>
        </is>
      </c>
      <c r="C1068" s="1" t="inlineStr">
        <is>
          <t>Ultraplan Renovation Levelling Compound 25kg</t>
        </is>
      </c>
      <c r="D1068" s="1" t="n">
        <v>19.49</v>
      </c>
      <c r="E1068" s="1" t="inlineStr">
        <is>
          <t>-</t>
        </is>
      </c>
      <c r="F1068" s="1" t="inlineStr">
        <is>
          <t>Qty</t>
        </is>
      </c>
      <c r="G1068" s="1" t="inlineStr">
        <is>
          <t>-</t>
        </is>
      </c>
      <c r="H1068" s="1" t="inlineStr">
        <is>
          <t>-</t>
        </is>
      </c>
      <c r="I1068" t="inlineStr">
        <is>
          <t>In Stock</t>
        </is>
      </c>
    </row>
    <row r="1069">
      <c r="A1069" s="1">
        <f>Hyperlink("https://www.tilemountain.co.uk/p/uncoupling-membrane.html","Product")</f>
        <v/>
      </c>
      <c r="B1069" s="1" t="inlineStr">
        <is>
          <t>450910</t>
        </is>
      </c>
      <c r="C1069" s="1" t="inlineStr">
        <is>
          <t>Uncoupling Membrane</t>
        </is>
      </c>
      <c r="D1069" s="1" t="n">
        <v>199.99</v>
      </c>
      <c r="E1069" s="1" t="inlineStr">
        <is>
          <t>-</t>
        </is>
      </c>
      <c r="F1069" s="1" t="inlineStr">
        <is>
          <t>Qty</t>
        </is>
      </c>
      <c r="G1069" s="1" t="inlineStr">
        <is>
          <t>-</t>
        </is>
      </c>
      <c r="H1069" s="1" t="inlineStr">
        <is>
          <t>-</t>
        </is>
      </c>
      <c r="I1069" t="inlineStr">
        <is>
          <t>In Stock</t>
        </is>
      </c>
    </row>
    <row r="1070">
      <c r="A1070" s="1">
        <f>Hyperlink("https://www.tilemountain.co.uk/p/underground-black.html","Product")</f>
        <v/>
      </c>
      <c r="B1070" s="1" t="inlineStr">
        <is>
          <t>435625</t>
        </is>
      </c>
      <c r="C1070" s="1" t="inlineStr">
        <is>
          <t>Underground Black</t>
        </is>
      </c>
      <c r="D1070" s="1" t="n">
        <v>15.99</v>
      </c>
      <c r="E1070" s="1" t="inlineStr">
        <is>
          <t>200x100mm</t>
        </is>
      </c>
      <c r="F1070" s="1" t="inlineStr">
        <is>
          <t>m2</t>
        </is>
      </c>
      <c r="G1070" s="1" t="inlineStr">
        <is>
          <t>Ceramic</t>
        </is>
      </c>
      <c r="H1070" s="1" t="inlineStr">
        <is>
          <t>Gloss</t>
        </is>
      </c>
      <c r="I1070" t="n">
        <v>67</v>
      </c>
    </row>
    <row r="1071">
      <c r="A1071" s="1">
        <f>Hyperlink("https://www.tilemountain.co.uk/p/underground-grey-brick-10x20.html","Product")</f>
        <v/>
      </c>
      <c r="B1071" s="1" t="inlineStr">
        <is>
          <t>403075</t>
        </is>
      </c>
      <c r="C1071" s="1" t="inlineStr">
        <is>
          <t>Underground Grey</t>
        </is>
      </c>
      <c r="D1071" s="1" t="n">
        <v>15.99</v>
      </c>
      <c r="E1071" s="1" t="inlineStr">
        <is>
          <t>200x100mm</t>
        </is>
      </c>
      <c r="F1071" s="1" t="inlineStr">
        <is>
          <t>m2</t>
        </is>
      </c>
      <c r="G1071" s="1" t="inlineStr">
        <is>
          <t>Ceramic</t>
        </is>
      </c>
      <c r="H1071" s="1" t="inlineStr">
        <is>
          <t>Gloss</t>
        </is>
      </c>
      <c r="I1071" t="inlineStr">
        <is>
          <t>More Stock due 18/10/21</t>
        </is>
      </c>
    </row>
    <row r="1072">
      <c r="A1072" s="1">
        <f>Hyperlink("https://www.tilemountain.co.uk/p/underground-red.html","Product")</f>
        <v/>
      </c>
      <c r="B1072" s="1" t="inlineStr">
        <is>
          <t>435630</t>
        </is>
      </c>
      <c r="C1072" s="1" t="inlineStr">
        <is>
          <t>Underground Red</t>
        </is>
      </c>
      <c r="D1072" s="1" t="n">
        <v>19.99</v>
      </c>
      <c r="E1072" s="1" t="inlineStr">
        <is>
          <t>200x100mm</t>
        </is>
      </c>
      <c r="F1072" s="1" t="inlineStr">
        <is>
          <t>m2</t>
        </is>
      </c>
      <c r="G1072" s="1" t="inlineStr">
        <is>
          <t>Ceramic</t>
        </is>
      </c>
      <c r="H1072" s="1" t="inlineStr">
        <is>
          <t>Gloss</t>
        </is>
      </c>
      <c r="I1072" t="n">
        <v>63</v>
      </c>
    </row>
    <row r="1073">
      <c r="A1073" s="1">
        <f>Hyperlink("https://www.tilemountain.co.uk/p/underground-white.html","Product")</f>
        <v/>
      </c>
      <c r="B1073" s="1" t="inlineStr">
        <is>
          <t>435620</t>
        </is>
      </c>
      <c r="C1073" s="1" t="inlineStr">
        <is>
          <t>Underground White</t>
        </is>
      </c>
      <c r="D1073" s="1" t="n">
        <v>11.99</v>
      </c>
      <c r="E1073" s="1" t="inlineStr">
        <is>
          <t>200x100mm</t>
        </is>
      </c>
      <c r="F1073" s="1" t="inlineStr">
        <is>
          <t>m2</t>
        </is>
      </c>
      <c r="G1073" s="1" t="inlineStr">
        <is>
          <t>Ceramic</t>
        </is>
      </c>
      <c r="H1073" s="1" t="inlineStr">
        <is>
          <t>Gloss</t>
        </is>
      </c>
      <c r="I1073" t="n">
        <v>539</v>
      </c>
    </row>
    <row r="1074">
      <c r="A1074" s="1">
        <f>Hyperlink("https://www.tilemountain.co.uk/p/unfilled-tumbled-travertine-floor-tile-406x610-37-6-sqm.html","Product")</f>
        <v/>
      </c>
      <c r="B1074" s="1" t="inlineStr">
        <is>
          <t>435975</t>
        </is>
      </c>
      <c r="C1074" s="1" t="inlineStr">
        <is>
          <t>Unfilled Tumbled Travertine Floor Tile</t>
        </is>
      </c>
      <c r="D1074" s="1" t="n">
        <v>22.98</v>
      </c>
      <c r="E1074" s="1" t="inlineStr">
        <is>
          <t>406x610mm</t>
        </is>
      </c>
      <c r="F1074" s="1" t="inlineStr">
        <is>
          <t>m2</t>
        </is>
      </c>
      <c r="G1074" s="1" t="inlineStr">
        <is>
          <t>Travertine</t>
        </is>
      </c>
      <c r="H1074" s="1" t="inlineStr">
        <is>
          <t>Matt</t>
        </is>
      </c>
      <c r="I1074" t="n">
        <v>34</v>
      </c>
    </row>
    <row r="1075">
      <c r="A1075" s="1">
        <f>Hyperlink("https://www.tilemountain.co.uk/p/urban-grey-matt-porcelain-floor-tile-5323.html","Product")</f>
        <v/>
      </c>
      <c r="B1075" s="1" t="inlineStr">
        <is>
          <t>450265</t>
        </is>
      </c>
      <c r="C1075" s="1" t="inlineStr">
        <is>
          <t>Urban Grey Matt Porcelain Floor Tile</t>
        </is>
      </c>
      <c r="D1075" s="1" t="n">
        <v>19.23</v>
      </c>
      <c r="E1075" s="1" t="inlineStr">
        <is>
          <t>795x795mm</t>
        </is>
      </c>
      <c r="F1075" s="1" t="inlineStr">
        <is>
          <t>m2</t>
        </is>
      </c>
      <c r="G1075" s="1" t="inlineStr">
        <is>
          <t>Porcelain</t>
        </is>
      </c>
      <c r="H1075" s="1" t="inlineStr">
        <is>
          <t>Matt</t>
        </is>
      </c>
      <c r="I1075" t="n">
        <v>1030</v>
      </c>
    </row>
    <row r="1076">
      <c r="A1076" s="1">
        <f>Hyperlink("https://www.tilemountain.co.uk/p/urban-grey-matt-porcelain-floor-tile.html","Product")</f>
        <v/>
      </c>
      <c r="B1076" s="1" t="inlineStr">
        <is>
          <t>444405</t>
        </is>
      </c>
      <c r="C1076" s="1" t="inlineStr">
        <is>
          <t>Urban Grey Matt Porcelain Floor Tiles</t>
        </is>
      </c>
      <c r="D1076" s="1" t="n">
        <v>12.99</v>
      </c>
      <c r="E1076" s="1" t="inlineStr">
        <is>
          <t>600x600mm</t>
        </is>
      </c>
      <c r="F1076" s="1" t="inlineStr">
        <is>
          <t>m2</t>
        </is>
      </c>
      <c r="G1076" s="1" t="inlineStr">
        <is>
          <t>Porcelain</t>
        </is>
      </c>
      <c r="H1076" s="1" t="inlineStr">
        <is>
          <t>Matt</t>
        </is>
      </c>
      <c r="I1076" t="n">
        <v>682</v>
      </c>
    </row>
    <row r="1077">
      <c r="A1077" s="1">
        <f>Hyperlink("https://www.tilemountain.co.uk/p/urban-taupe-matt-porcelain-floor-tile-5324.html","Product")</f>
        <v/>
      </c>
      <c r="B1077" s="1" t="inlineStr">
        <is>
          <t>450270</t>
        </is>
      </c>
      <c r="C1077" s="1" t="inlineStr">
        <is>
          <t>Urban Taupe Matt Porcelain Floor Tile</t>
        </is>
      </c>
      <c r="D1077" s="1" t="n">
        <v>19.23</v>
      </c>
      <c r="E1077" s="1" t="inlineStr">
        <is>
          <t>795x795mm</t>
        </is>
      </c>
      <c r="F1077" s="1" t="inlineStr">
        <is>
          <t>m2</t>
        </is>
      </c>
      <c r="G1077" s="1" t="inlineStr">
        <is>
          <t>Porcelain</t>
        </is>
      </c>
      <c r="H1077" s="1" t="inlineStr">
        <is>
          <t>Matt</t>
        </is>
      </c>
      <c r="I1077" t="n">
        <v>720</v>
      </c>
    </row>
    <row r="1078">
      <c r="A1078" s="1">
        <f>Hyperlink("https://www.tilemountain.co.uk/p/urban-taupe-matt-porcelain-floor-tile.html","Product")</f>
        <v/>
      </c>
      <c r="B1078" s="1" t="inlineStr">
        <is>
          <t>444410</t>
        </is>
      </c>
      <c r="C1078" s="1" t="inlineStr">
        <is>
          <t>Urban Taupe Matt Porcelain Floor Tiles</t>
        </is>
      </c>
      <c r="D1078" s="1" t="n">
        <v>12.99</v>
      </c>
      <c r="E1078" s="1" t="inlineStr">
        <is>
          <t>600x600mm</t>
        </is>
      </c>
      <c r="F1078" s="1" t="inlineStr">
        <is>
          <t>m2</t>
        </is>
      </c>
      <c r="G1078" s="1" t="inlineStr">
        <is>
          <t>Porcelain</t>
        </is>
      </c>
      <c r="H1078" s="1" t="inlineStr">
        <is>
          <t>Matt</t>
        </is>
      </c>
      <c r="I1078" t="n">
        <v>264</v>
      </c>
    </row>
    <row r="1079">
      <c r="A1079" s="1">
        <f>Hyperlink("https://www.tilemountain.co.uk/p/valar-white.html","Product")</f>
        <v/>
      </c>
      <c r="B1079" s="1" t="inlineStr">
        <is>
          <t>454550</t>
        </is>
      </c>
      <c r="C1079" s="1" t="inlineStr">
        <is>
          <t>Valar Grey Outdoor Slab</t>
        </is>
      </c>
      <c r="D1079" s="1" t="n">
        <v>26.99</v>
      </c>
      <c r="E1079" s="1" t="inlineStr">
        <is>
          <t>595x595mm</t>
        </is>
      </c>
      <c r="F1079" s="1" t="inlineStr">
        <is>
          <t>m2</t>
        </is>
      </c>
      <c r="G1079" s="1" t="inlineStr">
        <is>
          <t>Porcelain</t>
        </is>
      </c>
      <c r="H1079" s="1" t="inlineStr">
        <is>
          <t>Matt</t>
        </is>
      </c>
      <c r="I1079" t="n">
        <v>689</v>
      </c>
    </row>
    <row r="1080">
      <c r="A1080" s="1">
        <f>Hyperlink("https://www.tilemountain.co.uk/p/velvet-brown-wall-tile.html","Product")</f>
        <v/>
      </c>
      <c r="B1080" s="1" t="inlineStr">
        <is>
          <t>436100</t>
        </is>
      </c>
      <c r="C1080" s="1" t="inlineStr">
        <is>
          <t>Velvet Brown Wall Tiles</t>
        </is>
      </c>
      <c r="D1080" s="1" t="n">
        <v>18</v>
      </c>
      <c r="E1080" s="1" t="inlineStr">
        <is>
          <t>300x900mm</t>
        </is>
      </c>
      <c r="F1080" s="1" t="inlineStr">
        <is>
          <t>m2</t>
        </is>
      </c>
      <c r="G1080" s="1" t="inlineStr">
        <is>
          <t>Ceramic</t>
        </is>
      </c>
      <c r="H1080" s="1" t="inlineStr">
        <is>
          <t>Gloss</t>
        </is>
      </c>
      <c r="I1080" t="n">
        <v>86</v>
      </c>
    </row>
    <row r="1081">
      <c r="A1081" s="1">
        <f>Hyperlink("https://www.tilemountain.co.uk/p/venato-grey-wall-tile.html","Product")</f>
        <v/>
      </c>
      <c r="B1081" s="1" t="inlineStr">
        <is>
          <t>440320</t>
        </is>
      </c>
      <c r="C1081" s="1" t="inlineStr">
        <is>
          <t>Venato Grey Wall Tiles</t>
        </is>
      </c>
      <c r="D1081" s="1" t="n">
        <v>18.99</v>
      </c>
      <c r="E1081" s="1" t="inlineStr">
        <is>
          <t>100x300mm</t>
        </is>
      </c>
      <c r="F1081" s="1" t="inlineStr">
        <is>
          <t>m2</t>
        </is>
      </c>
      <c r="G1081" s="1" t="inlineStr">
        <is>
          <t>Ceramic</t>
        </is>
      </c>
      <c r="H1081" s="1" t="inlineStr">
        <is>
          <t>Matt</t>
        </is>
      </c>
      <c r="I1081" t="inlineStr">
        <is>
          <t>In Stock</t>
        </is>
      </c>
    </row>
    <row r="1082">
      <c r="A1082" s="1">
        <f>Hyperlink("https://www.tilemountain.co.uk/p/veneto-bone-glossy-wall-tiles.html","Product")</f>
        <v/>
      </c>
      <c r="B1082" s="1" t="inlineStr">
        <is>
          <t>452890</t>
        </is>
      </c>
      <c r="C1082" s="1" t="inlineStr">
        <is>
          <t>Veneto Bone Glossy Wall Tiles</t>
        </is>
      </c>
      <c r="D1082" s="1" t="n">
        <v>11.99</v>
      </c>
      <c r="E1082" s="1" t="inlineStr">
        <is>
          <t>300x600mm</t>
        </is>
      </c>
      <c r="F1082" s="1" t="inlineStr">
        <is>
          <t>m2</t>
        </is>
      </c>
      <c r="G1082" s="1" t="inlineStr">
        <is>
          <t>Ceramic</t>
        </is>
      </c>
      <c r="H1082" s="1" t="inlineStr">
        <is>
          <t>Gloss</t>
        </is>
      </c>
      <c r="I1082" t="n">
        <v>1282</v>
      </c>
    </row>
    <row r="1083">
      <c r="A1083" s="1">
        <f>Hyperlink("https://www.tilemountain.co.uk/p/veneto-grey-glossy-wall-tiles.html","Product")</f>
        <v/>
      </c>
      <c r="B1083" s="1" t="inlineStr">
        <is>
          <t>452885</t>
        </is>
      </c>
      <c r="C1083" s="1" t="inlineStr">
        <is>
          <t>Veneto Grey Glossy Wall Tiles</t>
        </is>
      </c>
      <c r="D1083" s="1" t="n">
        <v>11.99</v>
      </c>
      <c r="E1083" s="1" t="inlineStr">
        <is>
          <t>300x600mm</t>
        </is>
      </c>
      <c r="F1083" s="1" t="inlineStr">
        <is>
          <t>m2</t>
        </is>
      </c>
      <c r="G1083" s="1" t="inlineStr">
        <is>
          <t>Ceramic</t>
        </is>
      </c>
      <c r="H1083" s="1" t="inlineStr">
        <is>
          <t>Gloss</t>
        </is>
      </c>
      <c r="I1083" t="n">
        <v>3764</v>
      </c>
    </row>
    <row r="1084">
      <c r="A1084" s="1">
        <f>Hyperlink("https://www.tilemountain.co.uk/p/vertige-wood-effect-beige-outdoor-slab-tiles.html","Product")</f>
        <v/>
      </c>
      <c r="B1084" s="1" t="inlineStr">
        <is>
          <t>451470</t>
        </is>
      </c>
      <c r="C1084" s="1" t="inlineStr">
        <is>
          <t>Vertige Wood Effect Beige Outdoor Slab Tiles</t>
        </is>
      </c>
      <c r="D1084" s="1" t="n">
        <v>39.99</v>
      </c>
      <c r="E1084" s="1" t="inlineStr">
        <is>
          <t>1200x400mm</t>
        </is>
      </c>
      <c r="F1084" s="1" t="inlineStr">
        <is>
          <t>m2</t>
        </is>
      </c>
      <c r="G1084" s="1" t="inlineStr">
        <is>
          <t>Porcelain</t>
        </is>
      </c>
      <c r="H1084" s="1" t="inlineStr">
        <is>
          <t>Matt</t>
        </is>
      </c>
      <c r="I1084" t="n">
        <v>354</v>
      </c>
    </row>
    <row r="1085">
      <c r="A1085" s="1">
        <f>Hyperlink("https://www.tilemountain.co.uk/p/vertige-wood-effect-grey-outdoor-slab-tiles.html","Product")</f>
        <v/>
      </c>
      <c r="B1085" s="1" t="inlineStr">
        <is>
          <t>451465</t>
        </is>
      </c>
      <c r="C1085" s="1" t="inlineStr">
        <is>
          <t>Vertige Wood Effect Grey Outdoor Slab Tiles</t>
        </is>
      </c>
      <c r="D1085" s="1" t="n">
        <v>39.99</v>
      </c>
      <c r="E1085" s="1" t="inlineStr">
        <is>
          <t>1200x400mm</t>
        </is>
      </c>
      <c r="F1085" s="1" t="inlineStr">
        <is>
          <t>m2</t>
        </is>
      </c>
      <c r="G1085" s="1" t="inlineStr">
        <is>
          <t>Porcelain</t>
        </is>
      </c>
      <c r="H1085" s="1" t="inlineStr">
        <is>
          <t>Matt</t>
        </is>
      </c>
      <c r="I1085" t="n">
        <v>826</v>
      </c>
    </row>
    <row r="1086">
      <c r="A1086" s="1">
        <f>Hyperlink("https://www.tilemountain.co.uk/p/victoria-black-mosaic.html","Product")</f>
        <v/>
      </c>
      <c r="B1086" s="1" t="inlineStr">
        <is>
          <t>450455</t>
        </is>
      </c>
      <c r="C1086" s="1" t="inlineStr">
        <is>
          <t>Victoria Black Mosaic</t>
        </is>
      </c>
      <c r="D1086" s="1" t="n">
        <v>5.95</v>
      </c>
      <c r="E1086" s="1" t="inlineStr">
        <is>
          <t>291x291mm</t>
        </is>
      </c>
      <c r="F1086" s="1" t="inlineStr">
        <is>
          <t>sheet</t>
        </is>
      </c>
      <c r="G1086" s="1" t="inlineStr">
        <is>
          <t>Porcelain</t>
        </is>
      </c>
      <c r="H1086" s="1" t="inlineStr">
        <is>
          <t>Matt</t>
        </is>
      </c>
      <c r="I1086" t="inlineStr">
        <is>
          <t>More Stock due 22/10/21</t>
        </is>
      </c>
    </row>
    <row r="1087">
      <c r="A1087" s="1">
        <f>Hyperlink("https://www.tilemountain.co.uk/p/victoria-rectified-gloss-brilliant-white-wall-tile.html","Product")</f>
        <v/>
      </c>
      <c r="B1087" s="1" t="inlineStr">
        <is>
          <t>434120</t>
        </is>
      </c>
      <c r="C1087" s="1" t="inlineStr">
        <is>
          <t>Victoria Rectified Gloss Brilliant White Wall Tiles</t>
        </is>
      </c>
      <c r="D1087" s="1" t="n">
        <v>15.99</v>
      </c>
      <c r="E1087" s="1" t="inlineStr">
        <is>
          <t>297x597mm</t>
        </is>
      </c>
      <c r="F1087" s="1" t="inlineStr">
        <is>
          <t>m2</t>
        </is>
      </c>
      <c r="G1087" s="1" t="inlineStr">
        <is>
          <t>Ceramic</t>
        </is>
      </c>
      <c r="H1087" s="1" t="inlineStr">
        <is>
          <t>Gloss</t>
        </is>
      </c>
      <c r="I1087" t="n">
        <v>751</v>
      </c>
    </row>
    <row r="1088">
      <c r="A1088" s="1">
        <f>Hyperlink("https://www.tilemountain.co.uk/p/victoria-red-black-border.html","Product")</f>
        <v/>
      </c>
      <c r="B1088" s="1" t="inlineStr">
        <is>
          <t>450470</t>
        </is>
      </c>
      <c r="C1088" s="1" t="inlineStr">
        <is>
          <t>Victoria Red &amp; Black Border</t>
        </is>
      </c>
      <c r="D1088" s="1" t="n">
        <v>9.949999999999999</v>
      </c>
      <c r="E1088" s="1" t="inlineStr">
        <is>
          <t>118x360mm</t>
        </is>
      </c>
      <c r="F1088" s="1" t="inlineStr">
        <is>
          <t>sheet</t>
        </is>
      </c>
      <c r="G1088" s="1" t="inlineStr">
        <is>
          <t>Porcelain</t>
        </is>
      </c>
      <c r="H1088" s="1" t="inlineStr">
        <is>
          <t>Matt</t>
        </is>
      </c>
      <c r="I1088" t="n">
        <v>325</v>
      </c>
    </row>
    <row r="1089">
      <c r="A1089" s="1">
        <f>Hyperlink("https://www.tilemountain.co.uk/p/victoria-red-black-chequer-mosaic.html","Product")</f>
        <v/>
      </c>
      <c r="B1089" s="1" t="inlineStr">
        <is>
          <t>450460</t>
        </is>
      </c>
      <c r="C1089" s="1" t="inlineStr">
        <is>
          <t>Victoria Red &amp; Black Chequer Mosaic</t>
        </is>
      </c>
      <c r="D1089" s="1" t="n">
        <v>5.95</v>
      </c>
      <c r="E1089" s="1" t="inlineStr">
        <is>
          <t>291x291mm</t>
        </is>
      </c>
      <c r="F1089" s="1" t="inlineStr">
        <is>
          <t>sheet</t>
        </is>
      </c>
      <c r="G1089" s="1" t="inlineStr">
        <is>
          <t>Porcelain</t>
        </is>
      </c>
      <c r="H1089" s="1" t="inlineStr">
        <is>
          <t>Matt</t>
        </is>
      </c>
      <c r="I1089" t="n">
        <v>92</v>
      </c>
    </row>
    <row r="1090">
      <c r="A1090" s="1">
        <f>Hyperlink("https://www.tilemountain.co.uk/p/victoria-red-black-corner.html","Product")</f>
        <v/>
      </c>
      <c r="B1090" s="1" t="inlineStr">
        <is>
          <t>450480</t>
        </is>
      </c>
      <c r="C1090" s="1" t="inlineStr">
        <is>
          <t>Victoria Red &amp; Black Corner</t>
        </is>
      </c>
      <c r="D1090" s="1" t="n">
        <v>11.95</v>
      </c>
      <c r="E1090" s="1" t="inlineStr">
        <is>
          <t>238x290mm</t>
        </is>
      </c>
      <c r="F1090" s="1" t="inlineStr">
        <is>
          <t>sheet</t>
        </is>
      </c>
      <c r="G1090" s="1" t="inlineStr">
        <is>
          <t>Porcelain</t>
        </is>
      </c>
      <c r="H1090" s="1" t="inlineStr">
        <is>
          <t>Matt</t>
        </is>
      </c>
      <c r="I1090" t="n">
        <v>162</v>
      </c>
    </row>
    <row r="1091">
      <c r="A1091" s="1">
        <f>Hyperlink("https://www.tilemountain.co.uk/p/victoria-red-mosaic.html","Product")</f>
        <v/>
      </c>
      <c r="B1091" s="1" t="inlineStr">
        <is>
          <t>450450</t>
        </is>
      </c>
      <c r="C1091" s="1" t="inlineStr">
        <is>
          <t>Victoria Red Mosaic</t>
        </is>
      </c>
      <c r="D1091" s="1" t="n">
        <v>5.95</v>
      </c>
      <c r="E1091" s="1" t="inlineStr">
        <is>
          <t>291x291mm</t>
        </is>
      </c>
      <c r="F1091" s="1" t="inlineStr">
        <is>
          <t>sheet</t>
        </is>
      </c>
      <c r="G1091" s="1" t="inlineStr">
        <is>
          <t>Porcelain</t>
        </is>
      </c>
      <c r="H1091" s="1" t="inlineStr">
        <is>
          <t>Matt</t>
        </is>
      </c>
      <c r="I1091" t="n">
        <v>113</v>
      </c>
    </row>
    <row r="1092">
      <c r="A1092" s="1">
        <f>Hyperlink("https://www.tilemountain.co.uk/p/victoria-white-black-border.html","Product")</f>
        <v/>
      </c>
      <c r="B1092" s="1" t="inlineStr">
        <is>
          <t>450475</t>
        </is>
      </c>
      <c r="C1092" s="1" t="inlineStr">
        <is>
          <t>Victoria White &amp; Black Border</t>
        </is>
      </c>
      <c r="D1092" s="1" t="n">
        <v>9.949999999999999</v>
      </c>
      <c r="E1092" s="1" t="inlineStr">
        <is>
          <t>118x360mm</t>
        </is>
      </c>
      <c r="F1092" s="1" t="inlineStr">
        <is>
          <t>sheet</t>
        </is>
      </c>
      <c r="G1092" s="1" t="inlineStr">
        <is>
          <t>Porcelain</t>
        </is>
      </c>
      <c r="H1092" s="1" t="inlineStr">
        <is>
          <t>Matt</t>
        </is>
      </c>
      <c r="I1092" t="n">
        <v>253</v>
      </c>
    </row>
    <row r="1093">
      <c r="A1093" s="1">
        <f>Hyperlink("https://www.tilemountain.co.uk/p/victoria-white-black-chequer-mosaic.html","Product")</f>
        <v/>
      </c>
      <c r="B1093" s="1" t="inlineStr">
        <is>
          <t>450465</t>
        </is>
      </c>
      <c r="C1093" s="1" t="inlineStr">
        <is>
          <t>Victoria White &amp; Black Chequer Mosaic</t>
        </is>
      </c>
      <c r="D1093" s="1" t="n">
        <v>5.95</v>
      </c>
      <c r="E1093" s="1" t="inlineStr">
        <is>
          <t>291x291mm</t>
        </is>
      </c>
      <c r="F1093" s="1" t="inlineStr">
        <is>
          <t>sheet</t>
        </is>
      </c>
      <c r="G1093" s="1" t="inlineStr">
        <is>
          <t>Porcelain</t>
        </is>
      </c>
      <c r="H1093" s="1" t="inlineStr">
        <is>
          <t>Matt</t>
        </is>
      </c>
      <c r="I1093" t="n">
        <v>320</v>
      </c>
    </row>
    <row r="1094">
      <c r="A1094" s="1">
        <f>Hyperlink("https://www.tilemountain.co.uk/p/victorian-centro-budapest-decor-tile.html","Product")</f>
        <v/>
      </c>
      <c r="B1094" s="1" t="inlineStr">
        <is>
          <t>443540</t>
        </is>
      </c>
      <c r="C1094" s="1" t="inlineStr">
        <is>
          <t>Victorian Centro Budapest Decor Tiles</t>
        </is>
      </c>
      <c r="D1094" s="1" t="n">
        <v>24.99</v>
      </c>
      <c r="E1094" s="1" t="inlineStr">
        <is>
          <t>200x200mm</t>
        </is>
      </c>
      <c r="F1094" s="1" t="inlineStr">
        <is>
          <t>m2</t>
        </is>
      </c>
      <c r="G1094" s="1" t="inlineStr">
        <is>
          <t>Ceramic</t>
        </is>
      </c>
      <c r="H1094" s="1" t="inlineStr">
        <is>
          <t>Matt</t>
        </is>
      </c>
      <c r="I1094" t="n">
        <v>33</v>
      </c>
    </row>
    <row r="1095">
      <c r="A1095" s="1">
        <f>Hyperlink("https://www.tilemountain.co.uk/p/victorian-centro-viena-decor-tile.html","Product")</f>
        <v/>
      </c>
      <c r="B1095" s="1" t="inlineStr">
        <is>
          <t>443545</t>
        </is>
      </c>
      <c r="C1095" s="1" t="inlineStr">
        <is>
          <t>Victorian Centro Viena Decor Tiles</t>
        </is>
      </c>
      <c r="D1095" s="1" t="n">
        <v>24.99</v>
      </c>
      <c r="E1095" s="1" t="inlineStr">
        <is>
          <t>200x200mm</t>
        </is>
      </c>
      <c r="F1095" s="1" t="inlineStr">
        <is>
          <t>m2</t>
        </is>
      </c>
      <c r="G1095" s="1" t="inlineStr">
        <is>
          <t>Ceramic</t>
        </is>
      </c>
      <c r="H1095" s="1" t="inlineStr">
        <is>
          <t>Matt</t>
        </is>
      </c>
      <c r="I1095" t="n">
        <v>235</v>
      </c>
    </row>
    <row r="1096">
      <c r="A1096" s="1">
        <f>Hyperlink("https://www.tilemountain.co.uk/p/victorian-grey-wall-and-floor-tile.html","Product")</f>
        <v/>
      </c>
      <c r="B1096" s="1" t="inlineStr">
        <is>
          <t>443555</t>
        </is>
      </c>
      <c r="C1096" s="1" t="inlineStr">
        <is>
          <t>Victorian Grey Floor Tiles</t>
        </is>
      </c>
      <c r="D1096" s="1" t="n">
        <v>21.99</v>
      </c>
      <c r="E1096" s="1" t="inlineStr">
        <is>
          <t>200x200mm</t>
        </is>
      </c>
      <c r="F1096" s="1" t="inlineStr">
        <is>
          <t>m2</t>
        </is>
      </c>
      <c r="G1096" s="1" t="inlineStr">
        <is>
          <t>Ceramic</t>
        </is>
      </c>
      <c r="H1096" s="1" t="inlineStr">
        <is>
          <t>Matt</t>
        </is>
      </c>
      <c r="I1096" t="n">
        <v>74</v>
      </c>
    </row>
    <row r="1097">
      <c r="A1097" s="1">
        <f>Hyperlink("https://www.tilemountain.co.uk/p/victorian-white-wall-and-floor-tile.html","Product")</f>
        <v/>
      </c>
      <c r="B1097" s="1" t="inlineStr">
        <is>
          <t>443550</t>
        </is>
      </c>
      <c r="C1097" s="1" t="inlineStr">
        <is>
          <t>Victorian White Floor Tiles</t>
        </is>
      </c>
      <c r="D1097" s="1" t="n">
        <v>21.99</v>
      </c>
      <c r="E1097" s="1" t="inlineStr">
        <is>
          <t>200x200mm</t>
        </is>
      </c>
      <c r="F1097" s="1" t="inlineStr">
        <is>
          <t>m2</t>
        </is>
      </c>
      <c r="G1097" s="1" t="inlineStr">
        <is>
          <t>Ceramic</t>
        </is>
      </c>
      <c r="H1097" s="1" t="inlineStr">
        <is>
          <t>Matt</t>
        </is>
      </c>
      <c r="I1097" t="n">
        <v>44</v>
      </c>
    </row>
    <row r="1098">
      <c r="A1098" s="1">
        <f>Hyperlink("https://www.tilemountain.co.uk/p/village-azure-blue-wall-tile.html","Product")</f>
        <v/>
      </c>
      <c r="B1098" s="1" t="inlineStr">
        <is>
          <t>447070</t>
        </is>
      </c>
      <c r="C1098" s="1" t="inlineStr">
        <is>
          <t>Village Azure Blue Wall Tiles</t>
        </is>
      </c>
      <c r="D1098" s="1" t="n">
        <v>29.99</v>
      </c>
      <c r="E1098" s="1" t="inlineStr">
        <is>
          <t>200x65mm</t>
        </is>
      </c>
      <c r="F1098" s="1" t="inlineStr">
        <is>
          <t>m2</t>
        </is>
      </c>
      <c r="G1098" s="1" t="inlineStr">
        <is>
          <t>Ceramic</t>
        </is>
      </c>
      <c r="H1098" s="1" t="inlineStr">
        <is>
          <t>Gloss</t>
        </is>
      </c>
      <c r="I1098" t="n">
        <v>71</v>
      </c>
    </row>
    <row r="1099">
      <c r="A1099" s="1">
        <f>Hyperlink("https://www.tilemountain.co.uk/p/village-emerald-green-wall-tile.html","Product")</f>
        <v/>
      </c>
      <c r="B1099" s="1" t="inlineStr">
        <is>
          <t>447085</t>
        </is>
      </c>
      <c r="C1099" s="1" t="inlineStr">
        <is>
          <t>Village Emerald Green Wall Tiles</t>
        </is>
      </c>
      <c r="D1099" s="1" t="n">
        <v>29.99</v>
      </c>
      <c r="E1099" s="1" t="inlineStr">
        <is>
          <t>200x65mm</t>
        </is>
      </c>
      <c r="F1099" s="1" t="inlineStr">
        <is>
          <t>m2</t>
        </is>
      </c>
      <c r="G1099" s="1" t="inlineStr">
        <is>
          <t>Ceramic</t>
        </is>
      </c>
      <c r="H1099" s="1" t="inlineStr">
        <is>
          <t>Gloss</t>
        </is>
      </c>
      <c r="I1099" t="n">
        <v>144</v>
      </c>
    </row>
    <row r="1100">
      <c r="A1100" s="1">
        <f>Hyperlink("https://www.tilemountain.co.uk/p/village-mint-wall-tile-4549.html","Product")</f>
        <v/>
      </c>
      <c r="B1100" s="1" t="inlineStr">
        <is>
          <t>447120</t>
        </is>
      </c>
      <c r="C1100" s="1" t="inlineStr">
        <is>
          <t>Village Mint Wall Tiles</t>
        </is>
      </c>
      <c r="D1100" s="1" t="n">
        <v>29.99</v>
      </c>
      <c r="E1100" s="1" t="inlineStr">
        <is>
          <t>132x132mm</t>
        </is>
      </c>
      <c r="F1100" s="1" t="inlineStr">
        <is>
          <t>m2</t>
        </is>
      </c>
      <c r="G1100" s="1" t="inlineStr">
        <is>
          <t>Ceramic</t>
        </is>
      </c>
      <c r="H1100" s="1" t="inlineStr">
        <is>
          <t>Gloss</t>
        </is>
      </c>
      <c r="I1100" t="n">
        <v>49</v>
      </c>
    </row>
    <row r="1101">
      <c r="A1101" s="1">
        <f>Hyperlink("https://www.tilemountain.co.uk/p/village-mushroom-wall-tile.html","Product")</f>
        <v/>
      </c>
      <c r="B1101" s="1" t="inlineStr">
        <is>
          <t>447050</t>
        </is>
      </c>
      <c r="C1101" s="1" t="inlineStr">
        <is>
          <t>Village Mushroom Wall Tiles</t>
        </is>
      </c>
      <c r="D1101" s="1" t="n">
        <v>29.99</v>
      </c>
      <c r="E1101" s="1" t="inlineStr">
        <is>
          <t>200x65mm</t>
        </is>
      </c>
      <c r="F1101" s="1" t="inlineStr">
        <is>
          <t>m2</t>
        </is>
      </c>
      <c r="G1101" s="1" t="inlineStr">
        <is>
          <t>Ceramic</t>
        </is>
      </c>
      <c r="H1101" s="1" t="inlineStr">
        <is>
          <t>Gloss</t>
        </is>
      </c>
      <c r="I1101" t="n">
        <v>110</v>
      </c>
    </row>
    <row r="1102">
      <c r="A1102" s="1">
        <f>Hyperlink("https://www.tilemountain.co.uk/p/village-rose-gold-wall-tile-4546.html","Product")</f>
        <v/>
      </c>
      <c r="B1102" s="1" t="inlineStr">
        <is>
          <t>447105</t>
        </is>
      </c>
      <c r="C1102" s="1" t="inlineStr">
        <is>
          <t>Village Rose Gold Wall Tiles</t>
        </is>
      </c>
      <c r="D1102" s="1" t="n">
        <v>29.99</v>
      </c>
      <c r="E1102" s="1" t="inlineStr">
        <is>
          <t>132x132mm</t>
        </is>
      </c>
      <c r="F1102" s="1" t="inlineStr">
        <is>
          <t>m2</t>
        </is>
      </c>
      <c r="G1102" s="1" t="inlineStr">
        <is>
          <t>Ceramic</t>
        </is>
      </c>
      <c r="H1102" s="1" t="inlineStr">
        <is>
          <t>Gloss</t>
        </is>
      </c>
      <c r="I1102" t="n">
        <v>117</v>
      </c>
    </row>
    <row r="1103">
      <c r="A1103" s="1">
        <f>Hyperlink("https://www.tilemountain.co.uk/p/village-rose-gold-wall-tile.html","Product")</f>
        <v/>
      </c>
      <c r="B1103" s="1" t="inlineStr">
        <is>
          <t>447045</t>
        </is>
      </c>
      <c r="C1103" s="1" t="inlineStr">
        <is>
          <t>Village Rose Gold Wall Tiles</t>
        </is>
      </c>
      <c r="D1103" s="1" t="n">
        <v>29.99</v>
      </c>
      <c r="E1103" s="1" t="inlineStr">
        <is>
          <t>200x65mm</t>
        </is>
      </c>
      <c r="F1103" s="1" t="inlineStr">
        <is>
          <t>m2</t>
        </is>
      </c>
      <c r="G1103" s="1" t="inlineStr">
        <is>
          <t>Ceramic</t>
        </is>
      </c>
      <c r="H1103" s="1" t="inlineStr">
        <is>
          <t>Gloss</t>
        </is>
      </c>
      <c r="I1103" t="n">
        <v>200</v>
      </c>
    </row>
    <row r="1104">
      <c r="A1104" s="1">
        <f>Hyperlink("https://www.tilemountain.co.uk/p/village-royal-blue-wall-tile-4552.html","Product")</f>
        <v/>
      </c>
      <c r="B1104" s="1" t="inlineStr">
        <is>
          <t>447135</t>
        </is>
      </c>
      <c r="C1104" s="1" t="inlineStr">
        <is>
          <t>Village Royal Blue Wall Tiles</t>
        </is>
      </c>
      <c r="D1104" s="1" t="n">
        <v>29.99</v>
      </c>
      <c r="E1104" s="1" t="inlineStr">
        <is>
          <t>132x132mm</t>
        </is>
      </c>
      <c r="F1104" s="1" t="inlineStr">
        <is>
          <t>m2</t>
        </is>
      </c>
      <c r="G1104" s="1" t="inlineStr">
        <is>
          <t>Ceramic</t>
        </is>
      </c>
      <c r="H1104" s="1" t="inlineStr">
        <is>
          <t>Gloss</t>
        </is>
      </c>
      <c r="I1104" t="n">
        <v>47</v>
      </c>
    </row>
    <row r="1105">
      <c r="A1105" s="1">
        <f>Hyperlink("https://www.tilemountain.co.uk/p/village-royal-blue-wall-tile.html","Product")</f>
        <v/>
      </c>
      <c r="B1105" s="1" t="inlineStr">
        <is>
          <t>447075</t>
        </is>
      </c>
      <c r="C1105" s="1" t="inlineStr">
        <is>
          <t>Village Royal Blue Wall Tiles</t>
        </is>
      </c>
      <c r="D1105" s="1" t="n">
        <v>29.99</v>
      </c>
      <c r="E1105" s="1" t="inlineStr">
        <is>
          <t>200x65mm</t>
        </is>
      </c>
      <c r="F1105" s="1" t="inlineStr">
        <is>
          <t>m2</t>
        </is>
      </c>
      <c r="G1105" s="1" t="inlineStr">
        <is>
          <t>Ceramic</t>
        </is>
      </c>
      <c r="H1105" s="1" t="inlineStr">
        <is>
          <t>Gloss</t>
        </is>
      </c>
      <c r="I1105" t="n">
        <v>172</v>
      </c>
    </row>
    <row r="1106">
      <c r="A1106" s="1">
        <f>Hyperlink("https://www.tilemountain.co.uk/p/village-silver-mist-wall-tile-4548.html","Product")</f>
        <v/>
      </c>
      <c r="B1106" s="1" t="inlineStr">
        <is>
          <t>447115</t>
        </is>
      </c>
      <c r="C1106" s="1" t="inlineStr">
        <is>
          <t>Village Silver Mist Wall Tiles</t>
        </is>
      </c>
      <c r="D1106" s="1" t="n">
        <v>29.99</v>
      </c>
      <c r="E1106" s="1" t="inlineStr">
        <is>
          <t>132x132mm</t>
        </is>
      </c>
      <c r="F1106" s="1" t="inlineStr">
        <is>
          <t>m2</t>
        </is>
      </c>
      <c r="G1106" s="1" t="inlineStr">
        <is>
          <t>Ceramic</t>
        </is>
      </c>
      <c r="H1106" s="1" t="inlineStr">
        <is>
          <t>Gloss</t>
        </is>
      </c>
      <c r="I1106" t="n">
        <v>42</v>
      </c>
    </row>
    <row r="1107">
      <c r="A1107" s="1">
        <f>Hyperlink("https://www.tilemountain.co.uk/p/village-silver-mist-wall-tile.html","Product")</f>
        <v/>
      </c>
      <c r="B1107" s="1" t="inlineStr">
        <is>
          <t>447055</t>
        </is>
      </c>
      <c r="C1107" s="1" t="inlineStr">
        <is>
          <t>Village Silver Mist Wall Tiles</t>
        </is>
      </c>
      <c r="D1107" s="1" t="n">
        <v>29.99</v>
      </c>
      <c r="E1107" s="1" t="inlineStr">
        <is>
          <t>200x65mm</t>
        </is>
      </c>
      <c r="F1107" s="1" t="inlineStr">
        <is>
          <t>m2</t>
        </is>
      </c>
      <c r="G1107" s="1" t="inlineStr">
        <is>
          <t>Ceramic</t>
        </is>
      </c>
      <c r="H1107" s="1" t="inlineStr">
        <is>
          <t>Gloss</t>
        </is>
      </c>
      <c r="I1107" t="n">
        <v>105</v>
      </c>
    </row>
    <row r="1108">
      <c r="A1108" s="1">
        <f>Hyperlink("https://www.tilemountain.co.uk/p/village-teal-wall-tile-4553.html","Product")</f>
        <v/>
      </c>
      <c r="B1108" s="1" t="inlineStr">
        <is>
          <t>447140</t>
        </is>
      </c>
      <c r="C1108" s="1" t="inlineStr">
        <is>
          <t>Village Teal Wall Tiles</t>
        </is>
      </c>
      <c r="D1108" s="1" t="n">
        <v>29.99</v>
      </c>
      <c r="E1108" s="1" t="inlineStr">
        <is>
          <t>132x132mm</t>
        </is>
      </c>
      <c r="F1108" s="1" t="inlineStr">
        <is>
          <t>m2</t>
        </is>
      </c>
      <c r="G1108" s="1" t="inlineStr">
        <is>
          <t>Ceramic</t>
        </is>
      </c>
      <c r="H1108" s="1" t="inlineStr">
        <is>
          <t>Gloss</t>
        </is>
      </c>
      <c r="I1108" t="n">
        <v>81</v>
      </c>
    </row>
    <row r="1109">
      <c r="A1109" s="1">
        <f>Hyperlink("https://www.tilemountain.co.uk/p/village-teal-wall-tile.html","Product")</f>
        <v/>
      </c>
      <c r="B1109" s="1" t="inlineStr">
        <is>
          <t>447080</t>
        </is>
      </c>
      <c r="C1109" s="1" t="inlineStr">
        <is>
          <t>Village Teal Wall Tiles</t>
        </is>
      </c>
      <c r="D1109" s="1" t="n">
        <v>29.99</v>
      </c>
      <c r="E1109" s="1" t="inlineStr">
        <is>
          <t>200x65mm</t>
        </is>
      </c>
      <c r="F1109" s="1" t="inlineStr">
        <is>
          <t>m2</t>
        </is>
      </c>
      <c r="G1109" s="1" t="inlineStr">
        <is>
          <t>Ceramic</t>
        </is>
      </c>
      <c r="H1109" s="1" t="inlineStr">
        <is>
          <t>Gloss</t>
        </is>
      </c>
      <c r="I1109" t="n">
        <v>108</v>
      </c>
    </row>
    <row r="1110">
      <c r="A1110" s="1">
        <f>Hyperlink("https://www.tilemountain.co.uk/p/village-volcanic-red-wall-tile.html","Product")</f>
        <v/>
      </c>
      <c r="B1110" s="1" t="inlineStr">
        <is>
          <t>447090</t>
        </is>
      </c>
      <c r="C1110" s="1" t="inlineStr">
        <is>
          <t>Village Volcanic Red Wall Tiles</t>
        </is>
      </c>
      <c r="D1110" s="1" t="n">
        <v>29.99</v>
      </c>
      <c r="E1110" s="1" t="inlineStr">
        <is>
          <t>200x65mm</t>
        </is>
      </c>
      <c r="F1110" s="1" t="inlineStr">
        <is>
          <t>m2</t>
        </is>
      </c>
      <c r="G1110" s="1" t="inlineStr">
        <is>
          <t>Ceramic</t>
        </is>
      </c>
      <c r="H1110" s="1" t="inlineStr">
        <is>
          <t>Gloss</t>
        </is>
      </c>
      <c r="I1110" t="n">
        <v>110</v>
      </c>
    </row>
    <row r="1111">
      <c r="A1111" s="1">
        <f>Hyperlink("https://www.tilemountain.co.uk/p/village-white-wall-tile-4545.html","Product")</f>
        <v/>
      </c>
      <c r="B1111" s="1" t="inlineStr">
        <is>
          <t>447100</t>
        </is>
      </c>
      <c r="C1111" s="1" t="inlineStr">
        <is>
          <t>Village White Wall Tiles</t>
        </is>
      </c>
      <c r="D1111" s="1" t="n">
        <v>29.99</v>
      </c>
      <c r="E1111" s="1" t="inlineStr">
        <is>
          <t>132x132mm</t>
        </is>
      </c>
      <c r="F1111" s="1" t="inlineStr">
        <is>
          <t>m2</t>
        </is>
      </c>
      <c r="G1111" s="1" t="inlineStr">
        <is>
          <t>Ceramic</t>
        </is>
      </c>
      <c r="H1111" s="1" t="inlineStr">
        <is>
          <t>Gloss</t>
        </is>
      </c>
      <c r="I1111" t="inlineStr">
        <is>
          <t>More Stock due 12/11/21</t>
        </is>
      </c>
    </row>
    <row r="1112">
      <c r="A1112" s="1">
        <f>Hyperlink("https://www.tilemountain.co.uk/p/village-white-wall-tile.html","Product")</f>
        <v/>
      </c>
      <c r="B1112" s="1" t="inlineStr">
        <is>
          <t>447040</t>
        </is>
      </c>
      <c r="C1112" s="1" t="inlineStr">
        <is>
          <t>Village White Wall Tiles</t>
        </is>
      </c>
      <c r="D1112" s="1" t="n">
        <v>29.99</v>
      </c>
      <c r="E1112" s="1" t="inlineStr">
        <is>
          <t>200x65mm</t>
        </is>
      </c>
      <c r="F1112" s="1" t="inlineStr">
        <is>
          <t>m2</t>
        </is>
      </c>
      <c r="G1112" s="1" t="inlineStr">
        <is>
          <t>-</t>
        </is>
      </c>
      <c r="H1112" s="1" t="inlineStr">
        <is>
          <t>-</t>
        </is>
      </c>
      <c r="I1112" t="n">
        <v>156</v>
      </c>
    </row>
    <row r="1113">
      <c r="A1113" s="1">
        <f>Hyperlink("https://www.tilemountain.co.uk/p/vintage-floor-tile.html","Product")</f>
        <v/>
      </c>
      <c r="B1113" s="1" t="inlineStr">
        <is>
          <t>433900</t>
        </is>
      </c>
      <c r="C1113" s="1" t="inlineStr">
        <is>
          <t>Vintage Wood Effect Wall and Floor Tiles</t>
        </is>
      </c>
      <c r="D1113" s="1" t="n">
        <v>18.99</v>
      </c>
      <c r="E1113" s="1" t="inlineStr">
        <is>
          <t>150x600mm</t>
        </is>
      </c>
      <c r="F1113" s="1" t="inlineStr">
        <is>
          <t>m2</t>
        </is>
      </c>
      <c r="G1113" s="1" t="inlineStr">
        <is>
          <t>Porcelain</t>
        </is>
      </c>
      <c r="H1113" s="1" t="inlineStr">
        <is>
          <t>Matt</t>
        </is>
      </c>
      <c r="I1113" t="n">
        <v>289</v>
      </c>
    </row>
    <row r="1114">
      <c r="A1114" s="1">
        <f>Hyperlink("https://www.tilemountain.co.uk/p/vintage-patchwork-mix-tiles-25x25cm.html","Product")</f>
        <v/>
      </c>
      <c r="B1114" s="1" t="inlineStr">
        <is>
          <t>1006725</t>
        </is>
      </c>
      <c r="C1114" s="1" t="inlineStr">
        <is>
          <t>Vintage Patchwork Mix Wall and Floor Tiles</t>
        </is>
      </c>
      <c r="D1114" s="1" t="n">
        <v>21.92</v>
      </c>
      <c r="E1114" s="1" t="inlineStr">
        <is>
          <t>250x250mm</t>
        </is>
      </c>
      <c r="F1114" s="1" t="inlineStr">
        <is>
          <t>m2</t>
        </is>
      </c>
      <c r="G1114" s="1" t="inlineStr">
        <is>
          <t>Porcelain</t>
        </is>
      </c>
      <c r="H1114" s="1" t="inlineStr">
        <is>
          <t>Matt</t>
        </is>
      </c>
      <c r="I1114" t="n">
        <v>16</v>
      </c>
    </row>
    <row r="1115">
      <c r="A1115" s="1">
        <f>Hyperlink("https://www.tilemountain.co.uk/p/vivid-black-gloss-wall-tile.html","Product")</f>
        <v/>
      </c>
      <c r="B1115" s="1" t="inlineStr">
        <is>
          <t>433965</t>
        </is>
      </c>
      <c r="C1115" s="1" t="inlineStr">
        <is>
          <t>Vivid Black Gloss Wall Tiles</t>
        </is>
      </c>
      <c r="D1115" s="1" t="n">
        <v>34.99</v>
      </c>
      <c r="E1115" s="1" t="inlineStr">
        <is>
          <t>150x400mm</t>
        </is>
      </c>
      <c r="F1115" s="1" t="inlineStr">
        <is>
          <t>m2</t>
        </is>
      </c>
      <c r="G1115" s="1" t="inlineStr">
        <is>
          <t>Ceramic</t>
        </is>
      </c>
      <c r="H1115" s="1" t="inlineStr">
        <is>
          <t>Gloss</t>
        </is>
      </c>
      <c r="I1115" t="n">
        <v>94</v>
      </c>
    </row>
    <row r="1116">
      <c r="A1116" s="1">
        <f>Hyperlink("https://www.tilemountain.co.uk/p/vivid-blue-gloss-wall-tile.html","Product")</f>
        <v/>
      </c>
      <c r="B1116" s="1" t="inlineStr">
        <is>
          <t>433995</t>
        </is>
      </c>
      <c r="C1116" s="1" t="inlineStr">
        <is>
          <t>Vivid Blue Gloss Wall Tiles</t>
        </is>
      </c>
      <c r="D1116" s="1" t="n">
        <v>34.99</v>
      </c>
      <c r="E1116" s="1" t="inlineStr">
        <is>
          <t>150x400mm</t>
        </is>
      </c>
      <c r="F1116" s="1" t="inlineStr">
        <is>
          <t>m2</t>
        </is>
      </c>
      <c r="G1116" s="1" t="inlineStr">
        <is>
          <t>Ceramic</t>
        </is>
      </c>
      <c r="H1116" s="1" t="inlineStr">
        <is>
          <t>Gloss</t>
        </is>
      </c>
      <c r="I1116" t="n">
        <v>24</v>
      </c>
    </row>
    <row r="1117">
      <c r="A1117" s="1">
        <f>Hyperlink("https://www.tilemountain.co.uk/p/vivid-lime-gloss-wall-tile.html","Product")</f>
        <v/>
      </c>
      <c r="B1117" s="1" t="inlineStr">
        <is>
          <t>434000</t>
        </is>
      </c>
      <c r="C1117" s="1" t="inlineStr">
        <is>
          <t>Vivid Lime Gloss Wall Tiles</t>
        </is>
      </c>
      <c r="D1117" s="1" t="n">
        <v>34.99</v>
      </c>
      <c r="E1117" s="1" t="inlineStr">
        <is>
          <t>150x400mm</t>
        </is>
      </c>
      <c r="F1117" s="1" t="inlineStr">
        <is>
          <t>m2</t>
        </is>
      </c>
      <c r="G1117" s="1" t="inlineStr">
        <is>
          <t>Ceramic</t>
        </is>
      </c>
      <c r="H1117" s="1" t="inlineStr">
        <is>
          <t>Gloss</t>
        </is>
      </c>
      <c r="I1117" t="n">
        <v>24</v>
      </c>
    </row>
    <row r="1118">
      <c r="A1118" s="1">
        <f>Hyperlink("https://www.tilemountain.co.uk/p/vivid-teal-gloss-wall-tile.html","Product")</f>
        <v/>
      </c>
      <c r="B1118" s="1" t="inlineStr">
        <is>
          <t>434005</t>
        </is>
      </c>
      <c r="C1118" s="1" t="inlineStr">
        <is>
          <t>Vivid Teal Gloss Wall Tiles</t>
        </is>
      </c>
      <c r="D1118" s="1" t="n">
        <v>34.99</v>
      </c>
      <c r="E1118" s="1" t="inlineStr">
        <is>
          <t>150x400mm</t>
        </is>
      </c>
      <c r="F1118" s="1" t="inlineStr">
        <is>
          <t>m2</t>
        </is>
      </c>
      <c r="G1118" s="1" t="inlineStr">
        <is>
          <t>Ceramic</t>
        </is>
      </c>
      <c r="H1118" s="1" t="inlineStr">
        <is>
          <t>Gloss</t>
        </is>
      </c>
      <c r="I1118" t="n">
        <v>34</v>
      </c>
    </row>
    <row r="1119">
      <c r="A1119" s="1">
        <f>Hyperlink("https://www.tilemountain.co.uk/p/vivid-white-gloss-wall-tile.html","Product")</f>
        <v/>
      </c>
      <c r="B1119" s="1" t="inlineStr">
        <is>
          <t>433970</t>
        </is>
      </c>
      <c r="C1119" s="1" t="inlineStr">
        <is>
          <t>Vivid White Gloss Wall Tiles</t>
        </is>
      </c>
      <c r="D1119" s="1" t="n">
        <v>24.99</v>
      </c>
      <c r="E1119" s="1" t="inlineStr">
        <is>
          <t>150x400mm</t>
        </is>
      </c>
      <c r="F1119" s="1" t="inlineStr">
        <is>
          <t>m2</t>
        </is>
      </c>
      <c r="G1119" s="1" t="inlineStr">
        <is>
          <t>Ceramic</t>
        </is>
      </c>
      <c r="H1119" s="1" t="inlineStr">
        <is>
          <t>Gloss</t>
        </is>
      </c>
      <c r="I1119" t="n">
        <v>146</v>
      </c>
    </row>
    <row r="1120">
      <c r="A1120" s="1">
        <f>Hyperlink("https://www.tilemountain.co.uk/p/vivo-click-starter-kit.html","Product")</f>
        <v/>
      </c>
      <c r="B1120" s="1" t="inlineStr">
        <is>
          <t>445290</t>
        </is>
      </c>
      <c r="C1120" s="1" t="inlineStr">
        <is>
          <t>Xtrafloor Vinyl Starter Kit</t>
        </is>
      </c>
      <c r="D1120" s="1" t="n">
        <v>34.99</v>
      </c>
      <c r="E1120" s="1" t="inlineStr">
        <is>
          <t>-</t>
        </is>
      </c>
      <c r="F1120" s="1" t="inlineStr">
        <is>
          <t>Qty</t>
        </is>
      </c>
      <c r="G1120" s="1" t="inlineStr">
        <is>
          <t>-</t>
        </is>
      </c>
      <c r="H1120" s="1" t="inlineStr">
        <is>
          <t>-</t>
        </is>
      </c>
      <c r="I1120" t="inlineStr">
        <is>
          <t>In Stock</t>
        </is>
      </c>
    </row>
    <row r="1121">
      <c r="A1121" s="1">
        <f>Hyperlink("https://www.tilemountain.co.uk/p/waterfront-60g.html","Product")</f>
        <v/>
      </c>
      <c r="B1121" s="1" t="inlineStr">
        <is>
          <t>443240</t>
        </is>
      </c>
      <c r="C1121" s="1" t="inlineStr">
        <is>
          <t>Waterfront Grey Matt Floor Tiles</t>
        </is>
      </c>
      <c r="D1121" s="1" t="n">
        <v>34.99</v>
      </c>
      <c r="E1121" s="1" t="inlineStr">
        <is>
          <t>600x600mm</t>
        </is>
      </c>
      <c r="F1121" s="1" t="inlineStr">
        <is>
          <t>m2</t>
        </is>
      </c>
      <c r="G1121" s="1" t="inlineStr">
        <is>
          <t>Porcelain</t>
        </is>
      </c>
      <c r="H1121" s="1" t="inlineStr">
        <is>
          <t>Matt</t>
        </is>
      </c>
      <c r="I1121" t="n">
        <v>95</v>
      </c>
    </row>
    <row r="1122">
      <c r="A1122" s="1">
        <f>Hyperlink("https://www.tilemountain.co.uk/p/waterfront-60n.html","Product")</f>
        <v/>
      </c>
      <c r="B1122" s="1" t="inlineStr">
        <is>
          <t>443255</t>
        </is>
      </c>
      <c r="C1122" s="1" t="inlineStr">
        <is>
          <t>Waterfront Black Matt Floor Tiles</t>
        </is>
      </c>
      <c r="D1122" s="1" t="n">
        <v>34.99</v>
      </c>
      <c r="E1122" s="1" t="inlineStr">
        <is>
          <t>600x600mm</t>
        </is>
      </c>
      <c r="F1122" s="1" t="inlineStr">
        <is>
          <t>m2</t>
        </is>
      </c>
      <c r="G1122" s="1" t="inlineStr">
        <is>
          <t>Porcelain</t>
        </is>
      </c>
      <c r="H1122" s="1" t="inlineStr">
        <is>
          <t>Matt</t>
        </is>
      </c>
      <c r="I1122" t="n">
        <v>123</v>
      </c>
    </row>
    <row r="1123">
      <c r="A1123" s="1">
        <f>Hyperlink("https://www.tilemountain.co.uk/p/waterfront-60w.html","Product")</f>
        <v/>
      </c>
      <c r="B1123" s="1" t="inlineStr">
        <is>
          <t>443260</t>
        </is>
      </c>
      <c r="C1123" s="1" t="inlineStr">
        <is>
          <t>Waterfront White Matt Floor Tiles</t>
        </is>
      </c>
      <c r="D1123" s="1" t="n">
        <v>34.99</v>
      </c>
      <c r="E1123" s="1" t="inlineStr">
        <is>
          <t>600x600mm</t>
        </is>
      </c>
      <c r="F1123" s="1" t="inlineStr">
        <is>
          <t>m2</t>
        </is>
      </c>
      <c r="G1123" s="1" t="inlineStr">
        <is>
          <t>Porcelain</t>
        </is>
      </c>
      <c r="H1123" s="1" t="inlineStr">
        <is>
          <t>Matt</t>
        </is>
      </c>
      <c r="I1123" t="n">
        <v>132</v>
      </c>
    </row>
    <row r="1124">
      <c r="A1124" s="1">
        <f>Hyperlink("https://www.tilemountain.co.uk/p/waterfront-90g.html","Product")</f>
        <v/>
      </c>
      <c r="B1124" s="1" t="inlineStr">
        <is>
          <t>443215</t>
        </is>
      </c>
      <c r="C1124" s="1" t="inlineStr">
        <is>
          <t>Waterfront Grey Matt Floor Tiles</t>
        </is>
      </c>
      <c r="D1124" s="1" t="n">
        <v>35.99</v>
      </c>
      <c r="E1124" s="1" t="inlineStr">
        <is>
          <t>900x900mm</t>
        </is>
      </c>
      <c r="F1124" s="1" t="inlineStr">
        <is>
          <t>m2</t>
        </is>
      </c>
      <c r="G1124" s="1" t="inlineStr">
        <is>
          <t>Porcelain</t>
        </is>
      </c>
      <c r="H1124" s="1" t="inlineStr">
        <is>
          <t>Matt</t>
        </is>
      </c>
      <c r="I1124" t="n">
        <v>150</v>
      </c>
    </row>
    <row r="1125">
      <c r="A1125" s="1">
        <f>Hyperlink("https://www.tilemountain.co.uk/p/waterfront-90w.html","Product")</f>
        <v/>
      </c>
      <c r="B1125" s="1" t="inlineStr">
        <is>
          <t>443235</t>
        </is>
      </c>
      <c r="C1125" s="1" t="inlineStr">
        <is>
          <t>Waterfront White Matt Floor Tiles</t>
        </is>
      </c>
      <c r="D1125" s="1" t="n">
        <v>35.99</v>
      </c>
      <c r="E1125" s="1" t="inlineStr">
        <is>
          <t>900x900mm</t>
        </is>
      </c>
      <c r="F1125" s="1" t="inlineStr">
        <is>
          <t>m2</t>
        </is>
      </c>
      <c r="G1125" s="1" t="inlineStr">
        <is>
          <t>Porcelain</t>
        </is>
      </c>
      <c r="H1125" s="1" t="inlineStr">
        <is>
          <t>Matt</t>
        </is>
      </c>
      <c r="I1125" t="n">
        <v>46</v>
      </c>
    </row>
    <row r="1126">
      <c r="A1126" s="1">
        <f>Hyperlink("https://www.tilemountain.co.uk/p/white-gloss-smooth-tiles-25x40cm.html","Product")</f>
        <v/>
      </c>
      <c r="B1126" s="1" t="inlineStr">
        <is>
          <t>1006815</t>
        </is>
      </c>
      <c r="C1126" s="1" t="inlineStr">
        <is>
          <t>White Gloss Smooth Tiles</t>
        </is>
      </c>
      <c r="D1126" s="1" t="n">
        <v>12.2</v>
      </c>
      <c r="E1126" s="1" t="inlineStr">
        <is>
          <t>400x250mm</t>
        </is>
      </c>
      <c r="F1126" s="1" t="inlineStr">
        <is>
          <t>m2</t>
        </is>
      </c>
      <c r="G1126" s="1" t="inlineStr">
        <is>
          <t>Ceramic</t>
        </is>
      </c>
      <c r="H1126" s="1" t="inlineStr">
        <is>
          <t>Gloss</t>
        </is>
      </c>
      <c r="I1126" t="n">
        <v>234</v>
      </c>
    </row>
    <row r="1127">
      <c r="A1127" s="1">
        <f>Hyperlink("https://www.tilemountain.co.uk/p/white-shimmer-ceramic-wall-tile.html","Product")</f>
        <v/>
      </c>
      <c r="B1127" s="1" t="inlineStr">
        <is>
          <t>449015</t>
        </is>
      </c>
      <c r="C1127" s="1" t="inlineStr">
        <is>
          <t>White Shimmer Wall Tile</t>
        </is>
      </c>
      <c r="D1127" s="1" t="n">
        <v>11.99</v>
      </c>
      <c r="E1127" s="1" t="inlineStr">
        <is>
          <t>600x300mm</t>
        </is>
      </c>
      <c r="F1127" s="1" t="inlineStr">
        <is>
          <t>m2</t>
        </is>
      </c>
      <c r="G1127" s="1" t="inlineStr">
        <is>
          <t>Ceramic</t>
        </is>
      </c>
      <c r="H1127" s="1" t="inlineStr">
        <is>
          <t>Matt</t>
        </is>
      </c>
      <c r="I1127" t="n">
        <v>548</v>
      </c>
    </row>
    <row r="1128">
      <c r="A1128" s="1">
        <f>Hyperlink("https://www.tilemountain.co.uk/p/wicker-grey-pattern-wall-and-floor-tile_1.html","Product")</f>
        <v/>
      </c>
      <c r="B1128" s="1" t="inlineStr">
        <is>
          <t>449010</t>
        </is>
      </c>
      <c r="C1128" s="1" t="inlineStr">
        <is>
          <t>Wicker Grey Pattern Wall and Floor Tile</t>
        </is>
      </c>
      <c r="D1128" s="1" t="n">
        <v>13.99</v>
      </c>
      <c r="E1128" s="1" t="inlineStr">
        <is>
          <t>330x330mm</t>
        </is>
      </c>
      <c r="F1128" s="1" t="inlineStr">
        <is>
          <t>m2</t>
        </is>
      </c>
      <c r="G1128" s="1" t="inlineStr">
        <is>
          <t>Porcelain</t>
        </is>
      </c>
      <c r="H1128" s="1" t="inlineStr">
        <is>
          <t>Matt</t>
        </is>
      </c>
      <c r="I1128" t="n">
        <v>32</v>
      </c>
    </row>
    <row r="1129">
      <c r="A1129" s="1">
        <f>Hyperlink("https://www.tilemountain.co.uk/p/windsor-grey-decor-wall-tile.html","Product")</f>
        <v/>
      </c>
      <c r="B1129" s="1" t="inlineStr">
        <is>
          <t>450570</t>
        </is>
      </c>
      <c r="C1129" s="1" t="inlineStr">
        <is>
          <t>Windsor Grey Decor Wall Tile</t>
        </is>
      </c>
      <c r="D1129" s="1" t="n">
        <v>11.99</v>
      </c>
      <c r="E1129" s="1" t="inlineStr">
        <is>
          <t>500x250mm</t>
        </is>
      </c>
      <c r="F1129" s="1" t="inlineStr">
        <is>
          <t>m2</t>
        </is>
      </c>
      <c r="G1129" s="1" t="inlineStr">
        <is>
          <t>Ceramic</t>
        </is>
      </c>
      <c r="H1129" s="1" t="inlineStr">
        <is>
          <t>Matt</t>
        </is>
      </c>
      <c r="I1129" t="n">
        <v>182</v>
      </c>
    </row>
    <row r="1130">
      <c r="A1130" s="1">
        <f>Hyperlink("https://www.tilemountain.co.uk/p/windsor-grey-wall-tile.html","Product")</f>
        <v/>
      </c>
      <c r="B1130" s="1" t="inlineStr">
        <is>
          <t>450555</t>
        </is>
      </c>
      <c r="C1130" s="1" t="inlineStr">
        <is>
          <t>Windsor Grey Wall Tile</t>
        </is>
      </c>
      <c r="D1130" s="1" t="n">
        <v>11.99</v>
      </c>
      <c r="E1130" s="1" t="inlineStr">
        <is>
          <t>500x250mm</t>
        </is>
      </c>
      <c r="F1130" s="1" t="inlineStr">
        <is>
          <t>m2</t>
        </is>
      </c>
      <c r="G1130" s="1" t="inlineStr">
        <is>
          <t>Ceramic</t>
        </is>
      </c>
      <c r="H1130" s="1" t="inlineStr">
        <is>
          <t>Matt</t>
        </is>
      </c>
      <c r="I1130" t="n">
        <v>192</v>
      </c>
    </row>
    <row r="1131">
      <c r="A1131" s="1">
        <f>Hyperlink("https://www.tilemountain.co.uk/p/windsor-ivory-decor-wall-tile.html","Product")</f>
        <v/>
      </c>
      <c r="B1131" s="1" t="inlineStr">
        <is>
          <t>450575</t>
        </is>
      </c>
      <c r="C1131" s="1" t="inlineStr">
        <is>
          <t>Windsor Ivory Decor Wall Tile</t>
        </is>
      </c>
      <c r="D1131" s="1" t="n">
        <v>11.99</v>
      </c>
      <c r="E1131" s="1" t="inlineStr">
        <is>
          <t>500x250mm</t>
        </is>
      </c>
      <c r="F1131" s="1" t="inlineStr">
        <is>
          <t>m2</t>
        </is>
      </c>
      <c r="G1131" s="1" t="inlineStr">
        <is>
          <t>Ceramic</t>
        </is>
      </c>
      <c r="H1131" s="1" t="inlineStr">
        <is>
          <t>Matt</t>
        </is>
      </c>
      <c r="I1131" t="n">
        <v>35</v>
      </c>
    </row>
    <row r="1132">
      <c r="A1132" s="1">
        <f>Hyperlink("https://www.tilemountain.co.uk/p/windsor-ivory-wall-tile.html","Product")</f>
        <v/>
      </c>
      <c r="B1132" s="1" t="inlineStr">
        <is>
          <t>450560</t>
        </is>
      </c>
      <c r="C1132" s="1" t="inlineStr">
        <is>
          <t>Windsor Ivory Wall Tile</t>
        </is>
      </c>
      <c r="D1132" s="1" t="n">
        <v>11.99</v>
      </c>
      <c r="E1132" s="1" t="inlineStr">
        <is>
          <t>500x250mm</t>
        </is>
      </c>
      <c r="F1132" s="1" t="inlineStr">
        <is>
          <t>m2</t>
        </is>
      </c>
      <c r="G1132" s="1" t="inlineStr">
        <is>
          <t>Ceramic</t>
        </is>
      </c>
      <c r="H1132" s="1" t="inlineStr">
        <is>
          <t>Matt</t>
        </is>
      </c>
      <c r="I1132" t="inlineStr">
        <is>
          <t>More Stock due 12/11/21</t>
        </is>
      </c>
    </row>
    <row r="1133">
      <c r="A1133" s="1">
        <f>Hyperlink("https://www.tilemountain.co.uk/p/windsor-white-decor-wall-tile.html","Product")</f>
        <v/>
      </c>
      <c r="B1133" s="1" t="inlineStr">
        <is>
          <t>450580</t>
        </is>
      </c>
      <c r="C1133" s="1" t="inlineStr">
        <is>
          <t>Windsor White Decor Wall Tile</t>
        </is>
      </c>
      <c r="D1133" s="1" t="n">
        <v>11.99</v>
      </c>
      <c r="E1133" s="1" t="inlineStr">
        <is>
          <t>500x250mm</t>
        </is>
      </c>
      <c r="F1133" s="1" t="inlineStr">
        <is>
          <t>m2</t>
        </is>
      </c>
      <c r="G1133" s="1" t="inlineStr">
        <is>
          <t>Ceramic</t>
        </is>
      </c>
      <c r="H1133" s="1" t="inlineStr">
        <is>
          <t>Matt</t>
        </is>
      </c>
      <c r="I1133" t="n">
        <v>258</v>
      </c>
    </row>
    <row r="1134">
      <c r="A1134" s="1">
        <f>Hyperlink("https://www.tilemountain.co.uk/p/windsor-white-wall-tile.html","Product")</f>
        <v/>
      </c>
      <c r="B1134" s="1" t="inlineStr">
        <is>
          <t>450565</t>
        </is>
      </c>
      <c r="C1134" s="1" t="inlineStr">
        <is>
          <t>Windsor White Wall Tile</t>
        </is>
      </c>
      <c r="D1134" s="1" t="n">
        <v>11.99</v>
      </c>
      <c r="E1134" s="1" t="inlineStr">
        <is>
          <t>500x250mm</t>
        </is>
      </c>
      <c r="F1134" s="1" t="inlineStr">
        <is>
          <t>m2</t>
        </is>
      </c>
      <c r="G1134" s="1" t="inlineStr">
        <is>
          <t>Ceramic</t>
        </is>
      </c>
      <c r="H1134" s="1" t="inlineStr">
        <is>
          <t>Matt</t>
        </is>
      </c>
      <c r="I1134" t="n">
        <v>404</v>
      </c>
    </row>
    <row r="1135">
      <c r="A1135" s="1">
        <f>Hyperlink("https://www.tilemountain.co.uk/p/xtrafloor-base-underlay-10m.html","Product")</f>
        <v/>
      </c>
      <c r="B1135" s="1" t="inlineStr">
        <is>
          <t>445285</t>
        </is>
      </c>
      <c r="C1135" s="1" t="inlineStr">
        <is>
          <t>Xtrafloor® Power Underlay 10m</t>
        </is>
      </c>
      <c r="D1135" s="1" t="n">
        <v>54.99</v>
      </c>
      <c r="E1135" s="1" t="inlineStr">
        <is>
          <t>1 x 10m Roll</t>
        </is>
      </c>
      <c r="F1135" s="1" t="inlineStr">
        <is>
          <t>Qty</t>
        </is>
      </c>
      <c r="G1135" s="1" t="inlineStr">
        <is>
          <t>-</t>
        </is>
      </c>
      <c r="H1135" s="1" t="inlineStr">
        <is>
          <t>-</t>
        </is>
      </c>
      <c r="I1135" t="inlineStr">
        <is>
          <t>In Stock</t>
        </is>
      </c>
    </row>
    <row r="1136">
      <c r="A1136" s="1">
        <f>Hyperlink("https://www.tilemountain.co.uk/p/yosemite-grey-split-face-wall-tile.html","Product")</f>
        <v/>
      </c>
      <c r="B1136" s="1" t="inlineStr">
        <is>
          <t>437900</t>
        </is>
      </c>
      <c r="C1136" s="1" t="inlineStr">
        <is>
          <t>Yosemite Grey Split Face Wall Tiles</t>
        </is>
      </c>
      <c r="D1136" s="1" t="n">
        <v>23.99</v>
      </c>
      <c r="E1136" s="1" t="inlineStr">
        <is>
          <t>660x440mm</t>
        </is>
      </c>
      <c r="F1136" s="1" t="inlineStr">
        <is>
          <t>m2</t>
        </is>
      </c>
      <c r="G1136" s="1" t="inlineStr">
        <is>
          <t>Glazed Porcelain</t>
        </is>
      </c>
      <c r="H1136" s="1" t="inlineStr">
        <is>
          <t>Matt</t>
        </is>
      </c>
      <c r="I1136" t="n">
        <v>428</v>
      </c>
    </row>
    <row r="1137">
      <c r="A1137" s="1">
        <f>Hyperlink("https://www.tilemountain.co.uk/p/yosemite-grey-wall-and-floor-tile.html","Product")</f>
        <v/>
      </c>
      <c r="B1137" s="1" t="inlineStr">
        <is>
          <t>437910</t>
        </is>
      </c>
      <c r="C1137" s="1" t="inlineStr">
        <is>
          <t>Yosemite Grey Wall and Floor Tiles</t>
        </is>
      </c>
      <c r="D1137" s="1" t="n">
        <v>22.99</v>
      </c>
      <c r="E1137" s="1" t="inlineStr">
        <is>
          <t>660x440mm</t>
        </is>
      </c>
      <c r="F1137" s="1" t="inlineStr">
        <is>
          <t>m2</t>
        </is>
      </c>
      <c r="G1137" s="1" t="inlineStr">
        <is>
          <t>Glazed Porcelain</t>
        </is>
      </c>
      <c r="H1137" s="1" t="inlineStr">
        <is>
          <t>Matt</t>
        </is>
      </c>
      <c r="I1137" t="n">
        <v>330</v>
      </c>
    </row>
    <row r="1138">
      <c r="A1138" s="1">
        <f>Hyperlink("https://www.tilemountain.co.uk/p/yosemite-ivory-split-face-wall-tile.html","Product")</f>
        <v/>
      </c>
      <c r="B1138" s="1" t="inlineStr">
        <is>
          <t>437895</t>
        </is>
      </c>
      <c r="C1138" s="1" t="inlineStr">
        <is>
          <t>Yosemite Ivory Split Face Wall Tiles</t>
        </is>
      </c>
      <c r="D1138" s="1" t="n">
        <v>23.99</v>
      </c>
      <c r="E1138" s="1" t="inlineStr">
        <is>
          <t>660x440mm</t>
        </is>
      </c>
      <c r="F1138" s="1" t="inlineStr">
        <is>
          <t>m2</t>
        </is>
      </c>
      <c r="G1138" s="1" t="inlineStr">
        <is>
          <t>Glazed Porcelain</t>
        </is>
      </c>
      <c r="H1138" s="1" t="inlineStr">
        <is>
          <t>Matt</t>
        </is>
      </c>
      <c r="I1138" t="n">
        <v>463</v>
      </c>
    </row>
    <row r="1139">
      <c r="A1139" s="1">
        <f>Hyperlink("https://www.tilemountain.co.uk/p/yosemite-ivory-wall-and-floor-tile.html","Product")</f>
        <v/>
      </c>
      <c r="B1139" s="1" t="inlineStr">
        <is>
          <t>437905</t>
        </is>
      </c>
      <c r="C1139" s="1" t="inlineStr">
        <is>
          <t>Yosemite Ivory Wall and Floor Tiles</t>
        </is>
      </c>
      <c r="D1139" s="1" t="n">
        <v>22.99</v>
      </c>
      <c r="E1139" s="1" t="inlineStr">
        <is>
          <t>660x440mm</t>
        </is>
      </c>
      <c r="F1139" s="1" t="inlineStr">
        <is>
          <t>m2</t>
        </is>
      </c>
      <c r="G1139" s="1" t="inlineStr">
        <is>
          <t>Glazed Porcelain</t>
        </is>
      </c>
      <c r="H1139" s="1" t="inlineStr">
        <is>
          <t>Matt</t>
        </is>
      </c>
      <c r="I1139" t="n">
        <v>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2021-10-16T11:19:28Z</dcterms:created>
  <dcterms:modified xmlns:dcterms="http://purl.org/dc/terms/" xmlns:xsi="http://www.w3.org/2001/XMLSchema-instance" xsi:type="dcterms:W3CDTF">2021-10-16T11:19:28Z</dcterms:modified>
</cp:coreProperties>
</file>